
<file path=[Content_Types].xml><?xml version="1.0" encoding="utf-8"?>
<Types xmlns="http://schemas.openxmlformats.org/package/2006/content-types">
  <Default Extension="bin" ContentType="application/vnd.openxmlformats-officedocument.spreadsheetml.printerSettings"/>
  <Default Extension="png" ContentType="image/png"/>
  <Default Extension="emf" ContentType="image/x-emf"/>
  <Default Extension="wmf" ContentType="image/x-wmf"/>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externalLinks/externalLink6.xml" ContentType="application/vnd.openxmlformats-officedocument.spreadsheetml.externalLink+xml"/>
  <Override PartName="/xl/externalLinks/externalLink7.xml" ContentType="application/vnd.openxmlformats-officedocument.spreadsheetml.externalLink+xml"/>
  <Override PartName="/xl/externalLinks/externalLink8.xml" ContentType="application/vnd.openxmlformats-officedocument.spreadsheetml.externalLink+xml"/>
  <Override PartName="/xl/externalLinks/externalLink9.xml" ContentType="application/vnd.openxmlformats-officedocument.spreadsheetml.externalLink+xml"/>
  <Override PartName="/xl/externalLinks/externalLink10.xml" ContentType="application/vnd.openxmlformats-officedocument.spreadsheetml.externalLink+xml"/>
  <Override PartName="/xl/externalLinks/externalLink11.xml" ContentType="application/vnd.openxmlformats-officedocument.spreadsheetml.externalLink+xml"/>
  <Override PartName="/xl/externalLinks/externalLink12.xml" ContentType="application/vnd.openxmlformats-officedocument.spreadsheetml.externalLink+xml"/>
  <Override PartName="/xl/externalLinks/externalLink13.xml" ContentType="application/vnd.openxmlformats-officedocument.spreadsheetml.externalLink+xml"/>
  <Override PartName="/xl/externalLinks/externalLink14.xml" ContentType="application/vnd.openxmlformats-officedocument.spreadsheetml.externalLink+xml"/>
  <Override PartName="/xl/externalLinks/externalLink15.xml" ContentType="application/vnd.openxmlformats-officedocument.spreadsheetml.externalLink+xml"/>
  <Override PartName="/xl/externalLinks/externalLink16.xml" ContentType="application/vnd.openxmlformats-officedocument.spreadsheetml.externalLink+xml"/>
  <Override PartName="/xl/externalLinks/externalLink17.xml" ContentType="application/vnd.openxmlformats-officedocument.spreadsheetml.externalLink+xml"/>
  <Override PartName="/xl/externalLinks/externalLink18.xml" ContentType="application/vnd.openxmlformats-officedocument.spreadsheetml.externalLink+xml"/>
  <Override PartName="/xl/externalLinks/externalLink19.xml" ContentType="application/vnd.openxmlformats-officedocument.spreadsheetml.externalLink+xml"/>
  <Override PartName="/xl/externalLinks/externalLink20.xml" ContentType="application/vnd.openxmlformats-officedocument.spreadsheetml.externalLink+xml"/>
  <Override PartName="/xl/externalLinks/externalLink21.xml" ContentType="application/vnd.openxmlformats-officedocument.spreadsheetml.externalLink+xml"/>
  <Override PartName="/xl/externalLinks/externalLink22.xml" ContentType="application/vnd.openxmlformats-officedocument.spreadsheetml.externalLink+xml"/>
  <Override PartName="/xl/externalLinks/externalLink23.xml" ContentType="application/vnd.openxmlformats-officedocument.spreadsheetml.externalLink+xml"/>
  <Override PartName="/xl/externalLinks/externalLink24.xml" ContentType="application/vnd.openxmlformats-officedocument.spreadsheetml.externalLink+xml"/>
  <Override PartName="/xl/externalLinks/externalLink25.xml" ContentType="application/vnd.openxmlformats-officedocument.spreadsheetml.externalLink+xml"/>
  <Override PartName="/xl/externalLinks/externalLink26.xml" ContentType="application/vnd.openxmlformats-officedocument.spreadsheetml.externalLink+xml"/>
  <Override PartName="/xl/externalLinks/externalLink27.xml" ContentType="application/vnd.openxmlformats-officedocument.spreadsheetml.externalLink+xml"/>
  <Override PartName="/xl/externalLinks/externalLink28.xml" ContentType="application/vnd.openxmlformats-officedocument.spreadsheetml.externalLink+xml"/>
  <Override PartName="/xl/externalLinks/externalLink29.xml" ContentType="application/vnd.openxmlformats-officedocument.spreadsheetml.externalLink+xml"/>
  <Override PartName="/xl/externalLinks/externalLink30.xml" ContentType="application/vnd.openxmlformats-officedocument.spreadsheetml.externalLink+xml"/>
  <Override PartName="/xl/externalLinks/externalLink31.xml" ContentType="application/vnd.openxmlformats-officedocument.spreadsheetml.externalLink+xml"/>
  <Override PartName="/xl/externalLinks/externalLink32.xml" ContentType="application/vnd.openxmlformats-officedocument.spreadsheetml.externalLink+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drawings/drawing2.xml" ContentType="application/vnd.openxmlformats-officedocument.drawing+xml"/>
  <Override PartName="/xl/embeddings/oleObject1.bin" ContentType="application/vnd.openxmlformats-officedocument.oleObject"/>
  <Override PartName="/xl/embeddings/oleObject2.bin" ContentType="application/vnd.openxmlformats-officedocument.oleObject"/>
  <Override PartName="/xl/embeddings/oleObject3.bin" ContentType="application/vnd.openxmlformats-officedocument.oleObject"/>
  <Override PartName="/xl/embeddings/oleObject4.bin" ContentType="application/vnd.openxmlformats-officedocument.oleObject"/>
  <Override PartName="/xl/embeddings/oleObject5.bin" ContentType="application/vnd.openxmlformats-officedocument.oleObject"/>
  <Override PartName="/xl/embeddings/oleObject6.bin" ContentType="application/vnd.openxmlformats-officedocument.oleObject"/>
  <Override PartName="/xl/embeddings/oleObject7.bin" ContentType="application/vnd.openxmlformats-officedocument.oleObject"/>
  <Override PartName="/xl/embeddings/oleObject8.bin" ContentType="application/vnd.openxmlformats-officedocument.oleObject"/>
  <Override PartName="/xl/embeddings/oleObject9.bin" ContentType="application/vnd.openxmlformats-officedocument.oleObject"/>
  <Override PartName="/xl/embeddings/oleObject10.bin" ContentType="application/vnd.openxmlformats-officedocument.oleObject"/>
  <Override PartName="/xl/embeddings/oleObject11.bin" ContentType="application/vnd.openxmlformats-officedocument.oleObject"/>
  <Override PartName="/xl/embeddings/oleObject12.bin" ContentType="application/vnd.openxmlformats-officedocument.oleObject"/>
  <Override PartName="/xl/embeddings/oleObject13.bin" ContentType="application/vnd.openxmlformats-officedocument.oleObject"/>
  <Override PartName="/xl/embeddings/oleObject14.bin" ContentType="application/vnd.openxmlformats-officedocument.oleObject"/>
  <Override PartName="/xl/embeddings/oleObject15.bin" ContentType="application/vnd.openxmlformats-officedocument.oleObject"/>
  <Override PartName="/xl/embeddings/oleObject16.bin" ContentType="application/vnd.openxmlformats-officedocument.oleObject"/>
  <Override PartName="/xl/embeddings/oleObject17.bin" ContentType="application/vnd.openxmlformats-officedocument.oleObject"/>
  <Override PartName="/xl/embeddings/oleObject18.bin" ContentType="application/vnd.openxmlformats-officedocument.oleObject"/>
  <Override PartName="/xl/embeddings/oleObject19.bin" ContentType="application/vnd.openxmlformats-officedocument.oleObject"/>
  <Override PartName="/xl/embeddings/oleObject20.bin" ContentType="application/vnd.openxmlformats-officedocument.oleObject"/>
  <Override PartName="/xl/embeddings/oleObject21.bin" ContentType="application/vnd.openxmlformats-officedocument.oleObject"/>
  <Override PartName="/xl/embeddings/oleObject22.bin" ContentType="application/vnd.openxmlformats-officedocument.oleObject"/>
  <Override PartName="/xl/embeddings/oleObject23.bin" ContentType="application/vnd.openxmlformats-officedocument.oleObject"/>
  <Override PartName="/xl/embeddings/oleObject24.bin" ContentType="application/vnd.openxmlformats-officedocument.oleObject"/>
  <Override PartName="/xl/embeddings/oleObject25.bin" ContentType="application/vnd.openxmlformats-officedocument.oleObject"/>
  <Override PartName="/xl/embeddings/oleObject26.bin" ContentType="application/vnd.openxmlformats-officedocument.oleObject"/>
  <Override PartName="/xl/embeddings/oleObject27.bin" ContentType="application/vnd.openxmlformats-officedocument.oleObject"/>
  <Override PartName="/xl/embeddings/oleObject28.bin" ContentType="application/vnd.openxmlformats-officedocument.oleObject"/>
  <Override PartName="/xl/embeddings/oleObject29.bin" ContentType="application/vnd.openxmlformats-officedocument.oleObject"/>
  <Override PartName="/xl/embeddings/oleObject30.bin" ContentType="application/vnd.openxmlformats-officedocument.oleObject"/>
  <Override PartName="/xl/embeddings/oleObject31.bin" ContentType="application/vnd.openxmlformats-officedocument.oleObject"/>
  <Override PartName="/xl/embeddings/oleObject32.bin" ContentType="application/vnd.openxmlformats-officedocument.oleObject"/>
  <Override PartName="/xl/embeddings/oleObject33.bin" ContentType="application/vnd.openxmlformats-officedocument.oleObject"/>
  <Override PartName="/xl/embeddings/oleObject34.bin" ContentType="application/vnd.openxmlformats-officedocument.oleObject"/>
  <Override PartName="/xl/comments1.xml" ContentType="application/vnd.openxmlformats-officedocument.spreadsheetml.comments+xml"/>
  <Override PartName="/xl/pivotTables/pivotTable4.xml" ContentType="application/vnd.openxmlformats-officedocument.spreadsheetml.pivotTable+xml"/>
  <Override PartName="/xl/drawings/drawing3.xml" ContentType="application/vnd.openxmlformats-officedocument.drawing+xml"/>
  <Override PartName="/xl/activeX/activeX1.xml" ContentType="application/vnd.ms-office.activeX+xml"/>
  <Override PartName="/xl/activeX/activeX1.bin" ContentType="application/vnd.ms-office.activeX"/>
  <Override PartName="/xl/activeX/activeX2.xml" ContentType="application/vnd.ms-office.activeX+xml"/>
  <Override PartName="/xl/activeX/activeX2.bin" ContentType="application/vnd.ms-office.activeX"/>
  <Override PartName="/xl/activeX/activeX3.xml" ContentType="application/vnd.ms-office.activeX+xml"/>
  <Override PartName="/xl/activeX/activeX3.bin" ContentType="application/vnd.ms-office.activeX"/>
  <Override PartName="/xl/activeX/activeX4.xml" ContentType="application/vnd.ms-office.activeX+xml"/>
  <Override PartName="/xl/activeX/activeX4.bin" ContentType="application/vnd.ms-office.activeX"/>
  <Override PartName="/xl/activeX/activeX5.xml" ContentType="application/vnd.ms-office.activeX+xml"/>
  <Override PartName="/xl/activeX/activeX5.bin" ContentType="application/vnd.ms-office.activeX"/>
  <Override PartName="/xl/activeX/activeX6.xml" ContentType="application/vnd.ms-office.activeX+xml"/>
  <Override PartName="/xl/activeX/activeX6.bin" ContentType="application/vnd.ms-office.activeX"/>
  <Override PartName="/xl/activeX/activeX7.xml" ContentType="application/vnd.ms-office.activeX+xml"/>
  <Override PartName="/xl/activeX/activeX7.bin" ContentType="application/vnd.ms-office.activeX"/>
  <Override PartName="/xl/drawings/drawing4.xml" ContentType="application/vnd.openxmlformats-officedocument.drawing+xml"/>
  <Override PartName="/xl/activeX/activeX8.xml" ContentType="application/vnd.ms-office.activeX+xml"/>
  <Override PartName="/xl/activeX/activeX8.bin" ContentType="application/vnd.ms-office.activeX"/>
  <Override PartName="/xl/activeX/activeX9.xml" ContentType="application/vnd.ms-office.activeX+xml"/>
  <Override PartName="/xl/activeX/activeX9.bin" ContentType="application/vnd.ms-office.activeX"/>
  <Override PartName="/xl/activeX/activeX10.xml" ContentType="application/vnd.ms-office.activeX+xml"/>
  <Override PartName="/xl/activeX/activeX10.bin" ContentType="application/vnd.ms-office.activeX"/>
  <Override PartName="/xl/activeX/activeX11.xml" ContentType="application/vnd.ms-office.activeX+xml"/>
  <Override PartName="/xl/activeX/activeX11.bin" ContentType="application/vnd.ms-office.activeX"/>
  <Override PartName="/xl/activeX/activeX12.xml" ContentType="application/vnd.ms-office.activeX+xml"/>
  <Override PartName="/xl/activeX/activeX12.bin" ContentType="application/vnd.ms-office.activeX"/>
  <Override PartName="/xl/activeX/activeX13.xml" ContentType="application/vnd.ms-office.activeX+xml"/>
  <Override PartName="/xl/activeX/activeX13.bin" ContentType="application/vnd.ms-office.activeX"/>
  <Override PartName="/xl/activeX/activeX14.xml" ContentType="application/vnd.ms-office.activeX+xml"/>
  <Override PartName="/xl/activeX/activeX14.bin" ContentType="application/vnd.ms-office.activeX"/>
  <Override PartName="/xl/activeX/activeX15.xml" ContentType="application/vnd.ms-office.activeX+xml"/>
  <Override PartName="/xl/activeX/activeX15.bin" ContentType="application/vnd.ms-office.activeX"/>
  <Override PartName="/xl/activeX/activeX16.xml" ContentType="application/vnd.ms-office.activeX+xml"/>
  <Override PartName="/xl/activeX/activeX16.bin" ContentType="application/vnd.ms-office.activeX"/>
  <Override PartName="/xl/activeX/activeX17.xml" ContentType="application/vnd.ms-office.activeX+xml"/>
  <Override PartName="/xl/activeX/activeX17.bin" ContentType="application/vnd.ms-office.activeX"/>
  <Override PartName="/xl/activeX/activeX18.xml" ContentType="application/vnd.ms-office.activeX+xml"/>
  <Override PartName="/xl/activeX/activeX18.bin" ContentType="application/vnd.ms-office.activeX"/>
  <Override PartName="/xl/activeX/activeX19.xml" ContentType="application/vnd.ms-office.activeX+xml"/>
  <Override PartName="/xl/activeX/activeX19.bin" ContentType="application/vnd.ms-office.activeX"/>
  <Override PartName="/xl/activeX/activeX20.xml" ContentType="application/vnd.ms-office.activeX+xml"/>
  <Override PartName="/xl/activeX/activeX20.bin" ContentType="application/vnd.ms-office.activeX"/>
  <Override PartName="/xl/activeX/activeX21.xml" ContentType="application/vnd.ms-office.activeX+xml"/>
  <Override PartName="/xl/activeX/activeX21.bin" ContentType="application/vnd.ms-office.activeX"/>
  <Override PartName="/xl/activeX/activeX22.xml" ContentType="application/vnd.ms-office.activeX+xml"/>
  <Override PartName="/xl/activeX/activeX22.bin" ContentType="application/vnd.ms-office.activeX"/>
  <Override PartName="/xl/activeX/activeX23.xml" ContentType="application/vnd.ms-office.activeX+xml"/>
  <Override PartName="/xl/activeX/activeX23.bin" ContentType="application/vnd.ms-office.activeX"/>
  <Override PartName="/xl/activeX/activeX24.xml" ContentType="application/vnd.ms-office.activeX+xml"/>
  <Override PartName="/xl/activeX/activeX24.bin" ContentType="application/vnd.ms-office.activeX"/>
  <Override PartName="/xl/activeX/activeX25.xml" ContentType="application/vnd.ms-office.activeX+xml"/>
  <Override PartName="/xl/activeX/activeX25.bin" ContentType="application/vnd.ms-office.activeX"/>
  <Override PartName="/xl/activeX/activeX26.xml" ContentType="application/vnd.ms-office.activeX+xml"/>
  <Override PartName="/xl/activeX/activeX26.bin" ContentType="application/vnd.ms-office.activeX"/>
  <Override PartName="/xl/activeX/activeX27.xml" ContentType="application/vnd.ms-office.activeX+xml"/>
  <Override PartName="/xl/activeX/activeX27.bin" ContentType="application/vnd.ms-office.activeX"/>
  <Override PartName="/xl/activeX/activeX28.xml" ContentType="application/vnd.ms-office.activeX+xml"/>
  <Override PartName="/xl/activeX/activeX28.bin" ContentType="application/vnd.ms-office.activeX"/>
  <Override PartName="/xl/activeX/activeX29.xml" ContentType="application/vnd.ms-office.activeX+xml"/>
  <Override PartName="/xl/activeX/activeX29.bin" ContentType="application/vnd.ms-office.activeX"/>
  <Override PartName="/xl/activeX/activeX30.xml" ContentType="application/vnd.ms-office.activeX+xml"/>
  <Override PartName="/xl/activeX/activeX30.bin" ContentType="application/vnd.ms-office.activeX"/>
  <Override PartName="/xl/activeX/activeX31.xml" ContentType="application/vnd.ms-office.activeX+xml"/>
  <Override PartName="/xl/activeX/activeX31.bin" ContentType="application/vnd.ms-office.activeX"/>
  <Override PartName="/xl/activeX/activeX32.xml" ContentType="application/vnd.ms-office.activeX+xml"/>
  <Override PartName="/xl/activeX/activeX32.bin" ContentType="application/vnd.ms-office.activeX"/>
  <Override PartName="/xl/activeX/activeX33.xml" ContentType="application/vnd.ms-office.activeX+xml"/>
  <Override PartName="/xl/activeX/activeX33.bin" ContentType="application/vnd.ms-office.activeX"/>
  <Override PartName="/xl/activeX/activeX34.xml" ContentType="application/vnd.ms-office.activeX+xml"/>
  <Override PartName="/xl/activeX/activeX34.bin" ContentType="application/vnd.ms-office.activeX"/>
  <Override PartName="/xl/activeX/activeX35.xml" ContentType="application/vnd.ms-office.activeX+xml"/>
  <Override PartName="/xl/activeX/activeX35.bin" ContentType="application/vnd.ms-office.activeX"/>
  <Override PartName="/xl/activeX/activeX36.xml" ContentType="application/vnd.ms-office.activeX+xml"/>
  <Override PartName="/xl/activeX/activeX36.bin" ContentType="application/vnd.ms-office.activeX"/>
  <Override PartName="/xl/activeX/activeX37.xml" ContentType="application/vnd.ms-office.activeX+xml"/>
  <Override PartName="/xl/activeX/activeX37.bin" ContentType="application/vnd.ms-office.activeX"/>
  <Override PartName="/xl/activeX/activeX38.xml" ContentType="application/vnd.ms-office.activeX+xml"/>
  <Override PartName="/xl/activeX/activeX38.bin" ContentType="application/vnd.ms-office.activeX"/>
  <Override PartName="/xl/activeX/activeX39.xml" ContentType="application/vnd.ms-office.activeX+xml"/>
  <Override PartName="/xl/activeX/activeX39.bin" ContentType="application/vnd.ms-office.activeX"/>
  <Override PartName="/xl/activeX/activeX40.xml" ContentType="application/vnd.ms-office.activeX+xml"/>
  <Override PartName="/xl/activeX/activeX40.bin" ContentType="application/vnd.ms-office.activeX"/>
  <Override PartName="/xl/activeX/activeX41.xml" ContentType="application/vnd.ms-office.activeX+xml"/>
  <Override PartName="/xl/activeX/activeX41.bin" ContentType="application/vnd.ms-office.activeX"/>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19330"/>
  <workbookPr defaultThemeVersion="124226"/>
  <mc:AlternateContent xmlns:mc="http://schemas.openxmlformats.org/markup-compatibility/2006">
    <mc:Choice Requires="x15">
      <x15ac:absPath xmlns:x15ac="http://schemas.microsoft.com/office/spreadsheetml/2010/11/ac" url="D:\CHRISTIAM CORDERO\2017 PROYECTOS\MPD\1. GESTIÓN 2018\9. COMITE DE SEG PDES\"/>
    </mc:Choice>
  </mc:AlternateContent>
  <xr:revisionPtr revIDLastSave="0" documentId="8_{28581884-6038-4F48-81C3-6C6355A170AD}" xr6:coauthVersionLast="33" xr6:coauthVersionMax="33" xr10:uidLastSave="{00000000-0000-0000-0000-000000000000}"/>
  <bookViews>
    <workbookView xWindow="0" yWindow="0" windowWidth="20490" windowHeight="7545" tabRatio="783" activeTab="4" xr2:uid="{00000000-000D-0000-FFFF-FFFF00000000}"/>
  </bookViews>
  <sheets>
    <sheet name="Subcomisiones" sheetId="36" r:id="rId1"/>
    <sheet name="pilar" sheetId="37" r:id="rId2"/>
    <sheet name="Hoja2" sheetId="38" r:id="rId3"/>
    <sheet name="Hoja3" sheetId="39" r:id="rId4"/>
    <sheet name="Matriz_Metadatos_Todo" sheetId="28" r:id="rId5"/>
    <sheet name="TablaDinamica" sheetId="5" state="hidden" r:id="rId6"/>
    <sheet name="Ficha_P21" sheetId="11" state="hidden" r:id="rId7"/>
    <sheet name="Ficha_INE_PDES" sheetId="12" state="hidden" r:id="rId8"/>
    <sheet name="Diseño_Ficha_Indicador" sheetId="1" state="hidden" r:id="rId9"/>
    <sheet name="Diseño_Ficha_FuenteDatos" sheetId="2" state="hidden" r:id="rId10"/>
  </sheets>
  <externalReferences>
    <externalReference r:id="rId11"/>
    <externalReference r:id="rId12"/>
    <externalReference r:id="rId13"/>
    <externalReference r:id="rId14"/>
    <externalReference r:id="rId15"/>
    <externalReference r:id="rId16"/>
    <externalReference r:id="rId17"/>
    <externalReference r:id="rId18"/>
    <externalReference r:id="rId19"/>
    <externalReference r:id="rId20"/>
    <externalReference r:id="rId21"/>
    <externalReference r:id="rId22"/>
    <externalReference r:id="rId23"/>
    <externalReference r:id="rId24"/>
    <externalReference r:id="rId25"/>
    <externalReference r:id="rId26"/>
    <externalReference r:id="rId27"/>
    <externalReference r:id="rId28"/>
    <externalReference r:id="rId29"/>
    <externalReference r:id="rId30"/>
    <externalReference r:id="rId31"/>
    <externalReference r:id="rId32"/>
    <externalReference r:id="rId33"/>
    <externalReference r:id="rId34"/>
    <externalReference r:id="rId35"/>
    <externalReference r:id="rId36"/>
    <externalReference r:id="rId37"/>
    <externalReference r:id="rId38"/>
    <externalReference r:id="rId39"/>
    <externalReference r:id="rId40"/>
    <externalReference r:id="rId41"/>
    <externalReference r:id="rId42"/>
  </externalReferences>
  <definedNames>
    <definedName name="_xlnm._FilterDatabase" localSheetId="4" hidden="1">Matriz_Metadatos_Todo!$A$3:$EM$334</definedName>
    <definedName name="_xlnm.Print_Area" localSheetId="7">Ficha_INE_PDES!$A$1:$L$47</definedName>
    <definedName name="ID_META">#REF!</definedName>
    <definedName name="ID_PILAR">#REF!</definedName>
    <definedName name="ID_RESULTADO">#REF!</definedName>
    <definedName name="Pilar_PDES">#REF!</definedName>
  </definedNames>
  <calcPr calcId="179017"/>
  <pivotCaches>
    <pivotCache cacheId="3" r:id="rId43"/>
    <pivotCache cacheId="4" r:id="rId44"/>
  </pivotCaches>
  <fileRecoveryPr repairLoad="1"/>
</workbook>
</file>

<file path=xl/calcChain.xml><?xml version="1.0" encoding="utf-8"?>
<calcChain xmlns="http://schemas.openxmlformats.org/spreadsheetml/2006/main">
  <c r="AJ159" i="28" l="1"/>
  <c r="Y159" i="28"/>
  <c r="AJ204" i="28"/>
  <c r="J6" i="38" l="1"/>
  <c r="J5" i="38"/>
  <c r="J3" i="38"/>
  <c r="H22" i="38"/>
  <c r="J7" i="38" s="1"/>
  <c r="H23" i="38"/>
  <c r="J8" i="38" s="1"/>
  <c r="H24" i="38"/>
  <c r="H25" i="38"/>
  <c r="J9" i="38" s="1"/>
  <c r="H26" i="38"/>
  <c r="H27" i="38"/>
  <c r="H28" i="38"/>
  <c r="H29" i="38"/>
  <c r="H30" i="38"/>
  <c r="J10" i="38" s="1"/>
  <c r="H21" i="38"/>
  <c r="H20" i="38"/>
  <c r="H17" i="38"/>
  <c r="H16" i="38"/>
  <c r="H15" i="38"/>
  <c r="H14" i="38"/>
  <c r="H9" i="38"/>
  <c r="J4" i="38" s="1"/>
  <c r="H8" i="38"/>
  <c r="H31" i="38" s="1"/>
  <c r="G14" i="39"/>
  <c r="G6" i="39"/>
  <c r="G10" i="39"/>
  <c r="G9" i="39"/>
  <c r="G4" i="39"/>
  <c r="G5" i="39"/>
  <c r="G17" i="39" s="1"/>
  <c r="E356" i="37" l="1"/>
  <c r="E357" i="37"/>
  <c r="D357" i="37"/>
  <c r="C357" i="37"/>
  <c r="G357" i="37" s="1"/>
  <c r="G358" i="37"/>
  <c r="D356" i="37"/>
  <c r="C356" i="37"/>
  <c r="Q349" i="37"/>
  <c r="G356" i="37" l="1"/>
  <c r="G359" i="37" s="1"/>
  <c r="CK148" i="28"/>
  <c r="CG148" i="28"/>
  <c r="CC148" i="28"/>
  <c r="BY148" i="28"/>
  <c r="BU148" i="28"/>
  <c r="BQ148" i="28"/>
  <c r="AJ148" i="28"/>
  <c r="AY148" i="28" s="1"/>
  <c r="CK264" i="28"/>
  <c r="CG264" i="28"/>
  <c r="CC264" i="28"/>
  <c r="BY264" i="28"/>
  <c r="BU264" i="28"/>
  <c r="BQ264" i="28"/>
  <c r="AJ264" i="28"/>
  <c r="AY264" i="28" s="1"/>
  <c r="Y264" i="28"/>
  <c r="X264" i="28"/>
  <c r="CK156" i="28"/>
  <c r="CG156" i="28"/>
  <c r="CC156" i="28"/>
  <c r="BY156" i="28"/>
  <c r="BU156" i="28"/>
  <c r="BQ156" i="28"/>
  <c r="CI156" i="28" s="1"/>
  <c r="AJ156" i="28"/>
  <c r="AY156" i="28" s="1"/>
  <c r="Y156" i="28"/>
  <c r="X156" i="28"/>
  <c r="CK139" i="28"/>
  <c r="CG139" i="28"/>
  <c r="CC139" i="28"/>
  <c r="BY139" i="28"/>
  <c r="BU139" i="28"/>
  <c r="BQ139" i="28"/>
  <c r="AJ139" i="28"/>
  <c r="AY139" i="28" s="1"/>
  <c r="X139" i="28"/>
  <c r="CK138" i="28"/>
  <c r="CG138" i="28"/>
  <c r="CC138" i="28"/>
  <c r="BY138" i="28"/>
  <c r="BT138" i="28"/>
  <c r="BU138" i="28" s="1"/>
  <c r="BQ138" i="28"/>
  <c r="CE138" i="28" s="1"/>
  <c r="AJ138" i="28"/>
  <c r="AY138" i="28" s="1"/>
  <c r="X138" i="28"/>
  <c r="CK137" i="28"/>
  <c r="CG137" i="28"/>
  <c r="CC137" i="28"/>
  <c r="BT137" i="28"/>
  <c r="BU137" i="28" s="1"/>
  <c r="BQ137" i="28"/>
  <c r="CE137" i="28" s="1"/>
  <c r="AJ137" i="28"/>
  <c r="AY137" i="28" s="1"/>
  <c r="X137" i="28"/>
  <c r="CK136" i="28"/>
  <c r="CG136" i="28"/>
  <c r="CC136" i="28"/>
  <c r="BY136" i="28"/>
  <c r="BU136" i="28"/>
  <c r="BQ136" i="28"/>
  <c r="AJ136" i="28"/>
  <c r="AY136" i="28" s="1"/>
  <c r="X136" i="28"/>
  <c r="CK135" i="28"/>
  <c r="CG135" i="28"/>
  <c r="CC135" i="28"/>
  <c r="BY135" i="28"/>
  <c r="BU135" i="28"/>
  <c r="BQ135" i="28"/>
  <c r="AJ135" i="28"/>
  <c r="AY135" i="28" s="1"/>
  <c r="X135" i="28"/>
  <c r="CK134" i="28"/>
  <c r="CG134" i="28"/>
  <c r="CC134" i="28"/>
  <c r="BX134" i="28"/>
  <c r="BY134" i="28" s="1"/>
  <c r="BU134" i="28"/>
  <c r="BQ134" i="28"/>
  <c r="BW134" i="28" s="1"/>
  <c r="AO134" i="28"/>
  <c r="AN134" i="28"/>
  <c r="AJ134" i="28"/>
  <c r="AY134" i="28" s="1"/>
  <c r="X134" i="28"/>
  <c r="CK133" i="28"/>
  <c r="CG133" i="28"/>
  <c r="CC133" i="28"/>
  <c r="BY133" i="28"/>
  <c r="BU133" i="28"/>
  <c r="BQ133" i="28"/>
  <c r="BS133" i="28" s="1"/>
  <c r="AJ133" i="28"/>
  <c r="AY133" i="28" s="1"/>
  <c r="X133" i="28"/>
  <c r="CK132" i="28"/>
  <c r="CG132" i="28"/>
  <c r="CC132" i="28"/>
  <c r="BY132" i="28"/>
  <c r="BU132" i="28"/>
  <c r="BQ132" i="28"/>
  <c r="BW132" i="28" s="1"/>
  <c r="AJ132" i="28"/>
  <c r="AY132" i="28" s="1"/>
  <c r="X132" i="28"/>
  <c r="CK131" i="28"/>
  <c r="CG131" i="28"/>
  <c r="CC131" i="28"/>
  <c r="BY131" i="28"/>
  <c r="BU131" i="28"/>
  <c r="BQ131" i="28"/>
  <c r="CE131" i="28" s="1"/>
  <c r="AJ131" i="28"/>
  <c r="AY131" i="28" s="1"/>
  <c r="X131" i="28"/>
  <c r="CK130" i="28"/>
  <c r="CG130" i="28"/>
  <c r="CC130" i="28"/>
  <c r="BY130" i="28"/>
  <c r="BU130" i="28"/>
  <c r="BQ130" i="28"/>
  <c r="CA130" i="28" s="1"/>
  <c r="AJ130" i="28"/>
  <c r="AY130" i="28" s="1"/>
  <c r="Y130" i="28"/>
  <c r="X130" i="28"/>
  <c r="CK129" i="28"/>
  <c r="CG129" i="28"/>
  <c r="CC129" i="28"/>
  <c r="BY129" i="28"/>
  <c r="BU129" i="28"/>
  <c r="BQ129" i="28"/>
  <c r="CE129" i="28" s="1"/>
  <c r="AJ129" i="28"/>
  <c r="AY129" i="28" s="1"/>
  <c r="Y129" i="28"/>
  <c r="X129" i="28"/>
  <c r="CK128" i="28"/>
  <c r="CG128" i="28"/>
  <c r="CC128" i="28"/>
  <c r="BY128" i="28"/>
  <c r="BU128" i="28"/>
  <c r="BQ128" i="28"/>
  <c r="CA128" i="28" s="1"/>
  <c r="AJ128" i="28"/>
  <c r="AY128" i="28" s="1"/>
  <c r="Y128" i="28"/>
  <c r="X128" i="28"/>
  <c r="CK127" i="28"/>
  <c r="CG127" i="28"/>
  <c r="CC127" i="28"/>
  <c r="BY127" i="28"/>
  <c r="BU127" i="28"/>
  <c r="BQ127" i="28"/>
  <c r="AJ127" i="28"/>
  <c r="AY127" i="28" s="1"/>
  <c r="Z127" i="28"/>
  <c r="Y127" i="28"/>
  <c r="CK126" i="28"/>
  <c r="CG126" i="28"/>
  <c r="CC126" i="28"/>
  <c r="BY126" i="28"/>
  <c r="BU126" i="28"/>
  <c r="BQ126" i="28"/>
  <c r="CE126" i="28" s="1"/>
  <c r="AJ126" i="28"/>
  <c r="AY126" i="28" s="1"/>
  <c r="Z126" i="28"/>
  <c r="Y126" i="28"/>
  <c r="CK125" i="28"/>
  <c r="CG125" i="28"/>
  <c r="CC125" i="28"/>
  <c r="BT125" i="28"/>
  <c r="BO125" i="28"/>
  <c r="BQ125" i="28" s="1"/>
  <c r="CA125" i="28" s="1"/>
  <c r="AJ125" i="28"/>
  <c r="AY125" i="28" s="1"/>
  <c r="Z125" i="28"/>
  <c r="Y125" i="28"/>
  <c r="X125" i="28"/>
  <c r="CK124" i="28"/>
  <c r="CG124" i="28"/>
  <c r="CC124" i="28"/>
  <c r="BY124" i="28"/>
  <c r="BU124" i="28"/>
  <c r="BQ124" i="28"/>
  <c r="AJ124" i="28"/>
  <c r="AY124" i="28" s="1"/>
  <c r="Z124" i="28"/>
  <c r="Y124" i="28"/>
  <c r="CK123" i="28"/>
  <c r="CG123" i="28"/>
  <c r="CC123" i="28"/>
  <c r="BY123" i="28"/>
  <c r="BU123" i="28"/>
  <c r="BQ123" i="28"/>
  <c r="CE123" i="28" s="1"/>
  <c r="AJ123" i="28"/>
  <c r="AY123" i="28" s="1"/>
  <c r="Z123" i="28"/>
  <c r="Y123" i="28"/>
  <c r="X123" i="28"/>
  <c r="CK21" i="28"/>
  <c r="CG21" i="28"/>
  <c r="CC21" i="28"/>
  <c r="BY21" i="28"/>
  <c r="BU21" i="28"/>
  <c r="BQ21" i="28"/>
  <c r="AJ21" i="28"/>
  <c r="AY21" i="28" s="1"/>
  <c r="Z21" i="28"/>
  <c r="Y21" i="28"/>
  <c r="X21" i="28"/>
  <c r="CL124" i="28" l="1"/>
  <c r="CD126" i="28"/>
  <c r="CA126" i="28"/>
  <c r="BV123" i="28"/>
  <c r="CI134" i="28"/>
  <c r="CL126" i="28"/>
  <c r="BZ134" i="28"/>
  <c r="CL133" i="28"/>
  <c r="CH134" i="28"/>
  <c r="CL128" i="28"/>
  <c r="CD138" i="28"/>
  <c r="CH126" i="28"/>
  <c r="CH131" i="28"/>
  <c r="CL134" i="28"/>
  <c r="CL130" i="28"/>
  <c r="CI138" i="28"/>
  <c r="BZ128" i="28"/>
  <c r="BZ129" i="28"/>
  <c r="CD136" i="28"/>
  <c r="CD156" i="28"/>
  <c r="BW129" i="28"/>
  <c r="BV133" i="28"/>
  <c r="BX137" i="28"/>
  <c r="BY137" i="28" s="1"/>
  <c r="BZ137" i="28" s="1"/>
  <c r="BW156" i="28"/>
  <c r="BW123" i="28"/>
  <c r="BZ130" i="28"/>
  <c r="CH129" i="28"/>
  <c r="BZ131" i="28"/>
  <c r="CD133" i="28"/>
  <c r="CL137" i="28"/>
  <c r="BV138" i="28"/>
  <c r="CH156" i="28"/>
  <c r="CH123" i="28"/>
  <c r="BV126" i="28"/>
  <c r="CL127" i="28"/>
  <c r="CA131" i="28"/>
  <c r="CE133" i="28"/>
  <c r="BW138" i="28"/>
  <c r="BV129" i="28"/>
  <c r="BW133" i="28"/>
  <c r="CD137" i="28"/>
  <c r="CL138" i="28"/>
  <c r="BZ133" i="28"/>
  <c r="CH136" i="28"/>
  <c r="BS138" i="28"/>
  <c r="BW126" i="28"/>
  <c r="CH130" i="28"/>
  <c r="CH133" i="28"/>
  <c r="BV134" i="28"/>
  <c r="BZ138" i="28"/>
  <c r="CL156" i="28"/>
  <c r="BV124" i="28"/>
  <c r="BV132" i="28"/>
  <c r="CI123" i="28"/>
  <c r="BZ124" i="28"/>
  <c r="CA129" i="28"/>
  <c r="CD131" i="28"/>
  <c r="BZ132" i="28"/>
  <c r="CL136" i="28"/>
  <c r="CH137" i="28"/>
  <c r="BV156" i="28"/>
  <c r="CL123" i="28"/>
  <c r="CD124" i="28"/>
  <c r="CI126" i="28"/>
  <c r="BV128" i="28"/>
  <c r="CD129" i="28"/>
  <c r="CA132" i="28"/>
  <c r="CI133" i="28"/>
  <c r="CI137" i="28"/>
  <c r="CH138" i="28"/>
  <c r="BS156" i="28"/>
  <c r="CH124" i="28"/>
  <c r="CD132" i="28"/>
  <c r="CI129" i="28"/>
  <c r="CI131" i="28"/>
  <c r="CD128" i="28"/>
  <c r="CL129" i="28"/>
  <c r="BV131" i="28"/>
  <c r="CL131" i="28"/>
  <c r="CI132" i="28"/>
  <c r="BV137" i="28"/>
  <c r="BZ156" i="28"/>
  <c r="CH132" i="28"/>
  <c r="BZ123" i="28"/>
  <c r="CD123" i="28"/>
  <c r="BZ126" i="28"/>
  <c r="CH128" i="28"/>
  <c r="CD130" i="28"/>
  <c r="BW131" i="28"/>
  <c r="CL132" i="28"/>
  <c r="CA133" i="28"/>
  <c r="BW137" i="28"/>
  <c r="CA156" i="28"/>
  <c r="CL148" i="28"/>
  <c r="CA148" i="28"/>
  <c r="CI148" i="28"/>
  <c r="BS148" i="28"/>
  <c r="CE148" i="28"/>
  <c r="BW148" i="28"/>
  <c r="BV127" i="28"/>
  <c r="BZ139" i="28"/>
  <c r="BV148" i="28"/>
  <c r="CI124" i="28"/>
  <c r="BW124" i="28"/>
  <c r="BS124" i="28"/>
  <c r="CE124" i="28"/>
  <c r="CD125" i="28"/>
  <c r="BZ127" i="28"/>
  <c r="CI128" i="28"/>
  <c r="BS128" i="28"/>
  <c r="BW128" i="28"/>
  <c r="CE128" i="28"/>
  <c r="CD139" i="28"/>
  <c r="BZ148" i="28"/>
  <c r="BX125" i="28"/>
  <c r="BY125" i="28" s="1"/>
  <c r="BZ125" i="28" s="1"/>
  <c r="BU125" i="28"/>
  <c r="BV125" i="28" s="1"/>
  <c r="CI127" i="28"/>
  <c r="BW127" i="28"/>
  <c r="CE127" i="28"/>
  <c r="BS127" i="28"/>
  <c r="BV139" i="28"/>
  <c r="CH125" i="28"/>
  <c r="CA127" i="28"/>
  <c r="CA136" i="28"/>
  <c r="CE136" i="28"/>
  <c r="BS136" i="28"/>
  <c r="CI136" i="28"/>
  <c r="BW136" i="28"/>
  <c r="CH139" i="28"/>
  <c r="CD148" i="28"/>
  <c r="CD127" i="28"/>
  <c r="CI130" i="28"/>
  <c r="BW130" i="28"/>
  <c r="CE130" i="28"/>
  <c r="BS130" i="28"/>
  <c r="BV136" i="28"/>
  <c r="CH148" i="28"/>
  <c r="CI125" i="28"/>
  <c r="CE125" i="28"/>
  <c r="BW125" i="28"/>
  <c r="BS125" i="28"/>
  <c r="CL139" i="28"/>
  <c r="CA139" i="28"/>
  <c r="CI139" i="28"/>
  <c r="CE139" i="28"/>
  <c r="BS139" i="28"/>
  <c r="BW139" i="28"/>
  <c r="CA124" i="28"/>
  <c r="CL125" i="28"/>
  <c r="CH127" i="28"/>
  <c r="BV130" i="28"/>
  <c r="BZ136" i="28"/>
  <c r="CA134" i="28"/>
  <c r="CA123" i="28"/>
  <c r="BS132" i="28"/>
  <c r="BS134" i="28"/>
  <c r="BS137" i="28"/>
  <c r="CA137" i="28"/>
  <c r="CA138" i="28"/>
  <c r="BS126" i="28"/>
  <c r="CE134" i="28"/>
  <c r="CE156" i="28"/>
  <c r="BS131" i="28"/>
  <c r="CE132" i="28"/>
  <c r="CD134" i="28"/>
  <c r="BS123" i="28"/>
  <c r="BS129" i="28"/>
  <c r="CK83" i="28" l="1"/>
  <c r="CG83" i="28"/>
  <c r="CC83" i="28"/>
  <c r="BY83" i="28"/>
  <c r="BU83" i="28"/>
  <c r="BQ83" i="28"/>
  <c r="AO83" i="28"/>
  <c r="CK82" i="28"/>
  <c r="CG82" i="28"/>
  <c r="CC82" i="28"/>
  <c r="BY82" i="28"/>
  <c r="BU82" i="28"/>
  <c r="BQ82" i="28"/>
  <c r="CK78" i="28"/>
  <c r="CG78" i="28"/>
  <c r="CC78" i="28"/>
  <c r="BY78" i="28"/>
  <c r="BU78" i="28"/>
  <c r="BQ78" i="28"/>
  <c r="CE78" i="28" s="1"/>
  <c r="AJ78" i="28"/>
  <c r="AY78" i="28" s="1"/>
  <c r="Y78" i="28"/>
  <c r="X78" i="28"/>
  <c r="CK77" i="28"/>
  <c r="CG77" i="28"/>
  <c r="CC77" i="28"/>
  <c r="BX77" i="28"/>
  <c r="BY77" i="28" s="1"/>
  <c r="BU77" i="28"/>
  <c r="BQ77" i="28"/>
  <c r="CA77" i="28" s="1"/>
  <c r="AJ77" i="28"/>
  <c r="AY77" i="28" s="1"/>
  <c r="Y77" i="28"/>
  <c r="X77" i="28"/>
  <c r="CK76" i="28"/>
  <c r="CG76" i="28"/>
  <c r="CC76" i="28"/>
  <c r="BY76" i="28"/>
  <c r="BU76" i="28"/>
  <c r="BQ76" i="28"/>
  <c r="BW76" i="28" s="1"/>
  <c r="AJ76" i="28"/>
  <c r="AY76" i="28" s="1"/>
  <c r="Y76" i="28"/>
  <c r="X76" i="28"/>
  <c r="CH78" i="28" l="1"/>
  <c r="CI78" i="28"/>
  <c r="CA76" i="28"/>
  <c r="CD76" i="28"/>
  <c r="BW78" i="28"/>
  <c r="BZ78" i="28"/>
  <c r="CE76" i="28"/>
  <c r="BZ77" i="28"/>
  <c r="CD77" i="28"/>
  <c r="CL76" i="28"/>
  <c r="BV76" i="28"/>
  <c r="BZ76" i="28"/>
  <c r="CE77" i="28"/>
  <c r="CL78" i="28"/>
  <c r="BV78" i="28"/>
  <c r="CH77" i="28"/>
  <c r="BS77" i="28"/>
  <c r="CI77" i="28"/>
  <c r="CH76" i="28"/>
  <c r="BV77" i="28"/>
  <c r="CL77" i="28"/>
  <c r="CD78" i="28"/>
  <c r="BS76" i="28"/>
  <c r="CI76" i="28"/>
  <c r="BW77" i="28"/>
  <c r="CA78" i="28"/>
  <c r="BS78" i="28"/>
  <c r="BY191" i="28" l="1"/>
  <c r="BU191" i="28"/>
  <c r="BQ191" i="28"/>
  <c r="AJ191" i="28"/>
  <c r="AY191" i="28" s="1"/>
  <c r="BQ190" i="28"/>
  <c r="AJ190" i="28"/>
  <c r="AY190" i="28" s="1"/>
  <c r="BY189" i="28"/>
  <c r="BV189" i="28"/>
  <c r="BU189" i="28"/>
  <c r="BQ189" i="28"/>
  <c r="AJ189" i="28"/>
  <c r="AY189" i="28" s="1"/>
  <c r="Y189" i="28"/>
  <c r="X189" i="28"/>
  <c r="BX188" i="28"/>
  <c r="BT188" i="28"/>
  <c r="CC187" i="28"/>
  <c r="BY187" i="28"/>
  <c r="BQ187" i="28"/>
  <c r="AJ187" i="28"/>
  <c r="AY187" i="28" s="1"/>
  <c r="AJ186" i="28"/>
  <c r="AY186" i="28" s="1"/>
  <c r="Y186" i="28"/>
  <c r="AJ185" i="28"/>
  <c r="AY185" i="28" s="1"/>
  <c r="Y185" i="28"/>
  <c r="AJ184" i="28"/>
  <c r="AY184" i="28" s="1"/>
  <c r="Y184" i="28"/>
  <c r="AJ183" i="28"/>
  <c r="AY183" i="28" s="1"/>
  <c r="Y183" i="28"/>
  <c r="AJ180" i="28"/>
  <c r="AY180" i="28" s="1"/>
  <c r="Y180" i="28"/>
  <c r="AJ179" i="28"/>
  <c r="AY179" i="28" s="1"/>
  <c r="Y179" i="28"/>
  <c r="AJ178" i="28"/>
  <c r="AY178" i="28" s="1"/>
  <c r="Y178" i="28"/>
  <c r="AJ177" i="28"/>
  <c r="AY177" i="28" s="1"/>
  <c r="Y177" i="28"/>
  <c r="AJ176" i="28"/>
  <c r="AY176" i="28" s="1"/>
  <c r="Y176" i="28"/>
  <c r="AJ175" i="28"/>
  <c r="AY175" i="28" s="1"/>
  <c r="Y175" i="28"/>
  <c r="AJ174" i="28"/>
  <c r="AY174" i="28" s="1"/>
  <c r="Y174" i="28"/>
  <c r="AJ173" i="28"/>
  <c r="AY173" i="28" s="1"/>
  <c r="Y173" i="28"/>
  <c r="AJ172" i="28"/>
  <c r="AY172" i="28" s="1"/>
  <c r="Y172" i="28"/>
  <c r="CI171" i="28"/>
  <c r="CE171" i="28"/>
  <c r="CA171" i="28"/>
  <c r="BW171" i="28"/>
  <c r="BS171" i="28"/>
  <c r="AJ171" i="28"/>
  <c r="AY171" i="28" s="1"/>
  <c r="Y171" i="28"/>
  <c r="CI170" i="28"/>
  <c r="CE170" i="28"/>
  <c r="CA170" i="28"/>
  <c r="BW170" i="28"/>
  <c r="AJ170" i="28"/>
  <c r="AY170" i="28" s="1"/>
  <c r="Y170" i="28"/>
  <c r="CI169" i="28"/>
  <c r="CE169" i="28"/>
  <c r="CA169" i="28"/>
  <c r="BW169" i="28"/>
  <c r="AJ169" i="28"/>
  <c r="AY169" i="28" s="1"/>
  <c r="Y169" i="28"/>
  <c r="CI168" i="28"/>
  <c r="CE168" i="28"/>
  <c r="CA168" i="28"/>
  <c r="BW168" i="28"/>
  <c r="AJ168" i="28"/>
  <c r="AY168" i="28" s="1"/>
  <c r="Y168" i="28"/>
  <c r="AJ167" i="28"/>
  <c r="AY167" i="28" s="1"/>
  <c r="Y167" i="28"/>
  <c r="X167" i="28"/>
  <c r="CK166" i="28"/>
  <c r="CG166" i="28"/>
  <c r="CC166" i="28"/>
  <c r="BY166" i="28"/>
  <c r="BU166" i="28"/>
  <c r="BQ166" i="28"/>
  <c r="BS166" i="28" s="1"/>
  <c r="AJ166" i="28"/>
  <c r="AY166" i="28" s="1"/>
  <c r="Y166" i="28"/>
  <c r="CK165" i="28"/>
  <c r="CG165" i="28"/>
  <c r="CC165" i="28"/>
  <c r="BY165" i="28"/>
  <c r="BU165" i="28"/>
  <c r="BQ165" i="28"/>
  <c r="BW165" i="28" s="1"/>
  <c r="AJ165" i="28"/>
  <c r="AY165" i="28" s="1"/>
  <c r="Y165" i="28"/>
  <c r="BX164" i="28"/>
  <c r="BT164" i="28"/>
  <c r="BN164" i="28"/>
  <c r="AJ164" i="28"/>
  <c r="AY164" i="28" s="1"/>
  <c r="Y164" i="28"/>
  <c r="X164" i="28"/>
  <c r="AJ163" i="28"/>
  <c r="AY163" i="28" s="1"/>
  <c r="Y163" i="28"/>
  <c r="X163" i="28"/>
  <c r="AJ162" i="28"/>
  <c r="AY162" i="28" s="1"/>
  <c r="Y162" i="28"/>
  <c r="X162" i="28"/>
  <c r="AJ161" i="28"/>
  <c r="AY161" i="28" s="1"/>
  <c r="Y161" i="28"/>
  <c r="X161" i="28"/>
  <c r="CK160" i="28"/>
  <c r="CG160" i="28"/>
  <c r="CC160" i="28"/>
  <c r="BY160" i="28"/>
  <c r="BU160" i="28"/>
  <c r="AJ160" i="28"/>
  <c r="AY160" i="28" s="1"/>
  <c r="Y160" i="28"/>
  <c r="X160" i="28"/>
  <c r="BY159" i="28"/>
  <c r="BU159" i="28"/>
  <c r="BY158" i="28"/>
  <c r="BU158" i="28"/>
  <c r="AJ158" i="28"/>
  <c r="Y158" i="28"/>
  <c r="CK157" i="28"/>
  <c r="CG157" i="28"/>
  <c r="CC157" i="28"/>
  <c r="BY157" i="28"/>
  <c r="BU157" i="28"/>
  <c r="BQ157" i="28"/>
  <c r="CE157" i="28" s="1"/>
  <c r="AJ157" i="28"/>
  <c r="AY157" i="28" s="1"/>
  <c r="Y157" i="28"/>
  <c r="X157" i="28"/>
  <c r="CL157" i="28" l="1"/>
  <c r="BZ189" i="28"/>
  <c r="BZ187" i="28"/>
  <c r="BZ165" i="28"/>
  <c r="BV165" i="28"/>
  <c r="BV157" i="28"/>
  <c r="CD165" i="28"/>
  <c r="CD157" i="28"/>
  <c r="CH157" i="28"/>
  <c r="CD187" i="28"/>
  <c r="BZ191" i="28"/>
  <c r="BV166" i="28"/>
  <c r="CH165" i="28"/>
  <c r="BZ166" i="28"/>
  <c r="CI165" i="28"/>
  <c r="CD166" i="28"/>
  <c r="CL165" i="28"/>
  <c r="CE166" i="28"/>
  <c r="CH166" i="28"/>
  <c r="BV191" i="28"/>
  <c r="CI157" i="28"/>
  <c r="CA165" i="28"/>
  <c r="BW166" i="28"/>
  <c r="BW157" i="28"/>
  <c r="BZ157" i="28"/>
  <c r="CI166" i="28"/>
  <c r="CA157" i="28"/>
  <c r="BS165" i="28"/>
  <c r="CE165" i="28"/>
  <c r="CA166" i="28"/>
  <c r="CL166" i="28"/>
  <c r="BS157" i="28"/>
  <c r="CK276" i="28"/>
  <c r="CG276" i="28"/>
  <c r="CC276" i="28"/>
  <c r="BY276" i="28"/>
  <c r="BU276" i="28"/>
  <c r="BQ276" i="28"/>
  <c r="CA276" i="28" s="1"/>
  <c r="AJ276" i="28"/>
  <c r="AY276" i="28" s="1"/>
  <c r="Y276" i="28"/>
  <c r="X276" i="28"/>
  <c r="CK275" i="28"/>
  <c r="CG275" i="28"/>
  <c r="CC275" i="28"/>
  <c r="BY275" i="28"/>
  <c r="BU275" i="28"/>
  <c r="BQ275" i="28"/>
  <c r="CE275" i="28" s="1"/>
  <c r="AJ275" i="28"/>
  <c r="AY275" i="28" s="1"/>
  <c r="Y275" i="28"/>
  <c r="X275" i="28"/>
  <c r="CK274" i="28"/>
  <c r="CG274" i="28"/>
  <c r="CC274" i="28"/>
  <c r="BY274" i="28"/>
  <c r="BU274" i="28"/>
  <c r="BQ274" i="28"/>
  <c r="CA274" i="28" s="1"/>
  <c r="AJ274" i="28"/>
  <c r="AY274" i="28" s="1"/>
  <c r="Y274" i="28"/>
  <c r="X274" i="28"/>
  <c r="CK273" i="28"/>
  <c r="CG273" i="28"/>
  <c r="CC273" i="28"/>
  <c r="BY273" i="28"/>
  <c r="BU273" i="28"/>
  <c r="BQ273" i="28"/>
  <c r="CE273" i="28" s="1"/>
  <c r="AJ273" i="28"/>
  <c r="AY273" i="28" s="1"/>
  <c r="Y273" i="28"/>
  <c r="X273" i="28"/>
  <c r="BW273" i="28" l="1"/>
  <c r="BZ273" i="28"/>
  <c r="CL273" i="28"/>
  <c r="BZ275" i="28"/>
  <c r="BV275" i="28"/>
  <c r="CH273" i="28"/>
  <c r="CD274" i="28"/>
  <c r="BW275" i="28"/>
  <c r="CD275" i="28"/>
  <c r="CH274" i="28"/>
  <c r="CL274" i="28"/>
  <c r="CA275" i="28"/>
  <c r="BV273" i="28"/>
  <c r="CH275" i="28"/>
  <c r="CA273" i="28"/>
  <c r="BV276" i="28"/>
  <c r="BV274" i="28"/>
  <c r="CI275" i="28"/>
  <c r="CD276" i="28"/>
  <c r="CD273" i="28"/>
  <c r="BZ274" i="28"/>
  <c r="CL275" i="28"/>
  <c r="CH276" i="28"/>
  <c r="CI273" i="28"/>
  <c r="CL276" i="28"/>
  <c r="CE274" i="28"/>
  <c r="BS274" i="28"/>
  <c r="CE276" i="28"/>
  <c r="BW276" i="28"/>
  <c r="BS273" i="28"/>
  <c r="CI276" i="28"/>
  <c r="BS276" i="28"/>
  <c r="BW274" i="28"/>
  <c r="CI274" i="28"/>
  <c r="BS275" i="28"/>
  <c r="BZ276" i="28"/>
  <c r="CK271" i="28" l="1"/>
  <c r="CC271" i="28"/>
  <c r="BY271" i="28"/>
  <c r="BU271" i="28"/>
  <c r="BQ271" i="28"/>
  <c r="CH271" i="28" s="1"/>
  <c r="CK270" i="28"/>
  <c r="CC270" i="28"/>
  <c r="BY270" i="28"/>
  <c r="BU270" i="28"/>
  <c r="BQ270" i="28"/>
  <c r="CK269" i="28"/>
  <c r="CC269" i="28"/>
  <c r="BY269" i="28"/>
  <c r="BU269" i="28"/>
  <c r="BQ269" i="28"/>
  <c r="CA269" i="28" s="1"/>
  <c r="CK268" i="28"/>
  <c r="CC268" i="28"/>
  <c r="BY268" i="28"/>
  <c r="BU268" i="28"/>
  <c r="BQ268" i="28"/>
  <c r="CH268" i="28" s="1"/>
  <c r="CK267" i="28"/>
  <c r="CG267" i="28"/>
  <c r="CC267" i="28"/>
  <c r="BY267" i="28"/>
  <c r="BU267" i="28"/>
  <c r="BQ267" i="28"/>
  <c r="CI267" i="28" s="1"/>
  <c r="AJ267" i="28"/>
  <c r="AY267" i="28" s="1"/>
  <c r="Y267" i="28"/>
  <c r="X267" i="28"/>
  <c r="CK266" i="28"/>
  <c r="CG266" i="28"/>
  <c r="CC266" i="28"/>
  <c r="BX266" i="28"/>
  <c r="BY266" i="28" s="1"/>
  <c r="BU266" i="28"/>
  <c r="BQ266" i="28"/>
  <c r="BW266" i="28" s="1"/>
  <c r="AJ266" i="28"/>
  <c r="AY266" i="28" s="1"/>
  <c r="Y266" i="28"/>
  <c r="X266" i="28"/>
  <c r="CK265" i="28"/>
  <c r="CG265" i="28"/>
  <c r="CC265" i="28"/>
  <c r="BT265" i="28"/>
  <c r="BU265" i="28" s="1"/>
  <c r="BQ265" i="28"/>
  <c r="CA265" i="28" s="1"/>
  <c r="AJ265" i="28"/>
  <c r="AY265" i="28" s="1"/>
  <c r="Y265" i="28"/>
  <c r="X265" i="28"/>
  <c r="CK214" i="28"/>
  <c r="CG214" i="28"/>
  <c r="CC214" i="28"/>
  <c r="BY214" i="28"/>
  <c r="BU214" i="28"/>
  <c r="BQ214" i="28"/>
  <c r="AJ214" i="28"/>
  <c r="AY214" i="28" s="1"/>
  <c r="Y214" i="28"/>
  <c r="X214" i="28"/>
  <c r="CK213" i="28"/>
  <c r="CG213" i="28"/>
  <c r="CC213" i="28"/>
  <c r="BY213" i="28"/>
  <c r="BU213" i="28"/>
  <c r="BQ213" i="28"/>
  <c r="CE213" i="28" s="1"/>
  <c r="AJ213" i="28"/>
  <c r="AY213" i="28" s="1"/>
  <c r="Y213" i="28"/>
  <c r="X213" i="28"/>
  <c r="CK230" i="28"/>
  <c r="CG230" i="28"/>
  <c r="CC230" i="28"/>
  <c r="BT230" i="28"/>
  <c r="BX230" i="28" s="1"/>
  <c r="BY230" i="28" s="1"/>
  <c r="BO230" i="28"/>
  <c r="BQ230" i="28" s="1"/>
  <c r="CI230" i="28" s="1"/>
  <c r="AJ230" i="28"/>
  <c r="AY230" i="28" s="1"/>
  <c r="Y230" i="28"/>
  <c r="X230" i="28"/>
  <c r="CK229" i="28"/>
  <c r="CG229" i="28"/>
  <c r="CC229" i="28"/>
  <c r="BY229" i="28"/>
  <c r="BU229" i="28"/>
  <c r="BQ229" i="28"/>
  <c r="AJ229" i="28"/>
  <c r="Y229" i="28"/>
  <c r="X229" i="28"/>
  <c r="CK228" i="28"/>
  <c r="CG228" i="28"/>
  <c r="CC228" i="28"/>
  <c r="BT228" i="28"/>
  <c r="BU228" i="28" s="1"/>
  <c r="BO228" i="28"/>
  <c r="BQ228" i="28" s="1"/>
  <c r="CI228" i="28" s="1"/>
  <c r="AJ228" i="28"/>
  <c r="AY228" i="28" s="1"/>
  <c r="Y228" i="28"/>
  <c r="X228" i="28"/>
  <c r="CK227" i="28"/>
  <c r="CG227" i="28"/>
  <c r="CC227" i="28"/>
  <c r="BY227" i="28"/>
  <c r="BU227" i="28"/>
  <c r="BQ227" i="28"/>
  <c r="CI227" i="28" s="1"/>
  <c r="AJ227" i="28"/>
  <c r="AY227" i="28" s="1"/>
  <c r="Y227" i="28"/>
  <c r="X227" i="28"/>
  <c r="CK226" i="28"/>
  <c r="CG226" i="28"/>
  <c r="CC226" i="28"/>
  <c r="BY226" i="28"/>
  <c r="BU226" i="28"/>
  <c r="BQ226" i="28"/>
  <c r="BW226" i="28" s="1"/>
  <c r="AJ226" i="28"/>
  <c r="AY226" i="28" s="1"/>
  <c r="Y226" i="28"/>
  <c r="X226" i="28"/>
  <c r="CK225" i="28"/>
  <c r="CG225" i="28"/>
  <c r="CC225" i="28"/>
  <c r="BY225" i="28"/>
  <c r="BU225" i="28"/>
  <c r="BQ225" i="28"/>
  <c r="CI225" i="28" s="1"/>
  <c r="AJ225" i="28"/>
  <c r="AY225" i="28" s="1"/>
  <c r="X225" i="28"/>
  <c r="CK224" i="28"/>
  <c r="CG224" i="28"/>
  <c r="CC224" i="28"/>
  <c r="BY224" i="28"/>
  <c r="BU224" i="28"/>
  <c r="BQ224" i="28"/>
  <c r="CA224" i="28" s="1"/>
  <c r="AJ224" i="28"/>
  <c r="AY224" i="28" s="1"/>
  <c r="X224" i="28"/>
  <c r="CK223" i="28"/>
  <c r="CG223" i="28"/>
  <c r="CC223" i="28"/>
  <c r="BY223" i="28"/>
  <c r="BU223" i="28"/>
  <c r="BQ223" i="28"/>
  <c r="AJ223" i="28"/>
  <c r="AY223" i="28" s="1"/>
  <c r="X223" i="28"/>
  <c r="CK222" i="28"/>
  <c r="CG222" i="28"/>
  <c r="CC222" i="28"/>
  <c r="BY222" i="28"/>
  <c r="BU222" i="28"/>
  <c r="BQ222" i="28"/>
  <c r="BS222" i="28" s="1"/>
  <c r="AJ222" i="28"/>
  <c r="AY222" i="28" s="1"/>
  <c r="X222" i="28"/>
  <c r="CK221" i="28"/>
  <c r="CG221" i="28"/>
  <c r="CC221" i="28"/>
  <c r="BY221" i="28"/>
  <c r="BU221" i="28"/>
  <c r="BQ221" i="28"/>
  <c r="BW221" i="28" s="1"/>
  <c r="AJ221" i="28"/>
  <c r="AY221" i="28" s="1"/>
  <c r="X221" i="28"/>
  <c r="CK220" i="28"/>
  <c r="CG220" i="28"/>
  <c r="CC220" i="28"/>
  <c r="BY220" i="28"/>
  <c r="BU220" i="28"/>
  <c r="BQ220" i="28"/>
  <c r="CI220" i="28" s="1"/>
  <c r="AJ220" i="28"/>
  <c r="AY220" i="28" s="1"/>
  <c r="X220" i="28"/>
  <c r="CK219" i="28"/>
  <c r="CG219" i="28"/>
  <c r="CC219" i="28"/>
  <c r="BY219" i="28"/>
  <c r="BU219" i="28"/>
  <c r="BQ219" i="28"/>
  <c r="BW219" i="28" s="1"/>
  <c r="AJ219" i="28"/>
  <c r="AY219" i="28" s="1"/>
  <c r="X219" i="28"/>
  <c r="CK218" i="28"/>
  <c r="CG218" i="28"/>
  <c r="CC218" i="28"/>
  <c r="BY218" i="28"/>
  <c r="BU218" i="28"/>
  <c r="BQ218" i="28"/>
  <c r="CI218" i="28" s="1"/>
  <c r="AJ218" i="28"/>
  <c r="AY218" i="28" s="1"/>
  <c r="X218" i="28"/>
  <c r="CK217" i="28"/>
  <c r="CG217" i="28"/>
  <c r="CC217" i="28"/>
  <c r="BY217" i="28"/>
  <c r="BU217" i="28"/>
  <c r="BQ217" i="28"/>
  <c r="CI217" i="28" s="1"/>
  <c r="AJ217" i="28"/>
  <c r="AY217" i="28" s="1"/>
  <c r="X217" i="28"/>
  <c r="CK216" i="28"/>
  <c r="CG216" i="28"/>
  <c r="CC216" i="28"/>
  <c r="BY216" i="28"/>
  <c r="BU216" i="28"/>
  <c r="BQ216" i="28"/>
  <c r="CE216" i="28" s="1"/>
  <c r="AJ216" i="28"/>
  <c r="AY216" i="28" s="1"/>
  <c r="X216" i="28"/>
  <c r="CK215" i="28"/>
  <c r="CG215" i="28"/>
  <c r="CC215" i="28"/>
  <c r="BY215" i="28"/>
  <c r="BU215" i="28"/>
  <c r="BQ215" i="28"/>
  <c r="BW215" i="28" s="1"/>
  <c r="AJ215" i="28"/>
  <c r="AY215" i="28" s="1"/>
  <c r="X215" i="28"/>
  <c r="CC212" i="28"/>
  <c r="BY212" i="28"/>
  <c r="BU212" i="28"/>
  <c r="BQ212" i="28"/>
  <c r="AJ212" i="28"/>
  <c r="AY212" i="28" s="1"/>
  <c r="Y212" i="28"/>
  <c r="X212" i="28"/>
  <c r="CC211" i="28"/>
  <c r="BY211" i="28"/>
  <c r="BU211" i="28"/>
  <c r="BQ211" i="28"/>
  <c r="CE211" i="28" s="1"/>
  <c r="AJ211" i="28"/>
  <c r="AY211" i="28" s="1"/>
  <c r="Y211" i="28"/>
  <c r="X211" i="28"/>
  <c r="CC210" i="28"/>
  <c r="BY210" i="28"/>
  <c r="BU210" i="28"/>
  <c r="BQ210" i="28"/>
  <c r="CH210" i="28" s="1"/>
  <c r="AJ210" i="28"/>
  <c r="AY210" i="28" s="1"/>
  <c r="Y210" i="28"/>
  <c r="X210" i="28"/>
  <c r="CC209" i="28"/>
  <c r="BY209" i="28"/>
  <c r="BU209" i="28"/>
  <c r="BQ209" i="28"/>
  <c r="CL209" i="28" s="1"/>
  <c r="AJ209" i="28"/>
  <c r="AY209" i="28" s="1"/>
  <c r="Y209" i="28"/>
  <c r="X209" i="28"/>
  <c r="CK208" i="28"/>
  <c r="CG208" i="28"/>
  <c r="CC208" i="28"/>
  <c r="BY208" i="28"/>
  <c r="BU208" i="28"/>
  <c r="BQ208" i="28"/>
  <c r="BW208" i="28" s="1"/>
  <c r="AJ208" i="28"/>
  <c r="AY208" i="28" s="1"/>
  <c r="Y208" i="28"/>
  <c r="X208" i="28"/>
  <c r="CK207" i="28"/>
  <c r="CG207" i="28"/>
  <c r="CC207" i="28"/>
  <c r="BX207" i="28"/>
  <c r="BY207" i="28" s="1"/>
  <c r="BW207" i="28"/>
  <c r="BU207" i="28"/>
  <c r="BQ207" i="28"/>
  <c r="CE207" i="28" s="1"/>
  <c r="AJ207" i="28"/>
  <c r="AY207" i="28" s="1"/>
  <c r="X207" i="28"/>
  <c r="CK206" i="28"/>
  <c r="CG206" i="28"/>
  <c r="CC206" i="28"/>
  <c r="BY206" i="28"/>
  <c r="BU206" i="28"/>
  <c r="BQ206" i="28"/>
  <c r="BW206" i="28" s="1"/>
  <c r="AJ206" i="28"/>
  <c r="AY206" i="28" s="1"/>
  <c r="X206" i="28"/>
  <c r="CK205" i="28"/>
  <c r="CG205" i="28"/>
  <c r="CC205" i="28"/>
  <c r="BY205" i="28"/>
  <c r="BU205" i="28"/>
  <c r="BQ205" i="28"/>
  <c r="CI205" i="28" s="1"/>
  <c r="AJ205" i="28"/>
  <c r="AY205" i="28" s="1"/>
  <c r="X205" i="28"/>
  <c r="CD224" i="28" l="1"/>
  <c r="CL270" i="28"/>
  <c r="BZ206" i="28"/>
  <c r="CL206" i="28"/>
  <c r="CA206" i="28"/>
  <c r="CH219" i="28"/>
  <c r="CL218" i="28"/>
  <c r="CL222" i="28"/>
  <c r="CE226" i="28"/>
  <c r="CL267" i="28"/>
  <c r="BV206" i="28"/>
  <c r="CI221" i="28"/>
  <c r="CE205" i="28"/>
  <c r="BZ221" i="28"/>
  <c r="CH269" i="28"/>
  <c r="CD206" i="28"/>
  <c r="CA221" i="28"/>
  <c r="CE206" i="28"/>
  <c r="CD221" i="28"/>
  <c r="CE221" i="28"/>
  <c r="BZ267" i="28"/>
  <c r="BV213" i="28"/>
  <c r="CA213" i="28"/>
  <c r="CH208" i="28"/>
  <c r="CD209" i="28"/>
  <c r="CA211" i="28"/>
  <c r="CA215" i="28"/>
  <c r="BV216" i="28"/>
  <c r="BZ225" i="28"/>
  <c r="CD213" i="28"/>
  <c r="CI269" i="28"/>
  <c r="CD230" i="28"/>
  <c r="BS216" i="28"/>
  <c r="CI209" i="28"/>
  <c r="CD210" i="28"/>
  <c r="CD211" i="28"/>
  <c r="CD215" i="28"/>
  <c r="BW216" i="28"/>
  <c r="CH223" i="28"/>
  <c r="CH213" i="28"/>
  <c r="CL269" i="28"/>
  <c r="CD205" i="28"/>
  <c r="CH211" i="28"/>
  <c r="CH215" i="28"/>
  <c r="BV221" i="28"/>
  <c r="CH224" i="28"/>
  <c r="CA226" i="28"/>
  <c r="BV215" i="28"/>
  <c r="CL215" i="28"/>
  <c r="CD216" i="28"/>
  <c r="CD218" i="28"/>
  <c r="CD220" i="28"/>
  <c r="CD226" i="28"/>
  <c r="CH226" i="28"/>
  <c r="CA227" i="28"/>
  <c r="BV228" i="28"/>
  <c r="CI213" i="28"/>
  <c r="CD214" i="28"/>
  <c r="BV266" i="28"/>
  <c r="CH206" i="28"/>
  <c r="CA207" i="28"/>
  <c r="CA216" i="28"/>
  <c r="CH221" i="28"/>
  <c r="CD222" i="28"/>
  <c r="CL226" i="28"/>
  <c r="BZ230" i="28"/>
  <c r="BS213" i="28"/>
  <c r="CL213" i="28"/>
  <c r="BZ266" i="28"/>
  <c r="BV267" i="28"/>
  <c r="BV222" i="28"/>
  <c r="BZ227" i="28"/>
  <c r="BV265" i="28"/>
  <c r="BZ207" i="28"/>
  <c r="CD229" i="28"/>
  <c r="CI268" i="28"/>
  <c r="BV209" i="28"/>
  <c r="CH216" i="28"/>
  <c r="CA217" i="28"/>
  <c r="BV218" i="28"/>
  <c r="CH222" i="28"/>
  <c r="BV226" i="28"/>
  <c r="CH230" i="28"/>
  <c r="BW213" i="28"/>
  <c r="CH266" i="28"/>
  <c r="CD267" i="28"/>
  <c r="CD207" i="28"/>
  <c r="BV208" i="28"/>
  <c r="BZ217" i="28"/>
  <c r="CE222" i="28"/>
  <c r="CL207" i="28"/>
  <c r="CD208" i="28"/>
  <c r="BZ211" i="28"/>
  <c r="CI216" i="28"/>
  <c r="CD217" i="28"/>
  <c r="BZ218" i="28"/>
  <c r="BZ220" i="28"/>
  <c r="BZ226" i="28"/>
  <c r="CL229" i="28"/>
  <c r="BZ213" i="28"/>
  <c r="CE210" i="28"/>
  <c r="CD225" i="28"/>
  <c r="BS210" i="28"/>
  <c r="CI210" i="28"/>
  <c r="CH218" i="28"/>
  <c r="CE224" i="28"/>
  <c r="BS225" i="28"/>
  <c r="CE225" i="28"/>
  <c r="BS265" i="28"/>
  <c r="CH265" i="28"/>
  <c r="CI266" i="28"/>
  <c r="CL268" i="28"/>
  <c r="BV210" i="28"/>
  <c r="CL210" i="28"/>
  <c r="BS224" i="28"/>
  <c r="BV225" i="28"/>
  <c r="CH225" i="28"/>
  <c r="CI265" i="28"/>
  <c r="CL266" i="28"/>
  <c r="BS268" i="28"/>
  <c r="BW210" i="28"/>
  <c r="CD212" i="28"/>
  <c r="BS217" i="28"/>
  <c r="CE217" i="28"/>
  <c r="BV224" i="28"/>
  <c r="BW225" i="28"/>
  <c r="CL225" i="28"/>
  <c r="CA267" i="28"/>
  <c r="BV268" i="28"/>
  <c r="BS269" i="28"/>
  <c r="BV271" i="28"/>
  <c r="BZ210" i="28"/>
  <c r="BV217" i="28"/>
  <c r="CH217" i="28"/>
  <c r="BW218" i="28"/>
  <c r="BW224" i="28"/>
  <c r="CI224" i="28"/>
  <c r="CD227" i="28"/>
  <c r="CH229" i="28"/>
  <c r="BW265" i="28"/>
  <c r="CL265" i="28"/>
  <c r="BZ268" i="28"/>
  <c r="BV269" i="28"/>
  <c r="BZ271" i="28"/>
  <c r="CE265" i="28"/>
  <c r="CA210" i="28"/>
  <c r="BW217" i="28"/>
  <c r="CL217" i="28"/>
  <c r="BZ224" i="28"/>
  <c r="CL224" i="28"/>
  <c r="BS227" i="28"/>
  <c r="CE227" i="28"/>
  <c r="BX228" i="28"/>
  <c r="BY228" i="28" s="1"/>
  <c r="BZ228" i="28" s="1"/>
  <c r="BV229" i="28"/>
  <c r="BX265" i="28"/>
  <c r="BY265" i="28" s="1"/>
  <c r="BZ265" i="28" s="1"/>
  <c r="CA268" i="28"/>
  <c r="BZ269" i="28"/>
  <c r="CD271" i="28"/>
  <c r="BZ205" i="28"/>
  <c r="BZ222" i="28"/>
  <c r="CA225" i="28"/>
  <c r="BV227" i="28"/>
  <c r="CH227" i="28"/>
  <c r="BW229" i="28"/>
  <c r="CD266" i="28"/>
  <c r="CE267" i="28"/>
  <c r="CD268" i="28"/>
  <c r="CI271" i="28"/>
  <c r="CI206" i="28"/>
  <c r="BZ208" i="28"/>
  <c r="BZ216" i="28"/>
  <c r="CL216" i="28"/>
  <c r="CA218" i="28"/>
  <c r="CL221" i="28"/>
  <c r="CA222" i="28"/>
  <c r="CI226" i="28"/>
  <c r="BW227" i="28"/>
  <c r="CL227" i="28"/>
  <c r="BZ229" i="28"/>
  <c r="CD265" i="28"/>
  <c r="CE266" i="28"/>
  <c r="BS267" i="28"/>
  <c r="CH267" i="28"/>
  <c r="CD269" i="28"/>
  <c r="CD270" i="28"/>
  <c r="CL271" i="28"/>
  <c r="CH205" i="28"/>
  <c r="BV212" i="28"/>
  <c r="CL219" i="28"/>
  <c r="CI223" i="28"/>
  <c r="CE223" i="28"/>
  <c r="BS223" i="28"/>
  <c r="BV214" i="28"/>
  <c r="CA270" i="28"/>
  <c r="CH270" i="28"/>
  <c r="BS270" i="28"/>
  <c r="CI270" i="28"/>
  <c r="BS205" i="28"/>
  <c r="CH209" i="28"/>
  <c r="BS209" i="28"/>
  <c r="CE209" i="28"/>
  <c r="CI215" i="28"/>
  <c r="CE215" i="28"/>
  <c r="BS215" i="28"/>
  <c r="CH220" i="28"/>
  <c r="BV223" i="28"/>
  <c r="CL223" i="28"/>
  <c r="CL228" i="28"/>
  <c r="CA229" i="28"/>
  <c r="BZ214" i="28"/>
  <c r="BV270" i="28"/>
  <c r="CA212" i="28"/>
  <c r="CI212" i="28"/>
  <c r="BW212" i="28"/>
  <c r="CH212" i="28"/>
  <c r="CE212" i="28"/>
  <c r="CE228" i="28"/>
  <c r="CA214" i="28"/>
  <c r="BW214" i="28"/>
  <c r="CE214" i="28"/>
  <c r="CL214" i="28"/>
  <c r="BS212" i="28"/>
  <c r="BS228" i="28"/>
  <c r="CH228" i="28"/>
  <c r="BV205" i="28"/>
  <c r="CL205" i="28"/>
  <c r="CE208" i="28"/>
  <c r="CA208" i="28"/>
  <c r="CI208" i="28"/>
  <c r="BZ212" i="28"/>
  <c r="BV219" i="28"/>
  <c r="BW223" i="28"/>
  <c r="BW228" i="28"/>
  <c r="CA230" i="28"/>
  <c r="BS230" i="28"/>
  <c r="CE230" i="28"/>
  <c r="BW230" i="28"/>
  <c r="CL230" i="28"/>
  <c r="BZ270" i="28"/>
  <c r="CH207" i="28"/>
  <c r="BS208" i="28"/>
  <c r="BW209" i="28"/>
  <c r="BS211" i="28"/>
  <c r="CL211" i="28"/>
  <c r="CI211" i="28"/>
  <c r="BW211" i="28"/>
  <c r="CA220" i="28"/>
  <c r="BW220" i="28"/>
  <c r="CE220" i="28"/>
  <c r="CL220" i="28"/>
  <c r="BZ223" i="28"/>
  <c r="BV207" i="28"/>
  <c r="CI207" i="28"/>
  <c r="CL208" i="28"/>
  <c r="CN209" i="28"/>
  <c r="BZ209" i="28"/>
  <c r="BZ215" i="28"/>
  <c r="BZ219" i="28"/>
  <c r="BS220" i="28"/>
  <c r="CA223" i="28"/>
  <c r="CA228" i="28"/>
  <c r="BU230" i="28"/>
  <c r="BV230" i="28" s="1"/>
  <c r="CH214" i="28"/>
  <c r="BS214" i="28"/>
  <c r="CA205" i="28"/>
  <c r="BW205" i="28"/>
  <c r="CE219" i="28"/>
  <c r="BS219" i="28"/>
  <c r="CA219" i="28"/>
  <c r="CI219" i="28"/>
  <c r="CA209" i="28"/>
  <c r="BV211" i="28"/>
  <c r="CL212" i="28"/>
  <c r="CD219" i="28"/>
  <c r="BV220" i="28"/>
  <c r="CD223" i="28"/>
  <c r="CD228" i="28"/>
  <c r="CI229" i="28"/>
  <c r="BS229" i="28"/>
  <c r="CE229" i="28"/>
  <c r="CI214" i="28"/>
  <c r="BS218" i="28"/>
  <c r="BS266" i="28"/>
  <c r="BW267" i="28"/>
  <c r="BW222" i="28"/>
  <c r="CA266" i="28"/>
  <c r="CI222" i="28"/>
  <c r="BS206" i="28"/>
  <c r="CE218" i="28"/>
  <c r="BS221" i="28"/>
  <c r="BS226" i="28"/>
  <c r="CA271" i="28"/>
  <c r="BS271" i="28"/>
  <c r="CK147" i="28" l="1"/>
  <c r="CG147" i="28"/>
  <c r="CC147" i="28"/>
  <c r="BY147" i="28"/>
  <c r="BU147" i="28"/>
  <c r="BQ147" i="28"/>
  <c r="CA147" i="28" s="1"/>
  <c r="AJ147" i="28"/>
  <c r="AY147" i="28" s="1"/>
  <c r="Y147" i="28"/>
  <c r="X147" i="28"/>
  <c r="CK146" i="28"/>
  <c r="CG146" i="28"/>
  <c r="CC146" i="28"/>
  <c r="BY146" i="28"/>
  <c r="BU146" i="28"/>
  <c r="BQ146" i="28"/>
  <c r="CE146" i="28" s="1"/>
  <c r="AJ146" i="28"/>
  <c r="AY146" i="28" s="1"/>
  <c r="Y146" i="28"/>
  <c r="X146" i="28"/>
  <c r="CK145" i="28"/>
  <c r="CG145" i="28"/>
  <c r="CC145" i="28"/>
  <c r="BY145" i="28"/>
  <c r="BU145" i="28"/>
  <c r="BQ145" i="28"/>
  <c r="CA145" i="28" s="1"/>
  <c r="AJ145" i="28"/>
  <c r="AY145" i="28" s="1"/>
  <c r="Y145" i="28"/>
  <c r="X145" i="28"/>
  <c r="CK144" i="28"/>
  <c r="CG144" i="28"/>
  <c r="CC144" i="28"/>
  <c r="BY144" i="28"/>
  <c r="BU144" i="28"/>
  <c r="BQ144" i="28"/>
  <c r="BS144" i="28" s="1"/>
  <c r="AJ144" i="28"/>
  <c r="AY144" i="28" s="1"/>
  <c r="Y144" i="28"/>
  <c r="X144" i="28"/>
  <c r="CK143" i="28"/>
  <c r="CG143" i="28"/>
  <c r="CC143" i="28"/>
  <c r="BY143" i="28"/>
  <c r="BU143" i="28"/>
  <c r="BQ143" i="28"/>
  <c r="CA143" i="28" s="1"/>
  <c r="AJ143" i="28"/>
  <c r="AY143" i="28" s="1"/>
  <c r="Y143" i="28"/>
  <c r="X143" i="28"/>
  <c r="CK142" i="28"/>
  <c r="CG142" i="28"/>
  <c r="CC142" i="28"/>
  <c r="BY142" i="28"/>
  <c r="BU142" i="28"/>
  <c r="BQ142" i="28"/>
  <c r="CE142" i="28" s="1"/>
  <c r="AJ142" i="28"/>
  <c r="AY142" i="28" s="1"/>
  <c r="Y142" i="28"/>
  <c r="X142" i="28"/>
  <c r="CK141" i="28"/>
  <c r="CG141" i="28"/>
  <c r="CC141" i="28"/>
  <c r="BY141" i="28"/>
  <c r="BU141" i="28"/>
  <c r="BQ141" i="28"/>
  <c r="CA141" i="28" s="1"/>
  <c r="AJ141" i="28"/>
  <c r="AY141" i="28" s="1"/>
  <c r="Y141" i="28"/>
  <c r="X141" i="28"/>
  <c r="CK140" i="28"/>
  <c r="CG140" i="28"/>
  <c r="CC140" i="28"/>
  <c r="BY140" i="28"/>
  <c r="BU140" i="28"/>
  <c r="BQ140" i="28"/>
  <c r="CE140" i="28" s="1"/>
  <c r="AJ140" i="28"/>
  <c r="AY140" i="28" s="1"/>
  <c r="X140" i="28"/>
  <c r="CD145" i="28" l="1"/>
  <c r="CL145" i="28"/>
  <c r="BV146" i="28"/>
  <c r="BW146" i="28"/>
  <c r="BZ146" i="28"/>
  <c r="CD141" i="28"/>
  <c r="BZ142" i="28"/>
  <c r="CD146" i="28"/>
  <c r="CH146" i="28"/>
  <c r="CI146" i="28"/>
  <c r="CL140" i="28"/>
  <c r="CD142" i="28"/>
  <c r="CH140" i="28"/>
  <c r="CL141" i="28"/>
  <c r="CH142" i="28"/>
  <c r="CH144" i="28"/>
  <c r="BW142" i="28"/>
  <c r="CL144" i="28"/>
  <c r="BV143" i="28"/>
  <c r="BZ147" i="28"/>
  <c r="CL142" i="28"/>
  <c r="BV140" i="28"/>
  <c r="BZ143" i="28"/>
  <c r="BV144" i="28"/>
  <c r="BV147" i="28"/>
  <c r="CD143" i="28"/>
  <c r="BZ140" i="28"/>
  <c r="BZ144" i="28"/>
  <c r="CD140" i="28"/>
  <c r="CL143" i="28"/>
  <c r="CD144" i="28"/>
  <c r="BV145" i="28"/>
  <c r="CL146" i="28"/>
  <c r="BW140" i="28"/>
  <c r="BW144" i="28"/>
  <c r="CD147" i="28"/>
  <c r="BV141" i="28"/>
  <c r="BZ141" i="28"/>
  <c r="BV142" i="28"/>
  <c r="BZ145" i="28"/>
  <c r="CL147" i="28"/>
  <c r="CI140" i="28"/>
  <c r="BS141" i="28"/>
  <c r="CI142" i="28"/>
  <c r="BS143" i="28"/>
  <c r="CI144" i="28"/>
  <c r="BS145" i="28"/>
  <c r="BS147" i="28"/>
  <c r="CE141" i="28"/>
  <c r="CE143" i="28"/>
  <c r="CE145" i="28"/>
  <c r="CE147" i="28"/>
  <c r="CA140" i="28"/>
  <c r="CA142" i="28"/>
  <c r="CA144" i="28"/>
  <c r="CA146" i="28"/>
  <c r="BW141" i="28"/>
  <c r="CH141" i="28"/>
  <c r="BW143" i="28"/>
  <c r="CI141" i="28"/>
  <c r="BS142" i="28"/>
  <c r="CI147" i="28"/>
  <c r="CE144" i="28"/>
  <c r="CH143" i="28"/>
  <c r="BW145" i="28"/>
  <c r="CH145" i="28"/>
  <c r="BW147" i="28"/>
  <c r="CH147" i="28"/>
  <c r="BS140" i="28"/>
  <c r="CI143" i="28"/>
  <c r="CI145" i="28"/>
  <c r="BS146" i="28"/>
  <c r="AJ237" i="28" l="1"/>
  <c r="AY237" i="28" s="1"/>
  <c r="Y237" i="28"/>
  <c r="CK236" i="28"/>
  <c r="CG236" i="28"/>
  <c r="CC236" i="28"/>
  <c r="BY236" i="28"/>
  <c r="BU236" i="28"/>
  <c r="BQ236" i="28"/>
  <c r="AJ236" i="28"/>
  <c r="AY236" i="28" s="1"/>
  <c r="Y236" i="28"/>
  <c r="X236" i="28"/>
  <c r="CK196" i="28"/>
  <c r="CL196" i="28" s="1"/>
  <c r="CI196" i="28"/>
  <c r="CG196" i="28"/>
  <c r="CH196" i="28" s="1"/>
  <c r="CE196" i="28"/>
  <c r="CC196" i="28"/>
  <c r="CD196" i="28" s="1"/>
  <c r="CA196" i="28"/>
  <c r="BY196" i="28"/>
  <c r="BZ196" i="28" s="1"/>
  <c r="BU196" i="28"/>
  <c r="BV196" i="28" s="1"/>
  <c r="BS196" i="28"/>
  <c r="X196" i="28"/>
  <c r="K196" i="28"/>
  <c r="AJ196" i="28" s="1"/>
  <c r="AY196" i="28" s="1"/>
  <c r="CK195" i="28"/>
  <c r="CG195" i="28"/>
  <c r="CC195" i="28"/>
  <c r="BY195" i="28"/>
  <c r="BU195" i="28"/>
  <c r="BQ195" i="28"/>
  <c r="CE195" i="28" s="1"/>
  <c r="Y195" i="28"/>
  <c r="X195" i="28"/>
  <c r="K195" i="28"/>
  <c r="AJ195" i="28" s="1"/>
  <c r="AY195" i="28" s="1"/>
  <c r="CK194" i="28"/>
  <c r="CG194" i="28"/>
  <c r="CC194" i="28"/>
  <c r="BY194" i="28"/>
  <c r="BU194" i="28"/>
  <c r="BQ194" i="28"/>
  <c r="CA194" i="28" s="1"/>
  <c r="AH194" i="28"/>
  <c r="Y194" i="28"/>
  <c r="X194" i="28"/>
  <c r="K194" i="28"/>
  <c r="AJ194" i="28" s="1"/>
  <c r="AY194" i="28" s="1"/>
  <c r="CK193" i="28"/>
  <c r="CG193" i="28"/>
  <c r="CC193" i="28"/>
  <c r="BY193" i="28"/>
  <c r="BU193" i="28"/>
  <c r="BQ193" i="28"/>
  <c r="CI193" i="28" s="1"/>
  <c r="AH193" i="28"/>
  <c r="Y193" i="28"/>
  <c r="X193" i="28"/>
  <c r="K193" i="28"/>
  <c r="AJ193" i="28" s="1"/>
  <c r="AY193" i="28" s="1"/>
  <c r="CK192" i="28"/>
  <c r="CG192" i="28"/>
  <c r="CC192" i="28"/>
  <c r="BY192" i="28"/>
  <c r="BU192" i="28"/>
  <c r="BQ192" i="28"/>
  <c r="CE192" i="28" s="1"/>
  <c r="AH192" i="28"/>
  <c r="Y192" i="28"/>
  <c r="X192" i="28"/>
  <c r="K192" i="28"/>
  <c r="AJ192" i="28" s="1"/>
  <c r="AY192" i="28" s="1"/>
  <c r="CH193" i="28" l="1"/>
  <c r="BZ194" i="28"/>
  <c r="CD194" i="28"/>
  <c r="BV195" i="28"/>
  <c r="BW195" i="28"/>
  <c r="CL195" i="28"/>
  <c r="CH192" i="28"/>
  <c r="CL194" i="28"/>
  <c r="BZ192" i="28"/>
  <c r="BV236" i="28"/>
  <c r="BV193" i="28"/>
  <c r="BZ193" i="28"/>
  <c r="CA193" i="28"/>
  <c r="CE193" i="28"/>
  <c r="BV194" i="28"/>
  <c r="CA195" i="28"/>
  <c r="BW236" i="28"/>
  <c r="BV192" i="28"/>
  <c r="CD195" i="28"/>
  <c r="BW196" i="28"/>
  <c r="BZ236" i="28"/>
  <c r="BW192" i="28"/>
  <c r="CD193" i="28"/>
  <c r="CH195" i="28"/>
  <c r="CD236" i="28"/>
  <c r="CD192" i="28"/>
  <c r="CH236" i="28"/>
  <c r="CL193" i="28"/>
  <c r="CL236" i="28"/>
  <c r="CL192" i="28"/>
  <c r="BZ195" i="28"/>
  <c r="CI192" i="28"/>
  <c r="BS194" i="28"/>
  <c r="CI236" i="28"/>
  <c r="CE194" i="28"/>
  <c r="CI195" i="28"/>
  <c r="CA192" i="28"/>
  <c r="BS193" i="28"/>
  <c r="CA236" i="28"/>
  <c r="BS192" i="28"/>
  <c r="CI194" i="28"/>
  <c r="BS236" i="28"/>
  <c r="BW193" i="28"/>
  <c r="BS195" i="28"/>
  <c r="CE236" i="28"/>
  <c r="BW194" i="28"/>
  <c r="CH194" i="28"/>
  <c r="CK7" i="28" l="1"/>
  <c r="CG7" i="28"/>
  <c r="CC7" i="28"/>
  <c r="BY7" i="28"/>
  <c r="BU7" i="28"/>
  <c r="BQ7" i="28"/>
  <c r="CE7" i="28" s="1"/>
  <c r="AH7" i="28"/>
  <c r="Y7" i="28"/>
  <c r="X7" i="28"/>
  <c r="K7" i="28"/>
  <c r="AJ7" i="28" s="1"/>
  <c r="AY7" i="28" s="1"/>
  <c r="CK6" i="28"/>
  <c r="CG6" i="28"/>
  <c r="CC6" i="28"/>
  <c r="BY6" i="28"/>
  <c r="BU6" i="28"/>
  <c r="BQ6" i="28"/>
  <c r="CI6" i="28" s="1"/>
  <c r="AH6" i="28"/>
  <c r="Y6" i="28"/>
  <c r="X6" i="28"/>
  <c r="K6" i="28"/>
  <c r="AJ6" i="28" s="1"/>
  <c r="AY6" i="28" s="1"/>
  <c r="CK5" i="28"/>
  <c r="CG5" i="28"/>
  <c r="CC5" i="28"/>
  <c r="BY5" i="28"/>
  <c r="BU5" i="28"/>
  <c r="BQ5" i="28"/>
  <c r="AH5" i="28"/>
  <c r="Y5" i="28"/>
  <c r="X5" i="28"/>
  <c r="K5" i="28"/>
  <c r="AJ5" i="28" s="1"/>
  <c r="AY5" i="28" s="1"/>
  <c r="CK4" i="28"/>
  <c r="CG4" i="28"/>
  <c r="CC4" i="28"/>
  <c r="BY4" i="28"/>
  <c r="BU4" i="28"/>
  <c r="BQ4" i="28"/>
  <c r="CI4" i="28" s="1"/>
  <c r="AH4" i="28"/>
  <c r="Y4" i="28"/>
  <c r="X4" i="28"/>
  <c r="K4" i="28"/>
  <c r="AJ4" i="28" s="1"/>
  <c r="AY4" i="28" s="1"/>
  <c r="CD4" i="28" l="1"/>
  <c r="CD6" i="28"/>
  <c r="CE6" i="28"/>
  <c r="BZ4" i="28"/>
  <c r="CA4" i="28"/>
  <c r="CH4" i="28"/>
  <c r="CH7" i="28"/>
  <c r="BV5" i="28"/>
  <c r="CH5" i="28"/>
  <c r="BV6" i="28"/>
  <c r="CL6" i="28"/>
  <c r="BW7" i="28"/>
  <c r="BV4" i="28"/>
  <c r="BZ6" i="28"/>
  <c r="CA7" i="28"/>
  <c r="BW6" i="28"/>
  <c r="BZ7" i="28"/>
  <c r="CA6" i="28"/>
  <c r="CD7" i="28"/>
  <c r="BZ5" i="28"/>
  <c r="CH6" i="28"/>
  <c r="CI7" i="28"/>
  <c r="CL4" i="28"/>
  <c r="CD5" i="28"/>
  <c r="BS6" i="28"/>
  <c r="BV7" i="28"/>
  <c r="CL7" i="28"/>
  <c r="CL5" i="28"/>
  <c r="CE5" i="28"/>
  <c r="BS4" i="28"/>
  <c r="CE4" i="28"/>
  <c r="BS5" i="28"/>
  <c r="CI5" i="28"/>
  <c r="BS7" i="28"/>
  <c r="BW4" i="28"/>
  <c r="BW5" i="28"/>
  <c r="CA5" i="28"/>
  <c r="CI18" i="28" l="1"/>
  <c r="CE18" i="28"/>
  <c r="CA18" i="28"/>
  <c r="BW18" i="28"/>
  <c r="BS18" i="28"/>
  <c r="BQ18" i="28"/>
  <c r="CI28" i="28"/>
  <c r="CE28" i="28"/>
  <c r="CA28" i="28"/>
  <c r="BW28" i="28"/>
  <c r="BS28" i="28"/>
  <c r="BQ28" i="28"/>
  <c r="CI27" i="28"/>
  <c r="CE27" i="28"/>
  <c r="CA27" i="28"/>
  <c r="BW27" i="28"/>
  <c r="BS27" i="28"/>
  <c r="BQ27" i="28"/>
  <c r="CI26" i="28"/>
  <c r="CE26" i="28"/>
  <c r="CA26" i="28"/>
  <c r="BW26" i="28"/>
  <c r="BS26" i="28"/>
  <c r="BR26" i="28"/>
  <c r="BQ26" i="28"/>
  <c r="CI25" i="28"/>
  <c r="CE25" i="28"/>
  <c r="CA25" i="28"/>
  <c r="BW25" i="28"/>
  <c r="BS25" i="28"/>
  <c r="BQ25" i="28"/>
  <c r="CI15" i="28"/>
  <c r="CE15" i="28"/>
  <c r="CA15" i="28"/>
  <c r="BW15" i="28"/>
  <c r="BS15" i="28"/>
  <c r="BQ15" i="28"/>
  <c r="CI8" i="28"/>
  <c r="CE8" i="28"/>
  <c r="CA8" i="28"/>
  <c r="BW8" i="28"/>
  <c r="BS8" i="28"/>
  <c r="BQ8" i="28"/>
  <c r="BN8" i="28"/>
  <c r="BN29" i="28"/>
  <c r="BQ29" i="28" s="1"/>
  <c r="AJ29" i="28"/>
  <c r="AY29" i="28" s="1"/>
  <c r="Y29" i="28"/>
  <c r="BO20" i="28"/>
  <c r="BN20" i="28"/>
  <c r="AJ20" i="28"/>
  <c r="AY20" i="28" s="1"/>
  <c r="Y20" i="28"/>
  <c r="BO19" i="28"/>
  <c r="BN19" i="28"/>
  <c r="AJ19" i="28"/>
  <c r="AY19" i="28" s="1"/>
  <c r="Z19" i="28"/>
  <c r="Y19" i="28"/>
  <c r="BN10" i="28"/>
  <c r="CI10" i="28" s="1"/>
  <c r="AJ10" i="28"/>
  <c r="AY10" i="28" s="1"/>
  <c r="Z10" i="28"/>
  <c r="Y10" i="28"/>
  <c r="BO9" i="28"/>
  <c r="BN9" i="28"/>
  <c r="AJ9" i="28"/>
  <c r="AY9" i="28" s="1"/>
  <c r="Y9" i="28"/>
  <c r="CI9" i="28" l="1"/>
  <c r="BW9" i="28"/>
  <c r="CA9" i="28"/>
  <c r="CE9" i="28"/>
  <c r="CE19" i="28"/>
  <c r="BW20" i="28"/>
  <c r="BS20" i="28"/>
  <c r="BS29" i="28"/>
  <c r="BW29" i="28"/>
  <c r="BQ20" i="28"/>
  <c r="BQ9" i="28"/>
  <c r="CA20" i="28"/>
  <c r="CA29" i="28"/>
  <c r="BS9" i="28"/>
  <c r="CI19" i="28"/>
  <c r="CE20" i="28"/>
  <c r="CE29" i="28"/>
  <c r="CI20" i="28"/>
  <c r="CI29" i="28"/>
  <c r="BS19" i="28"/>
  <c r="BQ19" i="28"/>
  <c r="BW19" i="28"/>
  <c r="CA19" i="28"/>
  <c r="BW10" i="28"/>
  <c r="CA10" i="28"/>
  <c r="BQ10" i="28"/>
  <c r="BS10" i="28"/>
  <c r="CE10" i="28"/>
  <c r="CI272" i="28" l="1"/>
  <c r="BQ260" i="28"/>
  <c r="BQ261" i="28"/>
  <c r="BQ262" i="28"/>
  <c r="BQ263" i="28"/>
  <c r="BQ259" i="28"/>
  <c r="CK260" i="28"/>
  <c r="CK261" i="28"/>
  <c r="CK262" i="28"/>
  <c r="CK263" i="28"/>
  <c r="CK259" i="28"/>
  <c r="CI260" i="28"/>
  <c r="CI261" i="28"/>
  <c r="CI262" i="28"/>
  <c r="CI263" i="28"/>
  <c r="CI259" i="28"/>
  <c r="BU260" i="28"/>
  <c r="BU261" i="28"/>
  <c r="BU262" i="28"/>
  <c r="BU263" i="28"/>
  <c r="BU272" i="28"/>
  <c r="BU259" i="28"/>
  <c r="BV259" i="28" l="1"/>
  <c r="BV263" i="28"/>
  <c r="BV262" i="28"/>
  <c r="BV261" i="28"/>
  <c r="BV260" i="28"/>
  <c r="CL259" i="28"/>
  <c r="CK334" i="28"/>
  <c r="CG334" i="28"/>
  <c r="CC334" i="28"/>
  <c r="BQ334" i="28"/>
  <c r="CI334" i="28" s="1"/>
  <c r="CK333" i="28"/>
  <c r="CG333" i="28"/>
  <c r="CC333" i="28"/>
  <c r="BW334" i="28" l="1"/>
  <c r="CA334" i="28"/>
  <c r="CE334" i="28"/>
  <c r="CD334" i="28"/>
  <c r="BT334" i="28"/>
  <c r="AJ334" i="28"/>
  <c r="AY334" i="28" s="1"/>
  <c r="Y334" i="28"/>
  <c r="X334" i="28"/>
  <c r="BT333" i="28"/>
  <c r="BO333" i="28"/>
  <c r="BQ333" i="28" s="1"/>
  <c r="CL333" i="28" s="1"/>
  <c r="AJ333" i="28"/>
  <c r="AY333" i="28" s="1"/>
  <c r="Y333" i="28"/>
  <c r="X333" i="28"/>
  <c r="CK332" i="28"/>
  <c r="CG332" i="28"/>
  <c r="CC332" i="28"/>
  <c r="BX332" i="28"/>
  <c r="BY332" i="28" s="1"/>
  <c r="BU332" i="28"/>
  <c r="BQ332" i="28"/>
  <c r="CA332" i="28" s="1"/>
  <c r="AJ332" i="28"/>
  <c r="AY332" i="28" s="1"/>
  <c r="Y332" i="28"/>
  <c r="X332" i="28"/>
  <c r="BX333" i="28" l="1"/>
  <c r="BU333" i="28"/>
  <c r="BV333" i="28" s="1"/>
  <c r="BX334" i="28"/>
  <c r="BU334" i="28"/>
  <c r="BV334" i="28" s="1"/>
  <c r="CI333" i="28"/>
  <c r="BW333" i="28"/>
  <c r="BS333" i="28"/>
  <c r="CE333" i="28"/>
  <c r="CA333" i="28"/>
  <c r="CD332" i="28"/>
  <c r="CD333" i="28"/>
  <c r="CH332" i="28"/>
  <c r="BS332" i="28"/>
  <c r="BV332" i="28"/>
  <c r="CL332" i="28"/>
  <c r="BW332" i="28"/>
  <c r="CI332" i="28"/>
  <c r="CH334" i="28"/>
  <c r="BZ332" i="28"/>
  <c r="CE332" i="28"/>
  <c r="CL334" i="28"/>
  <c r="BS334" i="28"/>
  <c r="CH333" i="28"/>
  <c r="BY334" i="28" l="1"/>
  <c r="BZ334" i="28" s="1"/>
  <c r="BY333" i="28"/>
  <c r="BZ333" i="28" s="1"/>
  <c r="CK35" i="28"/>
  <c r="CG35" i="28"/>
  <c r="CC35" i="28"/>
  <c r="BY35" i="28"/>
  <c r="BU35" i="28"/>
  <c r="BQ35" i="28"/>
  <c r="CA35" i="28" s="1"/>
  <c r="CK34" i="28"/>
  <c r="CG34" i="28"/>
  <c r="CC34" i="28"/>
  <c r="BY34" i="28"/>
  <c r="BU34" i="28"/>
  <c r="BQ34" i="28"/>
  <c r="CA34" i="28" s="1"/>
  <c r="AJ34" i="28"/>
  <c r="AY34" i="28" s="1"/>
  <c r="Y34" i="28"/>
  <c r="X34" i="28"/>
  <c r="CK33" i="28"/>
  <c r="CG33" i="28"/>
  <c r="CC33" i="28"/>
  <c r="BY33" i="28"/>
  <c r="BU33" i="28"/>
  <c r="BQ33" i="28"/>
  <c r="CE33" i="28" s="1"/>
  <c r="AJ33" i="28"/>
  <c r="AY33" i="28" s="1"/>
  <c r="Y33" i="28"/>
  <c r="X33" i="28"/>
  <c r="CK32" i="28"/>
  <c r="CG32" i="28"/>
  <c r="CC32" i="28"/>
  <c r="BY32" i="28"/>
  <c r="BU32" i="28"/>
  <c r="BQ32" i="28"/>
  <c r="CA32" i="28" s="1"/>
  <c r="CK31" i="28"/>
  <c r="CG31" i="28"/>
  <c r="CC31" i="28"/>
  <c r="BY31" i="28"/>
  <c r="BU31" i="28"/>
  <c r="BQ31" i="28"/>
  <c r="CA31" i="28" s="1"/>
  <c r="AJ31" i="28"/>
  <c r="AY31" i="28" s="1"/>
  <c r="Y31" i="28"/>
  <c r="X31" i="28"/>
  <c r="CK30" i="28"/>
  <c r="CG30" i="28"/>
  <c r="CC30" i="28"/>
  <c r="BY30" i="28"/>
  <c r="BU30" i="28"/>
  <c r="BQ30" i="28"/>
  <c r="CE30" i="28" s="1"/>
  <c r="AJ30" i="28"/>
  <c r="AY30" i="28" s="1"/>
  <c r="Y30" i="28"/>
  <c r="X30" i="28"/>
  <c r="CH30" i="28" l="1"/>
  <c r="CL32" i="28"/>
  <c r="CL35" i="28"/>
  <c r="CA30" i="28"/>
  <c r="CD32" i="28"/>
  <c r="CD30" i="28"/>
  <c r="CH32" i="28"/>
  <c r="CH34" i="28"/>
  <c r="CD34" i="28"/>
  <c r="CL34" i="28"/>
  <c r="BV32" i="28"/>
  <c r="BV35" i="28"/>
  <c r="BZ33" i="28"/>
  <c r="CI33" i="28"/>
  <c r="CI30" i="28"/>
  <c r="CD31" i="28"/>
  <c r="CA33" i="28"/>
  <c r="CL30" i="28"/>
  <c r="CL31" i="28"/>
  <c r="BV34" i="28"/>
  <c r="CD35" i="28"/>
  <c r="BV33" i="28"/>
  <c r="CL33" i="28"/>
  <c r="BV31" i="28"/>
  <c r="BW33" i="28"/>
  <c r="BV30" i="28"/>
  <c r="CH31" i="28"/>
  <c r="CD33" i="28"/>
  <c r="BW30" i="28"/>
  <c r="BZ30" i="28"/>
  <c r="CH33" i="28"/>
  <c r="CH35" i="28"/>
  <c r="BS31" i="28"/>
  <c r="BS32" i="28"/>
  <c r="CE31" i="28"/>
  <c r="CE32" i="28"/>
  <c r="CE34" i="28"/>
  <c r="BW34" i="28"/>
  <c r="BW35" i="28"/>
  <c r="BS30" i="28"/>
  <c r="CI31" i="28"/>
  <c r="CI32" i="28"/>
  <c r="BS33" i="28"/>
  <c r="CI34" i="28"/>
  <c r="CI35" i="28"/>
  <c r="BS34" i="28"/>
  <c r="BS35" i="28"/>
  <c r="CE35" i="28"/>
  <c r="BW31" i="28"/>
  <c r="BW32" i="28"/>
  <c r="BZ31" i="28"/>
  <c r="BZ32" i="28"/>
  <c r="BZ34" i="28"/>
  <c r="BZ35" i="28"/>
  <c r="CK331" i="28" l="1"/>
  <c r="CG331" i="28"/>
  <c r="CC331" i="28"/>
  <c r="BY331" i="28"/>
  <c r="BQ331" i="28"/>
  <c r="CK330" i="28"/>
  <c r="CG330" i="28"/>
  <c r="CC330" i="28"/>
  <c r="BY330" i="28"/>
  <c r="BU330" i="28"/>
  <c r="BQ330" i="28"/>
  <c r="BW330" i="28" s="1"/>
  <c r="CK329" i="28"/>
  <c r="CG329" i="28"/>
  <c r="CC329" i="28"/>
  <c r="BY329" i="28"/>
  <c r="BU329" i="28"/>
  <c r="BO329" i="28"/>
  <c r="BQ329" i="28" s="1"/>
  <c r="CK328" i="28"/>
  <c r="CG328" i="28"/>
  <c r="CC328" i="28"/>
  <c r="BY328" i="28"/>
  <c r="BU328" i="28"/>
  <c r="BQ328" i="28"/>
  <c r="CK327" i="28"/>
  <c r="CG327" i="28"/>
  <c r="CC327" i="28"/>
  <c r="BY327" i="28"/>
  <c r="BU327" i="28"/>
  <c r="BQ327" i="28"/>
  <c r="CK326" i="28"/>
  <c r="CG326" i="28"/>
  <c r="CC326" i="28"/>
  <c r="BY326" i="28"/>
  <c r="BU326" i="28"/>
  <c r="BQ326" i="28"/>
  <c r="CK325" i="28"/>
  <c r="CG325" i="28"/>
  <c r="CC325" i="28"/>
  <c r="BY325" i="28"/>
  <c r="BU325" i="28"/>
  <c r="BQ325" i="28"/>
  <c r="CK322" i="28"/>
  <c r="CG322" i="28"/>
  <c r="CC322" i="28"/>
  <c r="BY322" i="28"/>
  <c r="BU322" i="28"/>
  <c r="BQ322" i="28"/>
  <c r="CK321" i="28"/>
  <c r="CG321" i="28"/>
  <c r="CC321" i="28"/>
  <c r="BY321" i="28"/>
  <c r="BU321" i="28"/>
  <c r="BQ321" i="28"/>
  <c r="CK320" i="28"/>
  <c r="CG320" i="28"/>
  <c r="CC320" i="28"/>
  <c r="BY320" i="28"/>
  <c r="BU320" i="28"/>
  <c r="BQ320" i="28"/>
  <c r="CK319" i="28"/>
  <c r="CG319" i="28"/>
  <c r="CC319" i="28"/>
  <c r="BY319" i="28"/>
  <c r="BU319" i="28"/>
  <c r="BQ319" i="28"/>
  <c r="CK318" i="28"/>
  <c r="CG318" i="28"/>
  <c r="CC318" i="28"/>
  <c r="BY318" i="28"/>
  <c r="BU318" i="28"/>
  <c r="BQ318" i="28"/>
  <c r="CK317" i="28"/>
  <c r="CG317" i="28"/>
  <c r="CC317" i="28"/>
  <c r="BY317" i="28"/>
  <c r="BU317" i="28"/>
  <c r="BQ317" i="28"/>
  <c r="CK312" i="28"/>
  <c r="CG312" i="28"/>
  <c r="CC312" i="28"/>
  <c r="BY312" i="28"/>
  <c r="BU312" i="28"/>
  <c r="BQ312" i="28"/>
  <c r="CI312" i="28" s="1"/>
  <c r="CK311" i="28"/>
  <c r="CG311" i="28"/>
  <c r="CC311" i="28"/>
  <c r="BY311" i="28"/>
  <c r="BU311" i="28"/>
  <c r="BQ311" i="28"/>
  <c r="CK310" i="28"/>
  <c r="CG310" i="28"/>
  <c r="CC310" i="28"/>
  <c r="BY310" i="28"/>
  <c r="BU310" i="28"/>
  <c r="BQ310" i="28"/>
  <c r="CK309" i="28"/>
  <c r="CG309" i="28"/>
  <c r="CC309" i="28"/>
  <c r="BY309" i="28"/>
  <c r="BU309" i="28"/>
  <c r="BQ309" i="28"/>
  <c r="CK308" i="28"/>
  <c r="CG308" i="28"/>
  <c r="CC308" i="28"/>
  <c r="BY308" i="28"/>
  <c r="BU308" i="28"/>
  <c r="BQ308" i="28"/>
  <c r="CK307" i="28"/>
  <c r="CG307" i="28"/>
  <c r="CC307" i="28"/>
  <c r="BY307" i="28"/>
  <c r="BU307" i="28"/>
  <c r="BQ307" i="28"/>
  <c r="X307" i="28"/>
  <c r="CK306" i="28"/>
  <c r="CG306" i="28"/>
  <c r="CC306" i="28"/>
  <c r="BY306" i="28"/>
  <c r="BU306" i="28"/>
  <c r="BQ306" i="28"/>
  <c r="CA306" i="28" s="1"/>
  <c r="CK305" i="28"/>
  <c r="CG305" i="28"/>
  <c r="CC305" i="28"/>
  <c r="BY305" i="28"/>
  <c r="BQ305" i="28"/>
  <c r="X305" i="28"/>
  <c r="CK304" i="28"/>
  <c r="CG304" i="28"/>
  <c r="CC304" i="28"/>
  <c r="BY304" i="28"/>
  <c r="BQ304" i="28"/>
  <c r="CK303" i="28"/>
  <c r="CG303" i="28"/>
  <c r="CC303" i="28"/>
  <c r="BY303" i="28"/>
  <c r="BU303" i="28"/>
  <c r="BQ303" i="28"/>
  <c r="X303" i="28"/>
  <c r="CK302" i="28"/>
  <c r="CG302" i="28"/>
  <c r="CC302" i="28"/>
  <c r="BY302" i="28"/>
  <c r="BU302" i="28"/>
  <c r="BQ302" i="28"/>
  <c r="X302" i="28"/>
  <c r="BZ307" i="28" l="1"/>
  <c r="BZ311" i="28"/>
  <c r="CL302" i="28"/>
  <c r="CH304" i="28"/>
  <c r="CH302" i="28"/>
  <c r="CD302" i="28"/>
  <c r="CL330" i="28"/>
  <c r="BZ305" i="28"/>
  <c r="BV330" i="28"/>
  <c r="BZ308" i="28"/>
  <c r="BZ312" i="28"/>
  <c r="BZ320" i="28"/>
  <c r="BZ326" i="28"/>
  <c r="BZ330" i="28"/>
  <c r="CD330" i="28"/>
  <c r="BZ319" i="28"/>
  <c r="BZ325" i="28"/>
  <c r="BV302" i="28"/>
  <c r="CL306" i="28"/>
  <c r="BZ309" i="28"/>
  <c r="BZ317" i="28"/>
  <c r="BZ321" i="28"/>
  <c r="BZ327" i="28"/>
  <c r="BZ322" i="28"/>
  <c r="BZ302" i="28"/>
  <c r="BZ310" i="28"/>
  <c r="BZ318" i="28"/>
  <c r="BZ328" i="28"/>
  <c r="BW302" i="28"/>
  <c r="CD304" i="28"/>
  <c r="CL305" i="28"/>
  <c r="CH331" i="28"/>
  <c r="BS303" i="28"/>
  <c r="BV307" i="28"/>
  <c r="BV308" i="28"/>
  <c r="BV309" i="28"/>
  <c r="BV310" i="28"/>
  <c r="BV311" i="28"/>
  <c r="BV312" i="28"/>
  <c r="BV317" i="28"/>
  <c r="BV318" i="28"/>
  <c r="BV319" i="28"/>
  <c r="BV320" i="28"/>
  <c r="BV321" i="28"/>
  <c r="BV322" i="28"/>
  <c r="BV325" i="28"/>
  <c r="BV326" i="28"/>
  <c r="BV327" i="28"/>
  <c r="BV328" i="28"/>
  <c r="CL331" i="28"/>
  <c r="BV303" i="28"/>
  <c r="CH303" i="28"/>
  <c r="BZ329" i="28"/>
  <c r="BW331" i="28"/>
  <c r="BW303" i="28"/>
  <c r="CD305" i="28"/>
  <c r="CD306" i="28"/>
  <c r="BZ331" i="28"/>
  <c r="CL303" i="28"/>
  <c r="CH305" i="28"/>
  <c r="CH306" i="28"/>
  <c r="CA312" i="28"/>
  <c r="CH329" i="28"/>
  <c r="CD331" i="28"/>
  <c r="CD303" i="28"/>
  <c r="BZ303" i="28"/>
  <c r="CD307" i="28"/>
  <c r="CD308" i="28"/>
  <c r="CD309" i="28"/>
  <c r="CD310" i="28"/>
  <c r="CD311" i="28"/>
  <c r="CD312" i="28"/>
  <c r="CD317" i="28"/>
  <c r="CD318" i="28"/>
  <c r="CD319" i="28"/>
  <c r="CD320" i="28"/>
  <c r="CD321" i="28"/>
  <c r="CD322" i="28"/>
  <c r="CD325" i="28"/>
  <c r="CD326" i="28"/>
  <c r="CD327" i="28"/>
  <c r="CD328" i="28"/>
  <c r="CL329" i="28"/>
  <c r="BW304" i="28"/>
  <c r="CL304" i="28"/>
  <c r="CH307" i="28"/>
  <c r="CH308" i="28"/>
  <c r="CH309" i="28"/>
  <c r="CH310" i="28"/>
  <c r="CH311" i="28"/>
  <c r="CH312" i="28"/>
  <c r="CH317" i="28"/>
  <c r="CH318" i="28"/>
  <c r="CH319" i="28"/>
  <c r="CH320" i="28"/>
  <c r="CH321" i="28"/>
  <c r="CH322" i="28"/>
  <c r="CH325" i="28"/>
  <c r="CH326" i="28"/>
  <c r="CH327" i="28"/>
  <c r="CH328" i="28"/>
  <c r="CH330" i="28"/>
  <c r="BZ304" i="28"/>
  <c r="BZ306" i="28"/>
  <c r="CL307" i="28"/>
  <c r="CL308" i="28"/>
  <c r="CL309" i="28"/>
  <c r="CL310" i="28"/>
  <c r="CL311" i="28"/>
  <c r="CL312" i="28"/>
  <c r="CL317" i="28"/>
  <c r="CL318" i="28"/>
  <c r="CL319" i="28"/>
  <c r="CL320" i="28"/>
  <c r="CL321" i="28"/>
  <c r="CL322" i="28"/>
  <c r="CL325" i="28"/>
  <c r="CL326" i="28"/>
  <c r="CL327" i="28"/>
  <c r="CL328" i="28"/>
  <c r="BS330" i="28"/>
  <c r="BW329" i="28"/>
  <c r="CD329" i="28"/>
  <c r="BS329" i="28"/>
  <c r="BV329" i="28"/>
  <c r="CE306" i="28"/>
  <c r="BS307" i="28"/>
  <c r="BS308" i="28"/>
  <c r="BS309" i="28"/>
  <c r="BS310" i="28"/>
  <c r="BS311" i="28"/>
  <c r="BS312" i="28"/>
  <c r="BS317" i="28"/>
  <c r="BS318" i="28"/>
  <c r="BS319" i="28"/>
  <c r="BS320" i="28"/>
  <c r="BS321" i="28"/>
  <c r="BS322" i="28"/>
  <c r="BS325" i="28"/>
  <c r="BS326" i="28"/>
  <c r="BS327" i="28"/>
  <c r="BS328" i="28"/>
  <c r="BS306" i="28"/>
  <c r="CE312" i="28"/>
  <c r="BW305" i="28"/>
  <c r="BW306" i="28"/>
  <c r="BS302" i="28"/>
  <c r="CI306" i="28"/>
  <c r="BW307" i="28"/>
  <c r="BW308" i="28"/>
  <c r="BW309" i="28"/>
  <c r="BW310" i="28"/>
  <c r="BW311" i="28"/>
  <c r="BW312" i="28"/>
  <c r="BW317" i="28"/>
  <c r="BW318" i="28"/>
  <c r="BW319" i="28"/>
  <c r="BW320" i="28"/>
  <c r="BW321" i="28"/>
  <c r="BW322" i="28"/>
  <c r="BW325" i="28"/>
  <c r="BW326" i="28"/>
  <c r="BW327" i="28"/>
  <c r="BW328" i="28"/>
  <c r="BV306" i="28"/>
  <c r="BX37" i="28" l="1"/>
  <c r="BT37" i="28"/>
  <c r="BO37" i="28"/>
  <c r="BN37" i="28"/>
  <c r="AJ37" i="28"/>
  <c r="AY37" i="28" s="1"/>
  <c r="Y37" i="28"/>
  <c r="X37" i="28"/>
  <c r="BX36" i="28"/>
  <c r="BT36" i="28"/>
  <c r="BO36" i="28"/>
  <c r="BN36" i="28"/>
  <c r="AJ36" i="28"/>
  <c r="AY36" i="28" s="1"/>
  <c r="Y36" i="28"/>
  <c r="X36" i="28"/>
  <c r="CG36" i="28" l="1"/>
  <c r="CK36" i="28"/>
  <c r="BQ36" i="28"/>
  <c r="CE36" i="28" s="1"/>
  <c r="BY36" i="28"/>
  <c r="CC36" i="28"/>
  <c r="BU37" i="28"/>
  <c r="BY37" i="28"/>
  <c r="CK37" i="28"/>
  <c r="BU36" i="28"/>
  <c r="CC37" i="28"/>
  <c r="BQ37" i="28"/>
  <c r="CA37" i="28" s="1"/>
  <c r="CG37" i="28"/>
  <c r="CL36" i="28" l="1"/>
  <c r="BS37" i="28"/>
  <c r="BZ37" i="28"/>
  <c r="CI36" i="28"/>
  <c r="BW37" i="28"/>
  <c r="CE37" i="28"/>
  <c r="BV37" i="28"/>
  <c r="CH37" i="28"/>
  <c r="CD36" i="28"/>
  <c r="CI37" i="28"/>
  <c r="CA36" i="28"/>
  <c r="BS36" i="28"/>
  <c r="CH36" i="28"/>
  <c r="CD37" i="28"/>
  <c r="BZ36" i="28"/>
  <c r="BW36" i="28"/>
  <c r="BV36" i="28"/>
  <c r="CL37" i="28"/>
  <c r="AJ235" i="28"/>
  <c r="AY235" i="28" s="1"/>
  <c r="AJ234" i="28"/>
  <c r="AY234" i="28" s="1"/>
  <c r="CK109" i="28"/>
  <c r="CG109" i="28"/>
  <c r="CC109" i="28"/>
  <c r="BY109" i="28"/>
  <c r="BU109" i="28"/>
  <c r="BQ109" i="28"/>
  <c r="CA109" i="28" s="1"/>
  <c r="AJ109" i="28"/>
  <c r="AY109" i="28" s="1"/>
  <c r="X109" i="28"/>
  <c r="CK108" i="28"/>
  <c r="CG108" i="28"/>
  <c r="CC108" i="28"/>
  <c r="BY108" i="28"/>
  <c r="BU108" i="28"/>
  <c r="BQ108" i="28"/>
  <c r="AJ108" i="28"/>
  <c r="AY108" i="28" s="1"/>
  <c r="CK107" i="28"/>
  <c r="CG107" i="28"/>
  <c r="CC107" i="28"/>
  <c r="BY107" i="28"/>
  <c r="BU107" i="28"/>
  <c r="BQ107" i="28"/>
  <c r="CI107" i="28" s="1"/>
  <c r="AJ107" i="28"/>
  <c r="AY107" i="28" s="1"/>
  <c r="CK122" i="28"/>
  <c r="CG122" i="28"/>
  <c r="CC122" i="28"/>
  <c r="BY122" i="28"/>
  <c r="BU122" i="28"/>
  <c r="BQ122" i="28"/>
  <c r="CE122" i="28" s="1"/>
  <c r="AJ122" i="28"/>
  <c r="AY122" i="28" s="1"/>
  <c r="CK121" i="28"/>
  <c r="CG121" i="28"/>
  <c r="CC121" i="28"/>
  <c r="BY121" i="28"/>
  <c r="BU121" i="28"/>
  <c r="BQ121" i="28"/>
  <c r="BW121" i="28" s="1"/>
  <c r="AJ121" i="28"/>
  <c r="AY121" i="28" s="1"/>
  <c r="CI120" i="28"/>
  <c r="CE120" i="28"/>
  <c r="CA120" i="28"/>
  <c r="BW120" i="28"/>
  <c r="BS120" i="28"/>
  <c r="AJ120" i="28"/>
  <c r="AY120" i="28" s="1"/>
  <c r="CK119" i="28"/>
  <c r="CG119" i="28"/>
  <c r="CC119" i="28"/>
  <c r="BY119" i="28"/>
  <c r="BU119" i="28"/>
  <c r="BQ119" i="28"/>
  <c r="CI119" i="28" s="1"/>
  <c r="AJ119" i="28"/>
  <c r="AY119" i="28" s="1"/>
  <c r="CK118" i="28"/>
  <c r="CG118" i="28"/>
  <c r="CC118" i="28"/>
  <c r="BY118" i="28"/>
  <c r="BU118" i="28"/>
  <c r="BQ118" i="28"/>
  <c r="AJ118" i="28"/>
  <c r="AY118" i="28" s="1"/>
  <c r="CK117" i="28"/>
  <c r="CG117" i="28"/>
  <c r="CC117" i="28"/>
  <c r="BY117" i="28"/>
  <c r="BU117" i="28"/>
  <c r="BQ117" i="28"/>
  <c r="AJ117" i="28"/>
  <c r="AY117" i="28" s="1"/>
  <c r="CK116" i="28"/>
  <c r="CG116" i="28"/>
  <c r="CC116" i="28"/>
  <c r="BY116" i="28"/>
  <c r="BU116" i="28"/>
  <c r="BQ116" i="28"/>
  <c r="BS116" i="28" s="1"/>
  <c r="AJ116" i="28"/>
  <c r="AY116" i="28" s="1"/>
  <c r="CK115" i="28"/>
  <c r="CG115" i="28"/>
  <c r="CC115" i="28"/>
  <c r="BY115" i="28"/>
  <c r="BU115" i="28"/>
  <c r="BQ115" i="28"/>
  <c r="AJ115" i="28"/>
  <c r="AY115" i="28" s="1"/>
  <c r="CK114" i="28"/>
  <c r="CG114" i="28"/>
  <c r="CC114" i="28"/>
  <c r="BY114" i="28"/>
  <c r="BU114" i="28"/>
  <c r="BQ114" i="28"/>
  <c r="CI114" i="28" s="1"/>
  <c r="AJ114" i="28"/>
  <c r="AY114" i="28" s="1"/>
  <c r="CK113" i="28"/>
  <c r="CG113" i="28"/>
  <c r="CC113" i="28"/>
  <c r="BY113" i="28"/>
  <c r="BU113" i="28"/>
  <c r="BQ113" i="28"/>
  <c r="AJ113" i="28"/>
  <c r="AY113" i="28" s="1"/>
  <c r="CK112" i="28"/>
  <c r="CG112" i="28"/>
  <c r="CC112" i="28"/>
  <c r="BY112" i="28"/>
  <c r="BU112" i="28"/>
  <c r="BQ112" i="28"/>
  <c r="AJ112" i="28"/>
  <c r="AY112" i="28" s="1"/>
  <c r="CK111" i="28"/>
  <c r="CG111" i="28"/>
  <c r="CC111" i="28"/>
  <c r="BY111" i="28"/>
  <c r="BU111" i="28"/>
  <c r="BQ111" i="28"/>
  <c r="AJ111" i="28"/>
  <c r="AY111" i="28" s="1"/>
  <c r="CK110" i="28"/>
  <c r="CG110" i="28"/>
  <c r="CC110" i="28"/>
  <c r="BY110" i="28"/>
  <c r="BU110" i="28"/>
  <c r="BQ110" i="28"/>
  <c r="BS110" i="28" s="1"/>
  <c r="AJ110" i="28"/>
  <c r="AY110" i="28" s="1"/>
  <c r="CK106" i="28"/>
  <c r="CG106" i="28"/>
  <c r="CC106" i="28"/>
  <c r="BY106" i="28"/>
  <c r="BU106" i="28"/>
  <c r="BQ106" i="28"/>
  <c r="BW106" i="28" s="1"/>
  <c r="AJ106" i="28"/>
  <c r="AY106" i="28" s="1"/>
  <c r="X106" i="28"/>
  <c r="CK105" i="28"/>
  <c r="CL105" i="28" s="1"/>
  <c r="CG105" i="28"/>
  <c r="CH105" i="28" s="1"/>
  <c r="CC105" i="28"/>
  <c r="CD105" i="28" s="1"/>
  <c r="BY105" i="28"/>
  <c r="BZ105" i="28" s="1"/>
  <c r="BU105" i="28"/>
  <c r="BV105" i="28" s="1"/>
  <c r="AJ105" i="28"/>
  <c r="AY105" i="28" s="1"/>
  <c r="X105" i="28"/>
  <c r="CK104" i="28"/>
  <c r="CL104" i="28" s="1"/>
  <c r="CG104" i="28"/>
  <c r="CC104" i="28"/>
  <c r="BY104" i="28"/>
  <c r="BU104" i="28"/>
  <c r="BQ104" i="28"/>
  <c r="AJ104" i="28"/>
  <c r="AY104" i="28" s="1"/>
  <c r="X104" i="28"/>
  <c r="CK103" i="28"/>
  <c r="CL103" i="28" s="1"/>
  <c r="CG103" i="28"/>
  <c r="CH103" i="28" s="1"/>
  <c r="CC103" i="28"/>
  <c r="CD103" i="28" s="1"/>
  <c r="BY103" i="28"/>
  <c r="BZ103" i="28" s="1"/>
  <c r="BU103" i="28"/>
  <c r="BV103" i="28" s="1"/>
  <c r="AJ103" i="28"/>
  <c r="AY103" i="28" s="1"/>
  <c r="X103" i="28"/>
  <c r="CK102" i="28"/>
  <c r="CG102" i="28"/>
  <c r="CC102" i="28"/>
  <c r="BY102" i="28"/>
  <c r="BU102" i="28"/>
  <c r="BQ102" i="28"/>
  <c r="AJ102" i="28"/>
  <c r="AY102" i="28" s="1"/>
  <c r="X102" i="28"/>
  <c r="CK101" i="28"/>
  <c r="CL101" i="28" s="1"/>
  <c r="CG101" i="28"/>
  <c r="CH101" i="28" s="1"/>
  <c r="CC101" i="28"/>
  <c r="CD101" i="28" s="1"/>
  <c r="BY101" i="28"/>
  <c r="BZ101" i="28" s="1"/>
  <c r="BU101" i="28"/>
  <c r="BV101" i="28" s="1"/>
  <c r="AJ101" i="28"/>
  <c r="AY101" i="28" s="1"/>
  <c r="X101" i="28"/>
  <c r="CK100" i="28"/>
  <c r="CG100" i="28"/>
  <c r="CC100" i="28"/>
  <c r="BY100" i="28"/>
  <c r="BU100" i="28"/>
  <c r="BS100" i="28"/>
  <c r="BW100" i="28" s="1"/>
  <c r="BQ100" i="28"/>
  <c r="CE100" i="28" s="1"/>
  <c r="AJ100" i="28"/>
  <c r="AY100" i="28" s="1"/>
  <c r="X100" i="28"/>
  <c r="CK99" i="28"/>
  <c r="CG99" i="28"/>
  <c r="CC99" i="28"/>
  <c r="BY99" i="28"/>
  <c r="BU99" i="28"/>
  <c r="BQ99" i="28"/>
  <c r="AJ99" i="28"/>
  <c r="AY99" i="28" s="1"/>
  <c r="CK98" i="28"/>
  <c r="CL98" i="28" s="1"/>
  <c r="CG98" i="28"/>
  <c r="CH98" i="28" s="1"/>
  <c r="CC98" i="28"/>
  <c r="CD98" i="28" s="1"/>
  <c r="BY98" i="28"/>
  <c r="BZ98" i="28" s="1"/>
  <c r="BU98" i="28"/>
  <c r="BV98" i="28" s="1"/>
  <c r="AJ98" i="28"/>
  <c r="AY98" i="28" s="1"/>
  <c r="CK97" i="28"/>
  <c r="CG97" i="28"/>
  <c r="CC97" i="28"/>
  <c r="BY97" i="28"/>
  <c r="BU97" i="28"/>
  <c r="BS97" i="28"/>
  <c r="BW97" i="28" s="1"/>
  <c r="CA97" i="28" s="1"/>
  <c r="CE97" i="28" s="1"/>
  <c r="CI97" i="28" s="1"/>
  <c r="BQ97" i="28"/>
  <c r="AJ97" i="28"/>
  <c r="AY97" i="28" s="1"/>
  <c r="CK96" i="28"/>
  <c r="CL96" i="28" s="1"/>
  <c r="CG96" i="28"/>
  <c r="CH96" i="28" s="1"/>
  <c r="CC96" i="28"/>
  <c r="CD96" i="28" s="1"/>
  <c r="BY96" i="28"/>
  <c r="BZ96" i="28" s="1"/>
  <c r="BU96" i="28"/>
  <c r="BV96" i="28" s="1"/>
  <c r="AJ96" i="28"/>
  <c r="AY96" i="28" s="1"/>
  <c r="CK95" i="28"/>
  <c r="CG95" i="28"/>
  <c r="CC95" i="28"/>
  <c r="BY95" i="28"/>
  <c r="BU95" i="28"/>
  <c r="BQ95" i="28"/>
  <c r="AJ95" i="28"/>
  <c r="AY95" i="28" s="1"/>
  <c r="AJ94" i="28"/>
  <c r="AY94" i="28" s="1"/>
  <c r="CK93" i="28"/>
  <c r="CG93" i="28"/>
  <c r="CC93" i="28"/>
  <c r="BY93" i="28"/>
  <c r="BU93" i="28"/>
  <c r="BQ93" i="28"/>
  <c r="AJ93" i="28"/>
  <c r="AY93" i="28" s="1"/>
  <c r="CK92" i="28"/>
  <c r="CL92" i="28" s="1"/>
  <c r="CG92" i="28"/>
  <c r="CH92" i="28" s="1"/>
  <c r="CC92" i="28"/>
  <c r="CD92" i="28" s="1"/>
  <c r="BY92" i="28"/>
  <c r="BZ92" i="28" s="1"/>
  <c r="BU92" i="28"/>
  <c r="BV92" i="28" s="1"/>
  <c r="AJ92" i="28"/>
  <c r="AY92" i="28" s="1"/>
  <c r="CK91" i="28"/>
  <c r="CG91" i="28"/>
  <c r="CC91" i="28"/>
  <c r="BY91" i="28"/>
  <c r="BU91" i="28"/>
  <c r="BS91" i="28"/>
  <c r="BW91" i="28" s="1"/>
  <c r="CA91" i="28" s="1"/>
  <c r="CE91" i="28" s="1"/>
  <c r="CI91" i="28" s="1"/>
  <c r="BQ91" i="28"/>
  <c r="AJ91" i="28"/>
  <c r="AY91" i="28" s="1"/>
  <c r="CK90" i="28"/>
  <c r="CL90" i="28" s="1"/>
  <c r="CG90" i="28"/>
  <c r="CH90" i="28" s="1"/>
  <c r="CC90" i="28"/>
  <c r="CD90" i="28" s="1"/>
  <c r="BY90" i="28"/>
  <c r="BZ90" i="28" s="1"/>
  <c r="BU90" i="28"/>
  <c r="BV90" i="28" s="1"/>
  <c r="AJ90" i="28"/>
  <c r="AY90" i="28" s="1"/>
  <c r="CK89" i="28"/>
  <c r="CG89" i="28"/>
  <c r="CC89" i="28"/>
  <c r="BY89" i="28"/>
  <c r="BU89" i="28"/>
  <c r="BS89" i="28"/>
  <c r="BW89" i="28" s="1"/>
  <c r="CA89" i="28" s="1"/>
  <c r="CE89" i="28" s="1"/>
  <c r="CI89" i="28" s="1"/>
  <c r="BQ89" i="28"/>
  <c r="AJ89" i="28"/>
  <c r="AY89" i="28" s="1"/>
  <c r="CK88" i="28"/>
  <c r="CG88" i="28"/>
  <c r="CC88" i="28"/>
  <c r="BY88" i="28"/>
  <c r="BU88" i="28"/>
  <c r="BQ88" i="28"/>
  <c r="AJ88" i="28"/>
  <c r="AY88" i="28" s="1"/>
  <c r="Y88" i="28"/>
  <c r="X88" i="28"/>
  <c r="CK87" i="28"/>
  <c r="CG87" i="28"/>
  <c r="CC87" i="28"/>
  <c r="BY87" i="28"/>
  <c r="BU87" i="28"/>
  <c r="BQ87" i="28"/>
  <c r="AJ87" i="28"/>
  <c r="AY87" i="28" s="1"/>
  <c r="Y87" i="28"/>
  <c r="X87" i="28"/>
  <c r="CK86" i="28"/>
  <c r="CG86" i="28"/>
  <c r="CC86" i="28"/>
  <c r="BY86" i="28"/>
  <c r="BU86" i="28"/>
  <c r="BQ86" i="28"/>
  <c r="AJ86" i="28"/>
  <c r="AY86" i="28" s="1"/>
  <c r="Y86" i="28"/>
  <c r="X86" i="28"/>
  <c r="CK85" i="28"/>
  <c r="CG85" i="28"/>
  <c r="CC85" i="28"/>
  <c r="BY85" i="28"/>
  <c r="BU85" i="28"/>
  <c r="BQ85" i="28"/>
  <c r="BS85" i="28" s="1"/>
  <c r="AJ85" i="28"/>
  <c r="AY85" i="28" s="1"/>
  <c r="X85" i="28"/>
  <c r="CK84" i="28"/>
  <c r="CG84" i="28"/>
  <c r="CC84" i="28"/>
  <c r="BY84" i="28"/>
  <c r="BU84" i="28"/>
  <c r="BQ84" i="28"/>
  <c r="BW84" i="28" s="1"/>
  <c r="AJ84" i="28"/>
  <c r="AY84" i="28" s="1"/>
  <c r="X84" i="28"/>
  <c r="CD88" i="28" l="1"/>
  <c r="CD100" i="28"/>
  <c r="BZ113" i="28"/>
  <c r="CD114" i="28"/>
  <c r="CI109" i="28"/>
  <c r="CH104" i="28"/>
  <c r="CH117" i="28"/>
  <c r="CA106" i="28"/>
  <c r="BW109" i="28"/>
  <c r="BV97" i="28"/>
  <c r="CL119" i="28"/>
  <c r="CD108" i="28"/>
  <c r="CA84" i="28"/>
  <c r="CD84" i="28"/>
  <c r="BV89" i="28"/>
  <c r="BZ107" i="28"/>
  <c r="BZ114" i="28"/>
  <c r="CL87" i="28"/>
  <c r="BV84" i="28"/>
  <c r="CL89" i="28"/>
  <c r="BZ84" i="28"/>
  <c r="CD111" i="28"/>
  <c r="CL113" i="28"/>
  <c r="CL117" i="28"/>
  <c r="BZ85" i="28"/>
  <c r="BV110" i="28"/>
  <c r="BZ112" i="28"/>
  <c r="CD113" i="28"/>
  <c r="CE114" i="28"/>
  <c r="CL116" i="28"/>
  <c r="CE107" i="28"/>
  <c r="CD109" i="28"/>
  <c r="CE84" i="28"/>
  <c r="BZ106" i="28"/>
  <c r="BW110" i="28"/>
  <c r="BZ111" i="28"/>
  <c r="CD112" i="28"/>
  <c r="CH113" i="28"/>
  <c r="CH122" i="28"/>
  <c r="CH109" i="28"/>
  <c r="CD86" i="28"/>
  <c r="CH91" i="28"/>
  <c r="BZ100" i="28"/>
  <c r="CD106" i="28"/>
  <c r="CL112" i="28"/>
  <c r="CH87" i="28"/>
  <c r="CA100" i="28"/>
  <c r="CD91" i="28"/>
  <c r="CE85" i="28"/>
  <c r="CL118" i="28"/>
  <c r="CD107" i="28"/>
  <c r="CH88" i="28"/>
  <c r="CL100" i="28"/>
  <c r="CL110" i="28"/>
  <c r="BZ115" i="28"/>
  <c r="BV116" i="28"/>
  <c r="CD119" i="28"/>
  <c r="BS109" i="28"/>
  <c r="BZ121" i="28"/>
  <c r="BZ122" i="28"/>
  <c r="BV107" i="28"/>
  <c r="CL107" i="28"/>
  <c r="CD110" i="28"/>
  <c r="CH111" i="28"/>
  <c r="CD121" i="28"/>
  <c r="CD122" i="28"/>
  <c r="BW107" i="28"/>
  <c r="CL88" i="28"/>
  <c r="BV99" i="28"/>
  <c r="CH110" i="28"/>
  <c r="CL111" i="28"/>
  <c r="BZ118" i="28"/>
  <c r="CE121" i="28"/>
  <c r="CL109" i="28"/>
  <c r="CI84" i="28"/>
  <c r="CA85" i="28"/>
  <c r="CL86" i="28"/>
  <c r="BV100" i="28"/>
  <c r="BS84" i="28"/>
  <c r="CL84" i="28"/>
  <c r="CD85" i="28"/>
  <c r="BZ104" i="28"/>
  <c r="CH112" i="28"/>
  <c r="CH119" i="28"/>
  <c r="CI122" i="28"/>
  <c r="CA107" i="28"/>
  <c r="BV109" i="28"/>
  <c r="CI116" i="28"/>
  <c r="CI110" i="28"/>
  <c r="CA114" i="28"/>
  <c r="CH121" i="28"/>
  <c r="CE109" i="28"/>
  <c r="BV115" i="28"/>
  <c r="BV102" i="28"/>
  <c r="CH85" i="28"/>
  <c r="BZ86" i="28"/>
  <c r="CL91" i="28"/>
  <c r="CH93" i="28"/>
  <c r="CH100" i="28"/>
  <c r="BZ102" i="28"/>
  <c r="BW116" i="28"/>
  <c r="CH118" i="28"/>
  <c r="CL121" i="28"/>
  <c r="BV85" i="28"/>
  <c r="CI85" i="28"/>
  <c r="BZ89" i="28"/>
  <c r="CD97" i="28"/>
  <c r="BZ99" i="28"/>
  <c r="CI100" i="28"/>
  <c r="CD102" i="28"/>
  <c r="CE106" i="28"/>
  <c r="BZ116" i="28"/>
  <c r="BV118" i="28"/>
  <c r="BV121" i="28"/>
  <c r="BW85" i="28"/>
  <c r="CL85" i="28"/>
  <c r="CD89" i="28"/>
  <c r="BV91" i="28"/>
  <c r="CH97" i="28"/>
  <c r="CD99" i="28"/>
  <c r="CH102" i="28"/>
  <c r="BS106" i="28"/>
  <c r="CH106" i="28"/>
  <c r="CH114" i="28"/>
  <c r="CL115" i="28"/>
  <c r="CA116" i="28"/>
  <c r="BV117" i="28"/>
  <c r="CL122" i="28"/>
  <c r="CH84" i="28"/>
  <c r="CH86" i="28"/>
  <c r="BZ88" i="28"/>
  <c r="CH89" i="28"/>
  <c r="BZ91" i="28"/>
  <c r="CH99" i="28"/>
  <c r="CL102" i="28"/>
  <c r="CD104" i="28"/>
  <c r="BV106" i="28"/>
  <c r="CI106" i="28"/>
  <c r="BZ110" i="28"/>
  <c r="BV112" i="28"/>
  <c r="BV114" i="28"/>
  <c r="CL114" i="28"/>
  <c r="CD116" i="28"/>
  <c r="BZ117" i="28"/>
  <c r="BZ119" i="28"/>
  <c r="BV122" i="28"/>
  <c r="BZ109" i="28"/>
  <c r="BZ95" i="28"/>
  <c r="CL99" i="28"/>
  <c r="CL106" i="28"/>
  <c r="CA110" i="28"/>
  <c r="BV111" i="28"/>
  <c r="BV113" i="28"/>
  <c r="BW114" i="28"/>
  <c r="CH116" i="28"/>
  <c r="CD117" i="28"/>
  <c r="CD118" i="28"/>
  <c r="CA119" i="28"/>
  <c r="CA121" i="28"/>
  <c r="BW122" i="28"/>
  <c r="CH107" i="28"/>
  <c r="CL108" i="28"/>
  <c r="CD93" i="28"/>
  <c r="CL97" i="28"/>
  <c r="BV87" i="28"/>
  <c r="CD95" i="28"/>
  <c r="BZ87" i="28"/>
  <c r="CD115" i="28"/>
  <c r="BW108" i="28"/>
  <c r="BS108" i="28"/>
  <c r="CE108" i="28"/>
  <c r="CA108" i="28"/>
  <c r="CI108" i="28"/>
  <c r="CH108" i="28"/>
  <c r="CD87" i="28"/>
  <c r="BV88" i="28"/>
  <c r="CL93" i="28"/>
  <c r="CH95" i="28"/>
  <c r="BZ97" i="28"/>
  <c r="BV104" i="28"/>
  <c r="BV108" i="28"/>
  <c r="CL95" i="28"/>
  <c r="CH115" i="28"/>
  <c r="BZ108" i="28"/>
  <c r="BZ93" i="28"/>
  <c r="BV95" i="28"/>
  <c r="BV93" i="28"/>
  <c r="BV86" i="28"/>
  <c r="BW119" i="28"/>
  <c r="BS122" i="28"/>
  <c r="CE110" i="28"/>
  <c r="BS114" i="28"/>
  <c r="CE116" i="28"/>
  <c r="CI121" i="28"/>
  <c r="BS107" i="28"/>
  <c r="BS119" i="28"/>
  <c r="CE119" i="28"/>
  <c r="BS121" i="28"/>
  <c r="CA122" i="28"/>
  <c r="BV119" i="28"/>
  <c r="CK239" i="28" l="1"/>
  <c r="CG239" i="28"/>
  <c r="CC239" i="28"/>
  <c r="BY239" i="28"/>
  <c r="BU239" i="28"/>
  <c r="BQ239" i="28"/>
  <c r="CA239" i="28" s="1"/>
  <c r="AJ239" i="28"/>
  <c r="AY239" i="28" s="1"/>
  <c r="CK238" i="28"/>
  <c r="CG238" i="28"/>
  <c r="CC238" i="28"/>
  <c r="BY238" i="28"/>
  <c r="BU238" i="28"/>
  <c r="BQ238" i="28"/>
  <c r="CE238" i="28" s="1"/>
  <c r="AJ238" i="28"/>
  <c r="AY238" i="28" s="1"/>
  <c r="CK233" i="28"/>
  <c r="CG233" i="28"/>
  <c r="CC233" i="28"/>
  <c r="BY233" i="28"/>
  <c r="BU233" i="28"/>
  <c r="BQ233" i="28"/>
  <c r="BW233" i="28" s="1"/>
  <c r="AJ233" i="28"/>
  <c r="AY233" i="28" s="1"/>
  <c r="CK232" i="28"/>
  <c r="CG232" i="28"/>
  <c r="CC232" i="28"/>
  <c r="BY232" i="28"/>
  <c r="BU232" i="28"/>
  <c r="BQ232" i="28"/>
  <c r="CA232" i="28" s="1"/>
  <c r="AJ232" i="28"/>
  <c r="AY232" i="28" s="1"/>
  <c r="CK231" i="28"/>
  <c r="CG231" i="28"/>
  <c r="CC231" i="28"/>
  <c r="BY231" i="28"/>
  <c r="BU231" i="28"/>
  <c r="BQ231" i="28"/>
  <c r="AJ231" i="28"/>
  <c r="AY231" i="28" s="1"/>
  <c r="CK204" i="28"/>
  <c r="CG204" i="28"/>
  <c r="CC204" i="28"/>
  <c r="BY204" i="28"/>
  <c r="BU204" i="28"/>
  <c r="BQ204" i="28"/>
  <c r="CA204" i="28" s="1"/>
  <c r="AY204" i="28"/>
  <c r="CK203" i="28"/>
  <c r="CG203" i="28"/>
  <c r="CC203" i="28"/>
  <c r="BY203" i="28"/>
  <c r="BU203" i="28"/>
  <c r="BQ203" i="28"/>
  <c r="AJ203" i="28"/>
  <c r="AY203" i="28" s="1"/>
  <c r="CK202" i="28"/>
  <c r="CG202" i="28"/>
  <c r="CC202" i="28"/>
  <c r="BY202" i="28"/>
  <c r="BU202" i="28"/>
  <c r="BQ202" i="28"/>
  <c r="BW202" i="28" s="1"/>
  <c r="AJ202" i="28"/>
  <c r="AY202" i="28" s="1"/>
  <c r="BZ239" i="28" l="1"/>
  <c r="CH202" i="28"/>
  <c r="CD239" i="28"/>
  <c r="BV239" i="28"/>
  <c r="BW239" i="28"/>
  <c r="CD238" i="28"/>
  <c r="CH238" i="28"/>
  <c r="CE239" i="28"/>
  <c r="BZ238" i="28"/>
  <c r="BV203" i="28"/>
  <c r="CH239" i="28"/>
  <c r="CD233" i="28"/>
  <c r="CL233" i="28"/>
  <c r="CD202" i="28"/>
  <c r="CE202" i="28"/>
  <c r="BS239" i="28"/>
  <c r="BV233" i="28"/>
  <c r="BS202" i="28"/>
  <c r="CD204" i="28"/>
  <c r="CL202" i="28"/>
  <c r="CE204" i="28"/>
  <c r="BZ232" i="28"/>
  <c r="BS233" i="28"/>
  <c r="CL238" i="28"/>
  <c r="CD231" i="28"/>
  <c r="CD232" i="28"/>
  <c r="BZ233" i="28"/>
  <c r="CA233" i="28"/>
  <c r="BW238" i="28"/>
  <c r="CL239" i="28"/>
  <c r="CL231" i="28"/>
  <c r="BZ203" i="28"/>
  <c r="CL203" i="28"/>
  <c r="BV232" i="28"/>
  <c r="CL232" i="28"/>
  <c r="BZ202" i="28"/>
  <c r="BW232" i="28"/>
  <c r="CI238" i="28"/>
  <c r="CH204" i="28"/>
  <c r="BS204" i="28"/>
  <c r="CI204" i="28"/>
  <c r="BV231" i="28"/>
  <c r="CD203" i="28"/>
  <c r="BV204" i="28"/>
  <c r="CL204" i="28"/>
  <c r="CE232" i="28"/>
  <c r="CH233" i="28"/>
  <c r="CA238" i="28"/>
  <c r="CH231" i="28"/>
  <c r="BS231" i="28"/>
  <c r="BW204" i="28"/>
  <c r="BZ231" i="28"/>
  <c r="CH232" i="28"/>
  <c r="BV202" i="28"/>
  <c r="CI203" i="28"/>
  <c r="BZ204" i="28"/>
  <c r="CA231" i="28"/>
  <c r="BS232" i="28"/>
  <c r="CI232" i="28"/>
  <c r="CI239" i="28"/>
  <c r="BW203" i="28"/>
  <c r="CH203" i="28"/>
  <c r="CI231" i="28"/>
  <c r="CI233" i="28"/>
  <c r="BV238" i="28"/>
  <c r="CA203" i="28"/>
  <c r="CE231" i="28"/>
  <c r="CE233" i="28"/>
  <c r="CE203" i="28"/>
  <c r="BS238" i="28"/>
  <c r="CI202" i="28"/>
  <c r="BS203" i="28"/>
  <c r="CA202" i="28"/>
  <c r="BW231" i="28"/>
  <c r="CK258" i="28" l="1"/>
  <c r="CG258" i="28"/>
  <c r="CC258" i="28"/>
  <c r="BY258" i="28"/>
  <c r="BU258" i="28"/>
  <c r="BQ258" i="28"/>
  <c r="BW258" i="28" s="1"/>
  <c r="AJ258" i="28"/>
  <c r="AY258" i="28" s="1"/>
  <c r="Y258" i="28"/>
  <c r="X258" i="28"/>
  <c r="CK257" i="28"/>
  <c r="CG257" i="28"/>
  <c r="CC257" i="28"/>
  <c r="BY257" i="28"/>
  <c r="BU257" i="28"/>
  <c r="BQ257" i="28"/>
  <c r="CE257" i="28" s="1"/>
  <c r="AJ257" i="28"/>
  <c r="AY257" i="28" s="1"/>
  <c r="CK256" i="28"/>
  <c r="CG256" i="28"/>
  <c r="CC256" i="28"/>
  <c r="BY256" i="28"/>
  <c r="BU256" i="28"/>
  <c r="BQ256" i="28"/>
  <c r="BW256" i="28" s="1"/>
  <c r="AJ256" i="28"/>
  <c r="AY256" i="28" s="1"/>
  <c r="X256" i="28"/>
  <c r="CK255" i="28"/>
  <c r="CG255" i="28"/>
  <c r="CC255" i="28"/>
  <c r="BY255" i="28"/>
  <c r="BU255" i="28"/>
  <c r="BQ255" i="28"/>
  <c r="CA255" i="28" s="1"/>
  <c r="AJ255" i="28"/>
  <c r="AY255" i="28" s="1"/>
  <c r="Y255" i="28"/>
  <c r="X255" i="28"/>
  <c r="CK254" i="28"/>
  <c r="CG254" i="28"/>
  <c r="CC254" i="28"/>
  <c r="BY254" i="28"/>
  <c r="BU254" i="28"/>
  <c r="BQ254" i="28"/>
  <c r="CA254" i="28" s="1"/>
  <c r="AJ254" i="28"/>
  <c r="AY254" i="28" s="1"/>
  <c r="Y254" i="28"/>
  <c r="X254" i="28"/>
  <c r="CK81" i="28"/>
  <c r="CG81" i="28"/>
  <c r="CC81" i="28"/>
  <c r="BX81" i="28"/>
  <c r="BY81" i="28" s="1"/>
  <c r="BU81" i="28"/>
  <c r="BQ81" i="28"/>
  <c r="CA81" i="28" s="1"/>
  <c r="AJ81" i="28"/>
  <c r="AY81" i="28" s="1"/>
  <c r="X81" i="28"/>
  <c r="CK80" i="28"/>
  <c r="CG80" i="28"/>
  <c r="CC80" i="28"/>
  <c r="BX80" i="28"/>
  <c r="BY80" i="28" s="1"/>
  <c r="BU80" i="28"/>
  <c r="BQ80" i="28"/>
  <c r="BW80" i="28" s="1"/>
  <c r="AJ80" i="28"/>
  <c r="AY80" i="28" s="1"/>
  <c r="X80" i="28"/>
  <c r="CK79" i="28"/>
  <c r="CG79" i="28"/>
  <c r="CC79" i="28"/>
  <c r="BX79" i="28"/>
  <c r="BY79" i="28" s="1"/>
  <c r="BU79" i="28"/>
  <c r="BQ79" i="28"/>
  <c r="CA79" i="28" s="1"/>
  <c r="AJ79" i="28"/>
  <c r="AY79" i="28" s="1"/>
  <c r="Y79" i="28"/>
  <c r="X79" i="28"/>
  <c r="CD254" i="28" l="1"/>
  <c r="BZ254" i="28"/>
  <c r="BZ256" i="28"/>
  <c r="BV254" i="28"/>
  <c r="BV256" i="28"/>
  <c r="BZ257" i="28"/>
  <c r="CA256" i="28"/>
  <c r="CA257" i="28"/>
  <c r="CH255" i="28"/>
  <c r="CI255" i="28"/>
  <c r="CD256" i="28"/>
  <c r="CD257" i="28"/>
  <c r="CE79" i="28"/>
  <c r="CH254" i="28"/>
  <c r="CH256" i="28"/>
  <c r="CH257" i="28"/>
  <c r="CL256" i="28"/>
  <c r="CI257" i="28"/>
  <c r="CA258" i="28"/>
  <c r="CD79" i="28"/>
  <c r="BV81" i="28"/>
  <c r="CE81" i="28"/>
  <c r="CD258" i="28"/>
  <c r="BV79" i="28"/>
  <c r="BZ79" i="28"/>
  <c r="BV80" i="28"/>
  <c r="BS81" i="28"/>
  <c r="CI81" i="28"/>
  <c r="CL255" i="28"/>
  <c r="CH79" i="28"/>
  <c r="BZ80" i="28"/>
  <c r="CL81" i="28"/>
  <c r="BV255" i="28"/>
  <c r="BW79" i="28"/>
  <c r="CD81" i="28"/>
  <c r="CE255" i="28"/>
  <c r="BZ258" i="28"/>
  <c r="CL258" i="28"/>
  <c r="CH81" i="28"/>
  <c r="CE258" i="28"/>
  <c r="BS79" i="28"/>
  <c r="CI79" i="28"/>
  <c r="CD80" i="28"/>
  <c r="BW255" i="28"/>
  <c r="BS258" i="28"/>
  <c r="CH258" i="28"/>
  <c r="CL79" i="28"/>
  <c r="BW81" i="28"/>
  <c r="BZ255" i="28"/>
  <c r="BV258" i="28"/>
  <c r="CI258" i="28"/>
  <c r="CL80" i="28"/>
  <c r="BZ81" i="28"/>
  <c r="CL254" i="28"/>
  <c r="CD255" i="28"/>
  <c r="CL257" i="28"/>
  <c r="CH80" i="28"/>
  <c r="CI256" i="28"/>
  <c r="BV257" i="28"/>
  <c r="CI80" i="28"/>
  <c r="CI254" i="28"/>
  <c r="BS255" i="28"/>
  <c r="BW257" i="28"/>
  <c r="CA80" i="28"/>
  <c r="BS80" i="28"/>
  <c r="BS256" i="28"/>
  <c r="CE256" i="28"/>
  <c r="CE80" i="28"/>
  <c r="CE254" i="28"/>
  <c r="BS257" i="28"/>
  <c r="BS254" i="28"/>
  <c r="BW254" i="28"/>
  <c r="CK253" i="28" l="1"/>
  <c r="CG253" i="28"/>
  <c r="CC253" i="28"/>
  <c r="BY253" i="28"/>
  <c r="BU253" i="28"/>
  <c r="BQ253" i="28"/>
  <c r="CA253" i="28" s="1"/>
  <c r="BF253" i="28"/>
  <c r="AU253" i="28"/>
  <c r="AJ253" i="28"/>
  <c r="AY253" i="28" s="1"/>
  <c r="Y253" i="28"/>
  <c r="X253" i="28"/>
  <c r="CK252" i="28"/>
  <c r="CG252" i="28"/>
  <c r="CC252" i="28"/>
  <c r="BY252" i="28"/>
  <c r="BU252" i="28"/>
  <c r="BQ252" i="28"/>
  <c r="CI252" i="28" s="1"/>
  <c r="BF252" i="28"/>
  <c r="AJ252" i="28"/>
  <c r="AY252" i="28" s="1"/>
  <c r="CK251" i="28"/>
  <c r="CG251" i="28"/>
  <c r="CC251" i="28"/>
  <c r="BY251" i="28"/>
  <c r="BU251" i="28"/>
  <c r="BQ251" i="28"/>
  <c r="CE251" i="28" s="1"/>
  <c r="BF251" i="28"/>
  <c r="AJ251" i="28"/>
  <c r="AY251" i="28" s="1"/>
  <c r="CK250" i="28"/>
  <c r="CG250" i="28"/>
  <c r="CC250" i="28"/>
  <c r="BY250" i="28"/>
  <c r="BU250" i="28"/>
  <c r="BQ250" i="28"/>
  <c r="CE250" i="28" s="1"/>
  <c r="BF250" i="28"/>
  <c r="AU250" i="28"/>
  <c r="AJ250" i="28"/>
  <c r="AY250" i="28" s="1"/>
  <c r="Y250" i="28"/>
  <c r="X250" i="28"/>
  <c r="CK249" i="28"/>
  <c r="CG249" i="28"/>
  <c r="CC249" i="28"/>
  <c r="BY249" i="28"/>
  <c r="BU249" i="28"/>
  <c r="BQ249" i="28"/>
  <c r="BS249" i="28" s="1"/>
  <c r="AJ249" i="28"/>
  <c r="AY249" i="28" s="1"/>
  <c r="Y249" i="28"/>
  <c r="X249" i="28"/>
  <c r="CK248" i="28"/>
  <c r="CG248" i="28"/>
  <c r="CC248" i="28"/>
  <c r="BY248" i="28"/>
  <c r="BU248" i="28"/>
  <c r="BQ248" i="28"/>
  <c r="CI248" i="28" s="1"/>
  <c r="AJ248" i="28"/>
  <c r="AY248" i="28" s="1"/>
  <c r="Y248" i="28"/>
  <c r="X248" i="28"/>
  <c r="CK247" i="28"/>
  <c r="CG247" i="28"/>
  <c r="CC247" i="28"/>
  <c r="BY247" i="28"/>
  <c r="BU247" i="28"/>
  <c r="BQ247" i="28"/>
  <c r="BS247" i="28" s="1"/>
  <c r="BF247" i="28"/>
  <c r="AJ247" i="28"/>
  <c r="AY247" i="28" s="1"/>
  <c r="Y247" i="28"/>
  <c r="X247" i="28"/>
  <c r="CK246" i="28"/>
  <c r="CG246" i="28"/>
  <c r="CC246" i="28"/>
  <c r="BY246" i="28"/>
  <c r="BU246" i="28"/>
  <c r="BQ246" i="28"/>
  <c r="CI246" i="28" s="1"/>
  <c r="AU246" i="28"/>
  <c r="AJ246" i="28"/>
  <c r="AY246" i="28" s="1"/>
  <c r="Y246" i="28"/>
  <c r="X246" i="28"/>
  <c r="BZ252" i="28" l="1"/>
  <c r="CD252" i="28"/>
  <c r="CA246" i="28"/>
  <c r="CD246" i="28"/>
  <c r="CL252" i="28"/>
  <c r="BV250" i="28"/>
  <c r="BW250" i="28"/>
  <c r="CL246" i="28"/>
  <c r="CH250" i="28"/>
  <c r="CL248" i="28"/>
  <c r="CI250" i="28"/>
  <c r="CD251" i="28"/>
  <c r="CL250" i="28"/>
  <c r="BZ250" i="28"/>
  <c r="BZ248" i="28"/>
  <c r="CA250" i="28"/>
  <c r="CL251" i="28"/>
  <c r="CA248" i="28"/>
  <c r="CD250" i="28"/>
  <c r="BV251" i="28"/>
  <c r="CD248" i="28"/>
  <c r="BW251" i="28"/>
  <c r="BV247" i="28"/>
  <c r="BW249" i="28"/>
  <c r="BV253" i="28"/>
  <c r="BW247" i="28"/>
  <c r="BZ249" i="28"/>
  <c r="CD249" i="28"/>
  <c r="CD253" i="28"/>
  <c r="CD247" i="28"/>
  <c r="CH253" i="28"/>
  <c r="BV246" i="28"/>
  <c r="BZ246" i="28"/>
  <c r="CH247" i="28"/>
  <c r="BS251" i="28"/>
  <c r="CA252" i="28"/>
  <c r="BV249" i="28"/>
  <c r="BZ253" i="28"/>
  <c r="BZ247" i="28"/>
  <c r="CE249" i="28"/>
  <c r="CE247" i="28"/>
  <c r="CH249" i="28"/>
  <c r="BS250" i="28"/>
  <c r="CH251" i="28"/>
  <c r="CL253" i="28"/>
  <c r="BS246" i="28"/>
  <c r="CE248" i="28"/>
  <c r="CI251" i="28"/>
  <c r="CE252" i="28"/>
  <c r="BW253" i="28"/>
  <c r="CE253" i="28"/>
  <c r="CE246" i="28"/>
  <c r="CI247" i="28"/>
  <c r="BS248" i="28"/>
  <c r="CI249" i="28"/>
  <c r="BS252" i="28"/>
  <c r="BW246" i="28"/>
  <c r="CH246" i="28"/>
  <c r="CA247" i="28"/>
  <c r="CL247" i="28"/>
  <c r="BV248" i="28"/>
  <c r="CA249" i="28"/>
  <c r="CL249" i="28"/>
  <c r="BZ251" i="28"/>
  <c r="BV252" i="28"/>
  <c r="CI253" i="28"/>
  <c r="CA251" i="28"/>
  <c r="BW252" i="28"/>
  <c r="CH252" i="28"/>
  <c r="BS253" i="28"/>
  <c r="BW248" i="28"/>
  <c r="CH248" i="28"/>
  <c r="BX245" i="28" l="1"/>
  <c r="BT245" i="28"/>
  <c r="BP245" i="28"/>
  <c r="BO245" i="28"/>
  <c r="BN245" i="28"/>
  <c r="CK245" i="28" s="1"/>
  <c r="AJ245" i="28"/>
  <c r="AY245" i="28" s="1"/>
  <c r="Y245" i="28"/>
  <c r="X245" i="28"/>
  <c r="CK244" i="28"/>
  <c r="CG244" i="28"/>
  <c r="CC244" i="28"/>
  <c r="BX244" i="28"/>
  <c r="BY244" i="28" s="1"/>
  <c r="BT244" i="28"/>
  <c r="BU244" i="28" s="1"/>
  <c r="BP244" i="28"/>
  <c r="BO244" i="28"/>
  <c r="BQ244" i="28" s="1"/>
  <c r="AJ244" i="28"/>
  <c r="AY244" i="28" s="1"/>
  <c r="Y244" i="28"/>
  <c r="X244" i="28"/>
  <c r="BX243" i="28"/>
  <c r="BT243" i="28"/>
  <c r="BP243" i="28"/>
  <c r="BO243" i="28"/>
  <c r="BN243" i="28"/>
  <c r="CC243" i="28" s="1"/>
  <c r="AJ243" i="28"/>
  <c r="AY243" i="28" s="1"/>
  <c r="Y243" i="28"/>
  <c r="BX242" i="28"/>
  <c r="BT242" i="28"/>
  <c r="BP242" i="28"/>
  <c r="BO242" i="28"/>
  <c r="BN242" i="28"/>
  <c r="CC242" i="28" s="1"/>
  <c r="AJ242" i="28"/>
  <c r="AY242" i="28" s="1"/>
  <c r="Y242" i="28"/>
  <c r="BX241" i="28"/>
  <c r="BT241" i="28"/>
  <c r="BP241" i="28"/>
  <c r="BO241" i="28"/>
  <c r="BN241" i="28"/>
  <c r="CC241" i="28" s="1"/>
  <c r="AJ241" i="28"/>
  <c r="AY241" i="28" s="1"/>
  <c r="Y241" i="28"/>
  <c r="BX240" i="28"/>
  <c r="BT240" i="28"/>
  <c r="BP240" i="28"/>
  <c r="BO240" i="28"/>
  <c r="BN240" i="28"/>
  <c r="CC240" i="28" s="1"/>
  <c r="AJ240" i="28"/>
  <c r="AY240" i="28" s="1"/>
  <c r="Y240" i="28"/>
  <c r="X240" i="28"/>
  <c r="CK40" i="28"/>
  <c r="CG40" i="28"/>
  <c r="CC40" i="28"/>
  <c r="BY40" i="28"/>
  <c r="BU40" i="28"/>
  <c r="BQ40" i="28"/>
  <c r="CA40" i="28" s="1"/>
  <c r="AJ40" i="28"/>
  <c r="AY40" i="28" s="1"/>
  <c r="Y40" i="28"/>
  <c r="X40" i="28"/>
  <c r="CK39" i="28"/>
  <c r="CG39" i="28"/>
  <c r="CC39" i="28"/>
  <c r="BY39" i="28"/>
  <c r="BU39" i="28"/>
  <c r="BQ39" i="28"/>
  <c r="AJ39" i="28"/>
  <c r="AY39" i="28" s="1"/>
  <c r="Y39" i="28"/>
  <c r="X39" i="28"/>
  <c r="CK38" i="28"/>
  <c r="CG38" i="28"/>
  <c r="CC38" i="28"/>
  <c r="BY38" i="28"/>
  <c r="BU38" i="28"/>
  <c r="BQ38" i="28"/>
  <c r="CA38" i="28" s="1"/>
  <c r="AY38" i="28"/>
  <c r="AJ38" i="28"/>
  <c r="Y38" i="28"/>
  <c r="X38" i="28"/>
  <c r="CD40" i="28" l="1"/>
  <c r="BY242" i="28"/>
  <c r="BY241" i="28"/>
  <c r="BU243" i="28"/>
  <c r="BZ40" i="28"/>
  <c r="BU242" i="28"/>
  <c r="BY243" i="28"/>
  <c r="BW40" i="28"/>
  <c r="BV38" i="28"/>
  <c r="CH39" i="28"/>
  <c r="CD38" i="28"/>
  <c r="BU245" i="28"/>
  <c r="CL39" i="28"/>
  <c r="BV39" i="28"/>
  <c r="CH38" i="28"/>
  <c r="BZ39" i="28"/>
  <c r="CD39" i="28"/>
  <c r="CE40" i="28"/>
  <c r="BQ240" i="28"/>
  <c r="CE240" i="28" s="1"/>
  <c r="CH40" i="28"/>
  <c r="BQ241" i="28"/>
  <c r="CE241" i="28" s="1"/>
  <c r="BZ38" i="28"/>
  <c r="BV40" i="28"/>
  <c r="BY240" i="28"/>
  <c r="BU241" i="28"/>
  <c r="BQ243" i="28"/>
  <c r="CE243" i="28" s="1"/>
  <c r="BQ245" i="28"/>
  <c r="BS245" i="28" s="1"/>
  <c r="BS38" i="28"/>
  <c r="CL38" i="28"/>
  <c r="CA39" i="28"/>
  <c r="BS40" i="28"/>
  <c r="BW38" i="28"/>
  <c r="CI39" i="28"/>
  <c r="CL40" i="28"/>
  <c r="BU240" i="28"/>
  <c r="BQ242" i="28"/>
  <c r="CE242" i="28" s="1"/>
  <c r="BY245" i="28"/>
  <c r="BZ244" i="28"/>
  <c r="CH244" i="28"/>
  <c r="CD244" i="28"/>
  <c r="CL244" i="28"/>
  <c r="CA244" i="28"/>
  <c r="BS244" i="28"/>
  <c r="CI244" i="28"/>
  <c r="BW244" i="28"/>
  <c r="CE244" i="28"/>
  <c r="BV244" i="28"/>
  <c r="CE38" i="28"/>
  <c r="CC245" i="28"/>
  <c r="CG240" i="28"/>
  <c r="CG241" i="28"/>
  <c r="CG242" i="28"/>
  <c r="CG243" i="28"/>
  <c r="CI38" i="28"/>
  <c r="BS39" i="28"/>
  <c r="CI40" i="28"/>
  <c r="CG245" i="28"/>
  <c r="CE39" i="28"/>
  <c r="CK240" i="28"/>
  <c r="CK241" i="28"/>
  <c r="CK242" i="28"/>
  <c r="CK243" i="28"/>
  <c r="BW39" i="28"/>
  <c r="CH242" i="28" l="1"/>
  <c r="BZ243" i="28"/>
  <c r="BW241" i="28"/>
  <c r="CI241" i="28"/>
  <c r="CL241" i="28"/>
  <c r="CD241" i="28"/>
  <c r="BS241" i="28"/>
  <c r="BV241" i="28"/>
  <c r="CI240" i="28"/>
  <c r="BW242" i="28"/>
  <c r="CA241" i="28"/>
  <c r="CH241" i="28"/>
  <c r="CI245" i="28"/>
  <c r="BZ241" i="28"/>
  <c r="BS242" i="28"/>
  <c r="BW243" i="28"/>
  <c r="CA243" i="28"/>
  <c r="CA242" i="28"/>
  <c r="BV240" i="28"/>
  <c r="BV242" i="28"/>
  <c r="CL243" i="28"/>
  <c r="CL242" i="28"/>
  <c r="BZ242" i="28"/>
  <c r="CL245" i="28"/>
  <c r="BV245" i="28"/>
  <c r="CH245" i="28"/>
  <c r="CH243" i="28"/>
  <c r="CD245" i="28"/>
  <c r="CA245" i="28"/>
  <c r="BZ245" i="28"/>
  <c r="BS243" i="28"/>
  <c r="BW245" i="28"/>
  <c r="CL240" i="28"/>
  <c r="BV243" i="28"/>
  <c r="BZ240" i="28"/>
  <c r="CA240" i="28"/>
  <c r="CI243" i="28"/>
  <c r="CH240" i="28"/>
  <c r="CE245" i="28"/>
  <c r="CD243" i="28"/>
  <c r="CD242" i="28"/>
  <c r="CD240" i="28"/>
  <c r="BS240" i="28"/>
  <c r="CI242" i="28"/>
  <c r="BW240" i="28"/>
  <c r="CK64" i="28"/>
  <c r="CK65" i="28"/>
  <c r="CK66" i="28"/>
  <c r="CK67" i="28"/>
  <c r="CK68" i="28"/>
  <c r="CK69" i="28"/>
  <c r="CK70" i="28"/>
  <c r="CK71" i="28"/>
  <c r="CK72" i="28"/>
  <c r="CK73" i="28"/>
  <c r="CK74" i="28"/>
  <c r="CK75" i="28"/>
  <c r="CK197" i="28"/>
  <c r="CK198" i="28"/>
  <c r="CK199" i="28"/>
  <c r="CK200" i="28"/>
  <c r="CK201" i="28"/>
  <c r="CK63" i="28"/>
  <c r="CG64" i="28"/>
  <c r="CG65" i="28"/>
  <c r="CG66" i="28"/>
  <c r="CG67" i="28"/>
  <c r="CG68" i="28"/>
  <c r="CG69" i="28"/>
  <c r="CG70" i="28"/>
  <c r="CG71" i="28"/>
  <c r="CG72" i="28"/>
  <c r="CG73" i="28"/>
  <c r="CG74" i="28"/>
  <c r="CG75" i="28"/>
  <c r="CG197" i="28"/>
  <c r="CG198" i="28"/>
  <c r="CG199" i="28"/>
  <c r="CG200" i="28"/>
  <c r="CG201" i="28"/>
  <c r="CG63" i="28"/>
  <c r="CC64" i="28"/>
  <c r="CC65" i="28"/>
  <c r="CC66" i="28"/>
  <c r="CC67" i="28"/>
  <c r="CC68" i="28"/>
  <c r="CC69" i="28"/>
  <c r="CC70" i="28"/>
  <c r="CC71" i="28"/>
  <c r="CC72" i="28"/>
  <c r="CC73" i="28"/>
  <c r="CC74" i="28"/>
  <c r="CC75" i="28"/>
  <c r="CC197" i="28"/>
  <c r="CC198" i="28"/>
  <c r="CC199" i="28"/>
  <c r="CC200" i="28"/>
  <c r="CC201" i="28"/>
  <c r="CC63" i="28"/>
  <c r="BU64" i="28"/>
  <c r="BU65" i="28"/>
  <c r="BU66" i="28"/>
  <c r="BU67" i="28"/>
  <c r="BU68" i="28"/>
  <c r="BU69" i="28"/>
  <c r="BU70" i="28"/>
  <c r="BU71" i="28"/>
  <c r="BU72" i="28"/>
  <c r="BU73" i="28"/>
  <c r="BU74" i="28"/>
  <c r="BU75" i="28"/>
  <c r="BU197" i="28"/>
  <c r="BU198" i="28"/>
  <c r="BU199" i="28"/>
  <c r="BU200" i="28"/>
  <c r="BU201" i="28"/>
  <c r="BU63" i="28"/>
  <c r="BQ42" i="28"/>
  <c r="BQ43" i="28"/>
  <c r="BQ44" i="28"/>
  <c r="BQ45" i="28"/>
  <c r="BQ46" i="28"/>
  <c r="BQ47" i="28"/>
  <c r="BQ48" i="28"/>
  <c r="BQ49" i="28"/>
  <c r="BQ50" i="28"/>
  <c r="BQ51" i="28"/>
  <c r="BQ52" i="28"/>
  <c r="BQ53" i="28"/>
  <c r="BQ54" i="28"/>
  <c r="BQ55" i="28"/>
  <c r="BQ56" i="28"/>
  <c r="BQ57" i="28"/>
  <c r="BQ58" i="28"/>
  <c r="BQ59" i="28"/>
  <c r="CI60" i="28" s="1"/>
  <c r="BQ60" i="28"/>
  <c r="BS60" i="28" s="1"/>
  <c r="BQ61" i="28"/>
  <c r="BS61" i="28" s="1"/>
  <c r="BQ62" i="28"/>
  <c r="BQ63" i="28"/>
  <c r="CA63" i="28" s="1"/>
  <c r="BQ64" i="28"/>
  <c r="BQ65" i="28"/>
  <c r="CE65" i="28" s="1"/>
  <c r="BQ66" i="28"/>
  <c r="CI66" i="28" s="1"/>
  <c r="BQ67" i="28"/>
  <c r="BW67" i="28" s="1"/>
  <c r="BQ68" i="28"/>
  <c r="CI68" i="28" s="1"/>
  <c r="BQ69" i="28"/>
  <c r="CI69" i="28" s="1"/>
  <c r="BQ70" i="28"/>
  <c r="BQ71" i="28"/>
  <c r="BQ72" i="28"/>
  <c r="CI72" i="28" s="1"/>
  <c r="BQ73" i="28"/>
  <c r="CE73" i="28" s="1"/>
  <c r="BQ74" i="28"/>
  <c r="CI74" i="28" s="1"/>
  <c r="BQ75" i="28"/>
  <c r="BW75" i="28" s="1"/>
  <c r="BQ197" i="28"/>
  <c r="CI197" i="28" s="1"/>
  <c r="BQ198" i="28"/>
  <c r="BQ199" i="28"/>
  <c r="BQ200" i="28"/>
  <c r="BZ200" i="28" s="1"/>
  <c r="BQ201" i="28"/>
  <c r="CE201" i="28" s="1"/>
  <c r="BQ41" i="28"/>
  <c r="AJ60" i="28"/>
  <c r="AJ59" i="28"/>
  <c r="CK62" i="28"/>
  <c r="CG62" i="28"/>
  <c r="CC62" i="28"/>
  <c r="BY62" i="28"/>
  <c r="BU62" i="28"/>
  <c r="AJ62" i="28"/>
  <c r="AY62" i="28" s="1"/>
  <c r="Y62" i="28"/>
  <c r="X62" i="28"/>
  <c r="CK61" i="28"/>
  <c r="CG61" i="28"/>
  <c r="CC61" i="28"/>
  <c r="BY61" i="28"/>
  <c r="BU61" i="28"/>
  <c r="AJ61" i="28"/>
  <c r="AY61" i="28" s="1"/>
  <c r="Y61" i="28"/>
  <c r="X61" i="28"/>
  <c r="X60" i="28"/>
  <c r="CK60" i="28"/>
  <c r="CG60" i="28"/>
  <c r="CC60" i="28"/>
  <c r="BY60" i="28"/>
  <c r="BU60" i="28"/>
  <c r="Y60" i="28"/>
  <c r="CL61" i="28" l="1"/>
  <c r="CH73" i="28"/>
  <c r="BV73" i="28"/>
  <c r="BV65" i="28"/>
  <c r="CI200" i="28"/>
  <c r="BW201" i="28"/>
  <c r="CD201" i="28"/>
  <c r="CD73" i="28"/>
  <c r="CD65" i="28"/>
  <c r="CD200" i="28"/>
  <c r="CD72" i="28"/>
  <c r="CD64" i="28"/>
  <c r="BV74" i="28"/>
  <c r="BV66" i="28"/>
  <c r="CH201" i="28"/>
  <c r="BW60" i="28"/>
  <c r="CL198" i="28"/>
  <c r="CL70" i="28"/>
  <c r="CL69" i="28"/>
  <c r="BV60" i="28"/>
  <c r="CH198" i="28"/>
  <c r="CH70" i="28"/>
  <c r="CI75" i="28"/>
  <c r="CA72" i="28"/>
  <c r="BW66" i="28"/>
  <c r="BV201" i="28"/>
  <c r="BW65" i="28"/>
  <c r="CE74" i="28"/>
  <c r="CE72" i="28"/>
  <c r="CI73" i="28"/>
  <c r="CA75" i="28"/>
  <c r="CL74" i="28"/>
  <c r="CL66" i="28"/>
  <c r="CA74" i="28"/>
  <c r="CH200" i="28"/>
  <c r="CH72" i="28"/>
  <c r="CH64" i="28"/>
  <c r="CL201" i="28"/>
  <c r="CL73" i="28"/>
  <c r="CL65" i="28"/>
  <c r="BV69" i="28"/>
  <c r="BV67" i="28"/>
  <c r="CH197" i="28"/>
  <c r="CA60" i="28"/>
  <c r="BV61" i="28"/>
  <c r="CD197" i="28"/>
  <c r="CL197" i="28"/>
  <c r="CD60" i="28"/>
  <c r="CL72" i="28"/>
  <c r="CL64" i="28"/>
  <c r="BZ69" i="28"/>
  <c r="CD68" i="28"/>
  <c r="CE64" i="28"/>
  <c r="CH67" i="28"/>
  <c r="CI67" i="28"/>
  <c r="CD71" i="28"/>
  <c r="BV200" i="28"/>
  <c r="BV72" i="28"/>
  <c r="BV64" i="28"/>
  <c r="BW74" i="28"/>
  <c r="BZ64" i="28"/>
  <c r="CA66" i="28"/>
  <c r="CE197" i="28"/>
  <c r="CH74" i="28"/>
  <c r="CH66" i="28"/>
  <c r="CI65" i="28"/>
  <c r="CL68" i="28"/>
  <c r="BW69" i="28"/>
  <c r="CA197" i="28"/>
  <c r="BV197" i="28"/>
  <c r="CE69" i="28"/>
  <c r="BZ60" i="28"/>
  <c r="BV75" i="28"/>
  <c r="CE67" i="28"/>
  <c r="CH69" i="28"/>
  <c r="CA69" i="28"/>
  <c r="CD69" i="28"/>
  <c r="CE66" i="28"/>
  <c r="CL200" i="28"/>
  <c r="BW197" i="28"/>
  <c r="CA67" i="28"/>
  <c r="CE200" i="28"/>
  <c r="CH75" i="28"/>
  <c r="CH65" i="28"/>
  <c r="CL60" i="28"/>
  <c r="CH61" i="28"/>
  <c r="BV199" i="28"/>
  <c r="BV71" i="28"/>
  <c r="BW73" i="28"/>
  <c r="CA200" i="28"/>
  <c r="CA64" i="28"/>
  <c r="CD74" i="28"/>
  <c r="CD66" i="28"/>
  <c r="CE75" i="28"/>
  <c r="CI201" i="28"/>
  <c r="CI64" i="28"/>
  <c r="CL75" i="28"/>
  <c r="CL67" i="28"/>
  <c r="CD63" i="28"/>
  <c r="CE68" i="28"/>
  <c r="CA68" i="28"/>
  <c r="BW68" i="28"/>
  <c r="CH68" i="28"/>
  <c r="BZ68" i="28"/>
  <c r="BV68" i="28"/>
  <c r="CH199" i="28"/>
  <c r="CI199" i="28"/>
  <c r="CE199" i="28"/>
  <c r="CA199" i="28"/>
  <c r="CH71" i="28"/>
  <c r="CI71" i="28"/>
  <c r="CE71" i="28"/>
  <c r="CA71" i="28"/>
  <c r="CI63" i="28"/>
  <c r="BZ63" i="28"/>
  <c r="BV63" i="28"/>
  <c r="CD198" i="28"/>
  <c r="CI198" i="28"/>
  <c r="CE198" i="28"/>
  <c r="CA198" i="28"/>
  <c r="BW198" i="28"/>
  <c r="BV198" i="28"/>
  <c r="CD70" i="28"/>
  <c r="BZ70" i="28"/>
  <c r="CI70" i="28"/>
  <c r="CE70" i="28"/>
  <c r="CA70" i="28"/>
  <c r="BW70" i="28"/>
  <c r="BV70" i="28"/>
  <c r="CE62" i="28"/>
  <c r="BW62" i="28"/>
  <c r="BV62" i="28"/>
  <c r="BW199" i="28"/>
  <c r="BW63" i="28"/>
  <c r="CL199" i="28"/>
  <c r="BW71" i="28"/>
  <c r="CE63" i="28"/>
  <c r="CD199" i="28"/>
  <c r="CH63" i="28"/>
  <c r="CL71" i="28"/>
  <c r="CL63" i="28"/>
  <c r="CE60" i="28"/>
  <c r="BZ67" i="28"/>
  <c r="CD75" i="28"/>
  <c r="CD67" i="28"/>
  <c r="CH60" i="28"/>
  <c r="BZ66" i="28"/>
  <c r="BZ201" i="28"/>
  <c r="BZ65" i="28"/>
  <c r="BW200" i="28"/>
  <c r="BW72" i="28"/>
  <c r="BW64" i="28"/>
  <c r="CA201" i="28"/>
  <c r="CA73" i="28"/>
  <c r="CA65" i="28"/>
  <c r="CA61" i="28"/>
  <c r="BS63" i="28"/>
  <c r="BZ62" i="28"/>
  <c r="CA62" i="28"/>
  <c r="CD62" i="28"/>
  <c r="CH62" i="28"/>
  <c r="BZ61" i="28"/>
  <c r="CD61" i="28"/>
  <c r="CI62" i="28"/>
  <c r="CL62" i="28"/>
  <c r="BS62" i="28"/>
  <c r="CE61" i="28"/>
  <c r="CI61" i="28"/>
  <c r="CK59" i="28" l="1"/>
  <c r="CL59" i="28" s="1"/>
  <c r="CI59" i="28"/>
  <c r="CG59" i="28"/>
  <c r="CH59" i="28" s="1"/>
  <c r="CE59" i="28"/>
  <c r="CC59" i="28"/>
  <c r="CD59" i="28" s="1"/>
  <c r="CA59" i="28"/>
  <c r="BY59" i="28"/>
  <c r="BZ59" i="28" s="1"/>
  <c r="BW59" i="28"/>
  <c r="BU59" i="28"/>
  <c r="BV59" i="28" s="1"/>
  <c r="BS59" i="28"/>
  <c r="AY59" i="28"/>
  <c r="Y59" i="28"/>
  <c r="X59" i="28"/>
  <c r="CK58" i="28"/>
  <c r="CG58" i="28"/>
  <c r="CC58" i="28"/>
  <c r="BY58" i="28"/>
  <c r="BU58" i="28"/>
  <c r="BV58" i="28" s="1"/>
  <c r="CI58" i="28"/>
  <c r="AJ58" i="28"/>
  <c r="AY58" i="28" s="1"/>
  <c r="Y58" i="28"/>
  <c r="X58" i="28"/>
  <c r="CK57" i="28"/>
  <c r="CG57" i="28"/>
  <c r="CC57" i="28"/>
  <c r="BY57" i="28"/>
  <c r="BU57" i="28"/>
  <c r="BV57" i="28" s="1"/>
  <c r="CA57" i="28"/>
  <c r="AJ57" i="28"/>
  <c r="AY57" i="28" s="1"/>
  <c r="Y57" i="28"/>
  <c r="X57" i="28"/>
  <c r="CH57" i="28" l="1"/>
  <c r="BZ57" i="28"/>
  <c r="CL57" i="28"/>
  <c r="CD57" i="28"/>
  <c r="BZ58" i="28"/>
  <c r="CA58" i="28"/>
  <c r="CD58" i="28"/>
  <c r="CL58" i="28"/>
  <c r="CH58" i="28"/>
  <c r="BS58" i="28"/>
  <c r="CE58" i="28"/>
  <c r="BW58" i="28"/>
  <c r="BS57" i="28"/>
  <c r="CE57" i="28"/>
  <c r="CI57" i="28"/>
  <c r="BW57" i="28"/>
  <c r="AJ201" i="28" l="1"/>
  <c r="AY201" i="28" s="1"/>
  <c r="Y201" i="28"/>
  <c r="X201" i="28"/>
  <c r="BY199" i="28"/>
  <c r="BZ199" i="28" s="1"/>
  <c r="BS199" i="28"/>
  <c r="BY198" i="28"/>
  <c r="BZ198" i="28" s="1"/>
  <c r="BY197" i="28"/>
  <c r="BZ197" i="28" s="1"/>
  <c r="BS198" i="28" l="1"/>
  <c r="BS197" i="28"/>
  <c r="AJ64" i="28" l="1"/>
  <c r="CK42" i="28"/>
  <c r="CK43" i="28"/>
  <c r="CK44" i="28"/>
  <c r="CK45" i="28"/>
  <c r="CL45" i="28" s="1"/>
  <c r="CK46" i="28"/>
  <c r="CL46" i="28" s="1"/>
  <c r="CK47" i="28"/>
  <c r="CL47" i="28" s="1"/>
  <c r="CK48" i="28"/>
  <c r="CL48" i="28" s="1"/>
  <c r="CK49" i="28"/>
  <c r="CL49" i="28" s="1"/>
  <c r="CK50" i="28"/>
  <c r="CL50" i="28" s="1"/>
  <c r="CK51" i="28"/>
  <c r="CL51" i="28" s="1"/>
  <c r="CK52" i="28"/>
  <c r="CL52" i="28" s="1"/>
  <c r="CK53" i="28"/>
  <c r="CL53" i="28" s="1"/>
  <c r="CK54" i="28"/>
  <c r="CL54" i="28" s="1"/>
  <c r="CK55" i="28"/>
  <c r="CL55" i="28" s="1"/>
  <c r="CK56" i="28"/>
  <c r="CL56" i="28" s="1"/>
  <c r="CK41" i="28"/>
  <c r="CL41" i="28" s="1"/>
  <c r="CI42" i="28"/>
  <c r="CI43" i="28"/>
  <c r="CI44" i="28"/>
  <c r="CI45" i="28"/>
  <c r="CI46" i="28"/>
  <c r="CI47" i="28"/>
  <c r="CI48" i="28"/>
  <c r="CI49" i="28"/>
  <c r="CI50" i="28"/>
  <c r="CI51" i="28"/>
  <c r="CI52" i="28"/>
  <c r="CI53" i="28"/>
  <c r="CI54" i="28"/>
  <c r="CI55" i="28"/>
  <c r="CI56" i="28"/>
  <c r="CI41" i="28"/>
  <c r="CG42" i="28"/>
  <c r="CH42" i="28" s="1"/>
  <c r="CG43" i="28"/>
  <c r="CH43" i="28" s="1"/>
  <c r="CG44" i="28"/>
  <c r="CH44" i="28" s="1"/>
  <c r="CG45" i="28"/>
  <c r="CH45" i="28" s="1"/>
  <c r="CG46" i="28"/>
  <c r="CH46" i="28" s="1"/>
  <c r="CG47" i="28"/>
  <c r="CH47" i="28" s="1"/>
  <c r="CG48" i="28"/>
  <c r="CH48" i="28" s="1"/>
  <c r="CG49" i="28"/>
  <c r="CH49" i="28" s="1"/>
  <c r="CG50" i="28"/>
  <c r="CH50" i="28" s="1"/>
  <c r="CG51" i="28"/>
  <c r="CH51" i="28" s="1"/>
  <c r="CG52" i="28"/>
  <c r="CH52" i="28" s="1"/>
  <c r="CG53" i="28"/>
  <c r="CH53" i="28" s="1"/>
  <c r="CG54" i="28"/>
  <c r="CH54" i="28" s="1"/>
  <c r="CG55" i="28"/>
  <c r="CH55" i="28" s="1"/>
  <c r="CG56" i="28"/>
  <c r="CH56" i="28" s="1"/>
  <c r="CG41" i="28"/>
  <c r="CH41" i="28" s="1"/>
  <c r="CE41" i="28"/>
  <c r="CE42" i="28"/>
  <c r="CE43" i="28"/>
  <c r="CE44" i="28"/>
  <c r="CE45" i="28"/>
  <c r="CE46" i="28"/>
  <c r="CE47" i="28"/>
  <c r="CE48" i="28"/>
  <c r="CE49" i="28"/>
  <c r="CE50" i="28"/>
  <c r="CE51" i="28"/>
  <c r="CE52" i="28"/>
  <c r="CE53" i="28"/>
  <c r="CE54" i="28"/>
  <c r="CE55" i="28"/>
  <c r="CE56" i="28"/>
  <c r="CA42" i="28"/>
  <c r="CA43" i="28"/>
  <c r="CA44" i="28"/>
  <c r="CA45" i="28"/>
  <c r="CA46" i="28"/>
  <c r="CA47" i="28"/>
  <c r="CA48" i="28"/>
  <c r="CA49" i="28"/>
  <c r="CA50" i="28"/>
  <c r="CA51" i="28"/>
  <c r="CA52" i="28"/>
  <c r="CA53" i="28"/>
  <c r="CA54" i="28"/>
  <c r="CA55" i="28"/>
  <c r="CA56" i="28"/>
  <c r="CA41" i="28"/>
  <c r="CL42" i="28"/>
  <c r="CL43" i="28"/>
  <c r="CL44" i="28"/>
  <c r="CC42" i="28"/>
  <c r="CD42" i="28" s="1"/>
  <c r="CC43" i="28"/>
  <c r="CD43" i="28" s="1"/>
  <c r="CC44" i="28"/>
  <c r="CD44" i="28" s="1"/>
  <c r="CC45" i="28"/>
  <c r="CD45" i="28" s="1"/>
  <c r="CC46" i="28"/>
  <c r="CD46" i="28" s="1"/>
  <c r="CC47" i="28"/>
  <c r="CD47" i="28" s="1"/>
  <c r="CC48" i="28"/>
  <c r="CD48" i="28" s="1"/>
  <c r="CC49" i="28"/>
  <c r="CD49" i="28" s="1"/>
  <c r="CC50" i="28"/>
  <c r="CD50" i="28" s="1"/>
  <c r="CC51" i="28"/>
  <c r="CD51" i="28" s="1"/>
  <c r="CC52" i="28"/>
  <c r="CD52" i="28" s="1"/>
  <c r="CC53" i="28"/>
  <c r="CD53" i="28" s="1"/>
  <c r="CC54" i="28"/>
  <c r="CD54" i="28" s="1"/>
  <c r="CC55" i="28"/>
  <c r="CD55" i="28" s="1"/>
  <c r="CC56" i="28"/>
  <c r="CD56" i="28" s="1"/>
  <c r="CC41" i="28"/>
  <c r="CD41" i="28" s="1"/>
  <c r="BY42" i="28"/>
  <c r="BZ42" i="28" s="1"/>
  <c r="BY43" i="28"/>
  <c r="BZ43" i="28" s="1"/>
  <c r="BY44" i="28"/>
  <c r="BZ44" i="28" s="1"/>
  <c r="BY45" i="28"/>
  <c r="BZ45" i="28" s="1"/>
  <c r="BY46" i="28"/>
  <c r="BZ46" i="28" s="1"/>
  <c r="BY47" i="28"/>
  <c r="BZ47" i="28" s="1"/>
  <c r="BY48" i="28"/>
  <c r="BZ48" i="28" s="1"/>
  <c r="BY49" i="28"/>
  <c r="BZ49" i="28" s="1"/>
  <c r="BY50" i="28"/>
  <c r="BZ50" i="28" s="1"/>
  <c r="BY51" i="28"/>
  <c r="BZ51" i="28" s="1"/>
  <c r="BY52" i="28"/>
  <c r="BZ52" i="28" s="1"/>
  <c r="BY53" i="28"/>
  <c r="BZ53" i="28" s="1"/>
  <c r="BY54" i="28"/>
  <c r="BZ54" i="28" s="1"/>
  <c r="BY55" i="28"/>
  <c r="BZ55" i="28" s="1"/>
  <c r="BY56" i="28"/>
  <c r="BZ56" i="28" s="1"/>
  <c r="BY41" i="28"/>
  <c r="BZ41" i="28" s="1"/>
  <c r="BW42" i="28"/>
  <c r="BW43" i="28"/>
  <c r="BW44" i="28"/>
  <c r="BW45" i="28"/>
  <c r="BW46" i="28"/>
  <c r="BW47" i="28"/>
  <c r="BW48" i="28"/>
  <c r="BW49" i="28"/>
  <c r="BW50" i="28"/>
  <c r="BW51" i="28"/>
  <c r="BW52" i="28"/>
  <c r="BW53" i="28"/>
  <c r="BW54" i="28"/>
  <c r="BW55" i="28"/>
  <c r="BW56" i="28"/>
  <c r="BW41" i="28"/>
  <c r="BU42" i="28"/>
  <c r="BV42" i="28" s="1"/>
  <c r="BU43" i="28"/>
  <c r="BV43" i="28" s="1"/>
  <c r="BU44" i="28"/>
  <c r="BV44" i="28" s="1"/>
  <c r="BU45" i="28"/>
  <c r="BV45" i="28" s="1"/>
  <c r="BU46" i="28"/>
  <c r="BV46" i="28" s="1"/>
  <c r="BU47" i="28"/>
  <c r="BV47" i="28" s="1"/>
  <c r="BU48" i="28"/>
  <c r="BV48" i="28" s="1"/>
  <c r="BU49" i="28"/>
  <c r="BV49" i="28" s="1"/>
  <c r="BU50" i="28"/>
  <c r="BV50" i="28" s="1"/>
  <c r="BU51" i="28"/>
  <c r="BV51" i="28" s="1"/>
  <c r="BU52" i="28"/>
  <c r="BV52" i="28" s="1"/>
  <c r="BU53" i="28"/>
  <c r="BV53" i="28" s="1"/>
  <c r="BU54" i="28"/>
  <c r="BV54" i="28" s="1"/>
  <c r="BU55" i="28"/>
  <c r="BV55" i="28" s="1"/>
  <c r="BU56" i="28"/>
  <c r="BV56" i="28" s="1"/>
  <c r="BU41" i="28"/>
  <c r="BV41" i="28" s="1"/>
  <c r="BS42" i="28" l="1"/>
  <c r="BS43" i="28"/>
  <c r="BS44" i="28"/>
  <c r="BS45" i="28"/>
  <c r="BS46" i="28"/>
  <c r="BS47" i="28"/>
  <c r="BS48" i="28"/>
  <c r="BS49" i="28"/>
  <c r="BS50" i="28"/>
  <c r="BS51" i="28"/>
  <c r="BS52" i="28"/>
  <c r="BS53" i="28"/>
  <c r="BS54" i="28"/>
  <c r="BS55" i="28"/>
  <c r="BS56" i="28"/>
  <c r="BS41" i="28"/>
  <c r="AJ200" i="28" l="1"/>
  <c r="AY200" i="28" s="1"/>
  <c r="Y200" i="28"/>
  <c r="X200" i="28"/>
  <c r="AJ199" i="28"/>
  <c r="AY199" i="28" s="1"/>
  <c r="Y199" i="28"/>
  <c r="X199" i="28"/>
  <c r="AJ198" i="28"/>
  <c r="AY198" i="28" s="1"/>
  <c r="Y198" i="28"/>
  <c r="X198" i="28"/>
  <c r="AJ197" i="28"/>
  <c r="AY197" i="28" s="1"/>
  <c r="Y197" i="28"/>
  <c r="X197" i="28"/>
  <c r="BY75" i="28"/>
  <c r="BZ75" i="28" s="1"/>
  <c r="AJ75" i="28"/>
  <c r="AY75" i="28" s="1"/>
  <c r="Y75" i="28"/>
  <c r="X75" i="28"/>
  <c r="BY74" i="28"/>
  <c r="BZ74" i="28" s="1"/>
  <c r="AJ74" i="28"/>
  <c r="AY74" i="28" s="1"/>
  <c r="Y74" i="28"/>
  <c r="X74" i="28"/>
  <c r="BY73" i="28"/>
  <c r="BZ73" i="28" s="1"/>
  <c r="AJ73" i="28"/>
  <c r="AY73" i="28" s="1"/>
  <c r="Y73" i="28"/>
  <c r="X73" i="28"/>
  <c r="BY72" i="28"/>
  <c r="BZ72" i="28" s="1"/>
  <c r="AJ72" i="28"/>
  <c r="AY72" i="28" s="1"/>
  <c r="Y72" i="28"/>
  <c r="X72" i="28"/>
  <c r="BY71" i="28"/>
  <c r="BZ71" i="28" s="1"/>
  <c r="AJ71" i="28"/>
  <c r="AY71" i="28" s="1"/>
  <c r="Y71" i="28"/>
  <c r="X71" i="28"/>
  <c r="AJ70" i="28"/>
  <c r="AY70" i="28" s="1"/>
  <c r="AJ69" i="28"/>
  <c r="AY69" i="28" s="1"/>
  <c r="AJ68" i="28"/>
  <c r="AY68" i="28" s="1"/>
  <c r="AJ67" i="28"/>
  <c r="AY67" i="28" s="1"/>
  <c r="AJ66" i="28"/>
  <c r="AJ65" i="28"/>
  <c r="AJ63" i="28"/>
  <c r="AJ56" i="28"/>
  <c r="AY56" i="28" s="1"/>
  <c r="AJ55" i="28"/>
  <c r="AY55" i="28" s="1"/>
  <c r="AJ54" i="28"/>
  <c r="AY54" i="28" s="1"/>
  <c r="AJ53" i="28"/>
  <c r="AY53" i="28" s="1"/>
  <c r="AJ52" i="28"/>
  <c r="AY52" i="28" s="1"/>
  <c r="AJ51" i="28"/>
  <c r="AY51" i="28" s="1"/>
  <c r="AJ50" i="28"/>
  <c r="AY50" i="28" s="1"/>
  <c r="AJ49" i="28"/>
  <c r="AY49" i="28" s="1"/>
  <c r="AJ48" i="28"/>
  <c r="AY48" i="28" s="1"/>
  <c r="AJ47" i="28"/>
  <c r="AY47" i="28" s="1"/>
  <c r="AJ46" i="28"/>
  <c r="AY46" i="28" s="1"/>
  <c r="AJ45" i="28"/>
  <c r="AY45" i="28" s="1"/>
  <c r="AJ44" i="28"/>
  <c r="AY44" i="28" s="1"/>
  <c r="AJ43" i="28"/>
  <c r="AY43" i="28" s="1"/>
  <c r="AJ42" i="28"/>
  <c r="AY42" i="28" s="1"/>
  <c r="AJ41" i="28"/>
  <c r="AY41" i="28" s="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Fernando Landa</author>
    <author>irenea.lizarraga</author>
    <author>Autor</author>
    <author>mijail.urbina2</author>
    <author>Amilcar Venegas Montoya</author>
    <author>estadistico</author>
    <author>Principal</author>
    <author>Karem Ximena Becerra Flores</author>
    <author>acer</author>
    <author>usuario</author>
    <author>udape2</author>
    <author>UD</author>
    <author>Fabiola Ramirez Salas</author>
    <author>Angelica Agustina AR. Renjifo Careaga</author>
    <author>Gioconda Jaimes</author>
    <author>Carmen Maria Ugarteche Soriano</author>
    <author>Usuario</author>
    <author>Jessica Shirley Carrasco Ayala</author>
    <author>JL Lahore</author>
    <author>udape11</author>
    <author>aesquivel</author>
    <author>Erick Meave</author>
  </authors>
  <commentList>
    <comment ref="AA6" authorId="0" shapeId="0" xr:uid="{00000000-0006-0000-0400-000001000000}">
      <text>
        <r>
          <rPr>
            <b/>
            <sz val="9"/>
            <color indexed="81"/>
            <rFont val="Tahoma"/>
            <family val="2"/>
          </rPr>
          <t>Fernando Landa:</t>
        </r>
        <r>
          <rPr>
            <sz val="9"/>
            <color indexed="81"/>
            <rFont val="Tahoma"/>
            <family val="2"/>
          </rPr>
          <t xml:space="preserve">
No se puede modificar la celda. Corresponde a Etapa 2, porque se calcula cada 10 años</t>
        </r>
      </text>
    </comment>
    <comment ref="L8" authorId="1" shapeId="0" xr:uid="{00000000-0006-0000-0400-000002000000}">
      <text>
        <r>
          <rPr>
            <b/>
            <sz val="9"/>
            <color indexed="81"/>
            <rFont val="Tahoma"/>
            <family val="2"/>
          </rPr>
          <t>irenea.lizarraga:</t>
        </r>
        <r>
          <rPr>
            <sz val="9"/>
            <color indexed="81"/>
            <rFont val="Tahoma"/>
            <family val="2"/>
          </rPr>
          <t xml:space="preserve">
ESTABLECER META 2020</t>
        </r>
      </text>
    </comment>
    <comment ref="L15" authorId="1" shapeId="0" xr:uid="{00000000-0006-0000-0400-000003000000}">
      <text>
        <r>
          <rPr>
            <b/>
            <sz val="9"/>
            <color indexed="81"/>
            <rFont val="Tahoma"/>
            <family val="2"/>
          </rPr>
          <t>irenea.lizarraga:</t>
        </r>
        <r>
          <rPr>
            <sz val="9"/>
            <color indexed="81"/>
            <rFont val="Tahoma"/>
            <family val="2"/>
          </rPr>
          <t xml:space="preserve">
establecer META 2020 Y 2030</t>
        </r>
      </text>
    </comment>
    <comment ref="BO15" authorId="1" shapeId="0" xr:uid="{00000000-0006-0000-0400-000004000000}">
      <text>
        <r>
          <rPr>
            <b/>
            <sz val="9"/>
            <color indexed="81"/>
            <rFont val="Tahoma"/>
            <family val="2"/>
          </rPr>
          <t>irenea.lizarraga:</t>
        </r>
        <r>
          <rPr>
            <sz val="9"/>
            <color indexed="81"/>
            <rFont val="Tahoma"/>
            <family val="2"/>
          </rPr>
          <t xml:space="preserve">
el area esta analizando la disminucion de la meta, el dato oficial se enviara en el informe</t>
        </r>
      </text>
    </comment>
    <comment ref="AP16" authorId="2" shapeId="0" xr:uid="{00000000-0006-0000-0400-000005000000}">
      <text>
        <r>
          <rPr>
            <b/>
            <sz val="9"/>
            <color indexed="81"/>
            <rFont val="Tahoma"/>
            <family val="2"/>
          </rPr>
          <t>Autor:</t>
        </r>
        <r>
          <rPr>
            <sz val="9"/>
            <color indexed="81"/>
            <rFont val="Tahoma"/>
            <family val="2"/>
          </rPr>
          <t xml:space="preserve">
se cambio por cada 100 mil habitantes estaba por cada mil habitantes </t>
        </r>
      </text>
    </comment>
    <comment ref="BN16" authorId="2" shapeId="0" xr:uid="{00000000-0006-0000-0400-000006000000}">
      <text>
        <r>
          <rPr>
            <b/>
            <sz val="9"/>
            <color indexed="81"/>
            <rFont val="Tahoma"/>
            <family val="2"/>
          </rPr>
          <t>Autor:</t>
        </r>
        <r>
          <rPr>
            <sz val="9"/>
            <color indexed="81"/>
            <rFont val="Tahoma"/>
            <family val="2"/>
          </rPr>
          <t xml:space="preserve">
la tasa de denuncias de trata de personas  por cada 100 mil habitantes del 2015 </t>
        </r>
      </text>
    </comment>
    <comment ref="AK17" authorId="2" shapeId="0" xr:uid="{00000000-0006-0000-0400-000007000000}">
      <text>
        <r>
          <rPr>
            <b/>
            <sz val="9"/>
            <color indexed="81"/>
            <rFont val="Tahoma"/>
            <family val="2"/>
          </rPr>
          <t>Autor:</t>
        </r>
        <r>
          <rPr>
            <sz val="9"/>
            <color indexed="81"/>
            <rFont val="Tahoma"/>
            <family val="2"/>
          </rPr>
          <t xml:space="preserve">
por la descripcion del pdes y ademas en el anterior indicador se tiene trata de personas en este se suman los delitos de trafico de personas y los tres delitos conexos mas</t>
        </r>
      </text>
    </comment>
    <comment ref="AP17" authorId="2" shapeId="0" xr:uid="{00000000-0006-0000-0400-000008000000}">
      <text>
        <r>
          <rPr>
            <b/>
            <sz val="9"/>
            <color indexed="81"/>
            <rFont val="Tahoma"/>
            <family val="2"/>
          </rPr>
          <t>Autor:</t>
        </r>
        <r>
          <rPr>
            <sz val="9"/>
            <color indexed="81"/>
            <rFont val="Tahoma"/>
            <family val="2"/>
          </rPr>
          <t xml:space="preserve">
es para trafico de personas y delitos conexos</t>
        </r>
      </text>
    </comment>
    <comment ref="AV17" authorId="2" shapeId="0" xr:uid="{00000000-0006-0000-0400-000009000000}">
      <text>
        <r>
          <rPr>
            <b/>
            <sz val="9"/>
            <color indexed="81"/>
            <rFont val="Tahoma"/>
            <family val="2"/>
          </rPr>
          <t>Autor:</t>
        </r>
        <r>
          <rPr>
            <sz val="9"/>
            <color indexed="81"/>
            <rFont val="Tahoma"/>
            <family val="2"/>
          </rPr>
          <t xml:space="preserve">
estaba como dato 2018 se cambio a 2017</t>
        </r>
      </text>
    </comment>
    <comment ref="BA18" authorId="3" shapeId="0" xr:uid="{00000000-0006-0000-0400-00000A000000}">
      <text>
        <r>
          <rPr>
            <b/>
            <sz val="9"/>
            <color indexed="81"/>
            <rFont val="Tahoma"/>
            <family val="2"/>
          </rPr>
          <t>mijail.urbina2:</t>
        </r>
        <r>
          <rPr>
            <sz val="9"/>
            <color indexed="81"/>
            <rFont val="Tahoma"/>
            <family val="2"/>
          </rPr>
          <t xml:space="preserve">
Nombre del Sistema del Ministerio Público</t>
        </r>
      </text>
    </comment>
    <comment ref="BN18" authorId="1" shapeId="0" xr:uid="{00000000-0006-0000-0400-00000B000000}">
      <text>
        <r>
          <rPr>
            <b/>
            <sz val="9"/>
            <color indexed="81"/>
            <rFont val="Tahoma"/>
            <family val="2"/>
          </rPr>
          <t>irenea.lizarraga:</t>
        </r>
        <r>
          <rPr>
            <sz val="9"/>
            <color indexed="81"/>
            <rFont val="Tahoma"/>
            <family val="2"/>
          </rPr>
          <t xml:space="preserve">
son datos preliminares, ene l informe se enviara con daros reales</t>
        </r>
      </text>
    </comment>
    <comment ref="BX21" authorId="4" shapeId="0" xr:uid="{00000000-0006-0000-0400-00000C000000}">
      <text>
        <r>
          <rPr>
            <b/>
            <sz val="9"/>
            <color indexed="81"/>
            <rFont val="Tahoma"/>
            <family val="2"/>
          </rPr>
          <t>Amilcar Venegas Montoya:</t>
        </r>
        <r>
          <rPr>
            <sz val="9"/>
            <color indexed="81"/>
            <rFont val="Tahoma"/>
            <family val="2"/>
          </rPr>
          <t xml:space="preserve">
Dato Preliminar</t>
        </r>
      </text>
    </comment>
    <comment ref="AA33" authorId="5" shapeId="0" xr:uid="{00000000-0006-0000-0400-00000D000000}">
      <text>
        <r>
          <rPr>
            <sz val="9"/>
            <color indexed="81"/>
            <rFont val="Tahoma"/>
            <family val="2"/>
          </rPr>
          <t>si no se cuenta con información de una de las categorías, ¿sigue siendo etapa 1?</t>
        </r>
      </text>
    </comment>
    <comment ref="BN36" authorId="6" shapeId="0" xr:uid="{00000000-0006-0000-0400-00000E000000}">
      <text>
        <r>
          <rPr>
            <b/>
            <sz val="9"/>
            <color indexed="81"/>
            <rFont val="Tahoma"/>
            <family val="2"/>
          </rPr>
          <t>Principal:</t>
        </r>
        <r>
          <rPr>
            <sz val="9"/>
            <color indexed="81"/>
            <rFont val="Tahoma"/>
            <family val="2"/>
          </rPr>
          <t xml:space="preserve">
(localidades rurales + localidades urbanas) / total de localidades meta</t>
        </r>
      </text>
    </comment>
    <comment ref="BP38" authorId="7" shapeId="0" xr:uid="{00000000-0006-0000-0400-00000F000000}">
      <text>
        <r>
          <rPr>
            <b/>
            <sz val="9"/>
            <color indexed="81"/>
            <rFont val="Tahoma"/>
            <family val="2"/>
          </rPr>
          <t>Karem Ximena Becerra Flores:</t>
        </r>
        <r>
          <rPr>
            <sz val="9"/>
            <color indexed="81"/>
            <rFont val="Tahoma"/>
            <family val="2"/>
          </rPr>
          <t xml:space="preserve">
AL 2025 METAS ALCANZADAS</t>
        </r>
      </text>
    </comment>
    <comment ref="BP39" authorId="7" shapeId="0" xr:uid="{00000000-0006-0000-0400-000010000000}">
      <text>
        <r>
          <rPr>
            <b/>
            <sz val="9"/>
            <color indexed="81"/>
            <rFont val="Tahoma"/>
            <family val="2"/>
          </rPr>
          <t>Karem Ximena Becerra Flores:</t>
        </r>
        <r>
          <rPr>
            <sz val="9"/>
            <color indexed="81"/>
            <rFont val="Tahoma"/>
            <family val="2"/>
          </rPr>
          <t xml:space="preserve">
AL 2025 METAS ALCANZADAS</t>
        </r>
      </text>
    </comment>
    <comment ref="BP40" authorId="7" shapeId="0" xr:uid="{00000000-0006-0000-0400-000011000000}">
      <text>
        <r>
          <rPr>
            <b/>
            <sz val="9"/>
            <color indexed="81"/>
            <rFont val="Tahoma"/>
            <family val="2"/>
          </rPr>
          <t>Karem Ximena Becerra Flores:</t>
        </r>
        <r>
          <rPr>
            <sz val="9"/>
            <color indexed="81"/>
            <rFont val="Tahoma"/>
            <family val="2"/>
          </rPr>
          <t xml:space="preserve">
AL 2025 METAS ALCANZADAS</t>
        </r>
      </text>
    </comment>
    <comment ref="BP79" authorId="8" shapeId="0" xr:uid="{00000000-0006-0000-0400-000012000000}">
      <text>
        <r>
          <rPr>
            <b/>
            <sz val="9"/>
            <color indexed="81"/>
            <rFont val="Tahoma"/>
            <family val="2"/>
          </rPr>
          <t>acer:</t>
        </r>
        <r>
          <rPr>
            <sz val="9"/>
            <color indexed="81"/>
            <rFont val="Tahoma"/>
            <family val="2"/>
          </rPr>
          <t xml:space="preserve">
El horizonte sectorial alcanza el 2020 (a consulta)</t>
        </r>
      </text>
    </comment>
    <comment ref="AG86" authorId="9" shapeId="0" xr:uid="{00000000-0006-0000-0400-000013000000}">
      <text>
        <r>
          <rPr>
            <b/>
            <sz val="9"/>
            <color indexed="81"/>
            <rFont val="Tahoma"/>
            <family val="2"/>
          </rPr>
          <t>usuario:</t>
        </r>
        <r>
          <rPr>
            <sz val="9"/>
            <color indexed="81"/>
            <rFont val="Tahoma"/>
            <family val="2"/>
          </rPr>
          <t xml:space="preserve">
Parcial</t>
        </r>
      </text>
    </comment>
    <comment ref="BW86" authorId="10" shapeId="0" xr:uid="{00000000-0006-0000-0400-000014000000}">
      <text>
        <r>
          <rPr>
            <b/>
            <sz val="9"/>
            <color indexed="81"/>
            <rFont val="Tahoma"/>
            <family val="2"/>
          </rPr>
          <t>udape2:</t>
        </r>
        <r>
          <rPr>
            <sz val="9"/>
            <color indexed="81"/>
            <rFont val="Tahoma"/>
            <family val="2"/>
          </rPr>
          <t xml:space="preserve">
Meta cumplida</t>
        </r>
      </text>
    </comment>
    <comment ref="CA86" authorId="10" shapeId="0" xr:uid="{00000000-0006-0000-0400-000015000000}">
      <text>
        <r>
          <rPr>
            <b/>
            <sz val="9"/>
            <color indexed="81"/>
            <rFont val="Tahoma"/>
            <family val="2"/>
          </rPr>
          <t>udape2:</t>
        </r>
        <r>
          <rPr>
            <sz val="9"/>
            <color indexed="81"/>
            <rFont val="Tahoma"/>
            <family val="2"/>
          </rPr>
          <t xml:space="preserve">
Meta cumplida</t>
        </r>
      </text>
    </comment>
    <comment ref="CE86" authorId="10" shapeId="0" xr:uid="{00000000-0006-0000-0400-000016000000}">
      <text>
        <r>
          <rPr>
            <b/>
            <sz val="9"/>
            <color indexed="81"/>
            <rFont val="Tahoma"/>
            <family val="2"/>
          </rPr>
          <t>udape2:</t>
        </r>
        <r>
          <rPr>
            <sz val="9"/>
            <color indexed="81"/>
            <rFont val="Tahoma"/>
            <family val="2"/>
          </rPr>
          <t xml:space="preserve">
Meta cumplida</t>
        </r>
      </text>
    </comment>
    <comment ref="CI86" authorId="10" shapeId="0" xr:uid="{00000000-0006-0000-0400-000017000000}">
      <text>
        <r>
          <rPr>
            <b/>
            <sz val="9"/>
            <color indexed="81"/>
            <rFont val="Tahoma"/>
            <family val="2"/>
          </rPr>
          <t>udape2:</t>
        </r>
        <r>
          <rPr>
            <sz val="9"/>
            <color indexed="81"/>
            <rFont val="Tahoma"/>
            <family val="2"/>
          </rPr>
          <t xml:space="preserve">
Meta cumplida</t>
        </r>
      </text>
    </comment>
    <comment ref="BW87" authorId="10" shapeId="0" xr:uid="{00000000-0006-0000-0400-000018000000}">
      <text>
        <r>
          <rPr>
            <b/>
            <sz val="9"/>
            <color indexed="81"/>
            <rFont val="Tahoma"/>
            <family val="2"/>
          </rPr>
          <t>udape2:</t>
        </r>
        <r>
          <rPr>
            <sz val="9"/>
            <color indexed="81"/>
            <rFont val="Tahoma"/>
            <family val="2"/>
          </rPr>
          <t xml:space="preserve">
Meta cumplida</t>
        </r>
      </text>
    </comment>
    <comment ref="CA87" authorId="10" shapeId="0" xr:uid="{00000000-0006-0000-0400-000019000000}">
      <text>
        <r>
          <rPr>
            <b/>
            <sz val="9"/>
            <color indexed="81"/>
            <rFont val="Tahoma"/>
            <family val="2"/>
          </rPr>
          <t>udape2:</t>
        </r>
        <r>
          <rPr>
            <sz val="9"/>
            <color indexed="81"/>
            <rFont val="Tahoma"/>
            <family val="2"/>
          </rPr>
          <t xml:space="preserve">
Meta cumplida</t>
        </r>
      </text>
    </comment>
    <comment ref="CE87" authorId="10" shapeId="0" xr:uid="{00000000-0006-0000-0400-00001A000000}">
      <text>
        <r>
          <rPr>
            <b/>
            <sz val="9"/>
            <color indexed="81"/>
            <rFont val="Tahoma"/>
            <family val="2"/>
          </rPr>
          <t>udape2:</t>
        </r>
        <r>
          <rPr>
            <sz val="9"/>
            <color indexed="81"/>
            <rFont val="Tahoma"/>
            <family val="2"/>
          </rPr>
          <t xml:space="preserve">
Meta cumplida</t>
        </r>
      </text>
    </comment>
    <comment ref="CI87" authorId="10" shapeId="0" xr:uid="{00000000-0006-0000-0400-00001B000000}">
      <text>
        <r>
          <rPr>
            <b/>
            <sz val="9"/>
            <color indexed="81"/>
            <rFont val="Tahoma"/>
            <family val="2"/>
          </rPr>
          <t>udape2:</t>
        </r>
        <r>
          <rPr>
            <sz val="9"/>
            <color indexed="81"/>
            <rFont val="Tahoma"/>
            <family val="2"/>
          </rPr>
          <t xml:space="preserve">
Meta cumplida</t>
        </r>
      </text>
    </comment>
    <comment ref="BW88" authorId="10" shapeId="0" xr:uid="{00000000-0006-0000-0400-00001C000000}">
      <text>
        <r>
          <rPr>
            <b/>
            <sz val="9"/>
            <color indexed="81"/>
            <rFont val="Tahoma"/>
            <family val="2"/>
          </rPr>
          <t>udape2:</t>
        </r>
        <r>
          <rPr>
            <sz val="9"/>
            <color indexed="81"/>
            <rFont val="Tahoma"/>
            <family val="2"/>
          </rPr>
          <t xml:space="preserve">
Meta cumplida</t>
        </r>
      </text>
    </comment>
    <comment ref="CA88" authorId="10" shapeId="0" xr:uid="{00000000-0006-0000-0400-00001D000000}">
      <text>
        <r>
          <rPr>
            <b/>
            <sz val="9"/>
            <color indexed="81"/>
            <rFont val="Tahoma"/>
            <family val="2"/>
          </rPr>
          <t>udape2:</t>
        </r>
        <r>
          <rPr>
            <sz val="9"/>
            <color indexed="81"/>
            <rFont val="Tahoma"/>
            <family val="2"/>
          </rPr>
          <t xml:space="preserve">
Meta cumplida</t>
        </r>
      </text>
    </comment>
    <comment ref="CE88" authorId="10" shapeId="0" xr:uid="{00000000-0006-0000-0400-00001E000000}">
      <text>
        <r>
          <rPr>
            <b/>
            <sz val="9"/>
            <color indexed="81"/>
            <rFont val="Tahoma"/>
            <family val="2"/>
          </rPr>
          <t>udape2:</t>
        </r>
        <r>
          <rPr>
            <sz val="9"/>
            <color indexed="81"/>
            <rFont val="Tahoma"/>
            <family val="2"/>
          </rPr>
          <t xml:space="preserve">
Meta cumplida</t>
        </r>
      </text>
    </comment>
    <comment ref="CI88" authorId="10" shapeId="0" xr:uid="{00000000-0006-0000-0400-00001F000000}">
      <text>
        <r>
          <rPr>
            <b/>
            <sz val="9"/>
            <color indexed="81"/>
            <rFont val="Tahoma"/>
            <family val="2"/>
          </rPr>
          <t>udape2:</t>
        </r>
        <r>
          <rPr>
            <sz val="9"/>
            <color indexed="81"/>
            <rFont val="Tahoma"/>
            <family val="2"/>
          </rPr>
          <t xml:space="preserve">
Meta cumplida</t>
        </r>
      </text>
    </comment>
    <comment ref="BW93" authorId="10" shapeId="0" xr:uid="{00000000-0006-0000-0400-000020000000}">
      <text>
        <r>
          <rPr>
            <b/>
            <sz val="9"/>
            <color indexed="81"/>
            <rFont val="Tahoma"/>
            <family val="2"/>
          </rPr>
          <t>udape2:</t>
        </r>
        <r>
          <rPr>
            <sz val="9"/>
            <color indexed="81"/>
            <rFont val="Tahoma"/>
            <family val="2"/>
          </rPr>
          <t xml:space="preserve">
Meta cumplida</t>
        </r>
      </text>
    </comment>
    <comment ref="CA93" authorId="10" shapeId="0" xr:uid="{00000000-0006-0000-0400-000021000000}">
      <text>
        <r>
          <rPr>
            <b/>
            <sz val="9"/>
            <color indexed="81"/>
            <rFont val="Tahoma"/>
            <family val="2"/>
          </rPr>
          <t>udape2:</t>
        </r>
        <r>
          <rPr>
            <sz val="9"/>
            <color indexed="81"/>
            <rFont val="Tahoma"/>
            <family val="2"/>
          </rPr>
          <t xml:space="preserve">
Meta cumplida</t>
        </r>
      </text>
    </comment>
    <comment ref="CE93" authorId="10" shapeId="0" xr:uid="{00000000-0006-0000-0400-000022000000}">
      <text>
        <r>
          <rPr>
            <b/>
            <sz val="9"/>
            <color indexed="81"/>
            <rFont val="Tahoma"/>
            <family val="2"/>
          </rPr>
          <t>udape2:</t>
        </r>
        <r>
          <rPr>
            <sz val="9"/>
            <color indexed="81"/>
            <rFont val="Tahoma"/>
            <family val="2"/>
          </rPr>
          <t xml:space="preserve">
Meta cumplida</t>
        </r>
      </text>
    </comment>
    <comment ref="CI93" authorId="10" shapeId="0" xr:uid="{00000000-0006-0000-0400-000023000000}">
      <text>
        <r>
          <rPr>
            <b/>
            <sz val="9"/>
            <color indexed="81"/>
            <rFont val="Tahoma"/>
            <family val="2"/>
          </rPr>
          <t>udape2:</t>
        </r>
        <r>
          <rPr>
            <sz val="9"/>
            <color indexed="81"/>
            <rFont val="Tahoma"/>
            <family val="2"/>
          </rPr>
          <t xml:space="preserve">
Meta cumplida</t>
        </r>
      </text>
    </comment>
    <comment ref="BO95" authorId="10" shapeId="0" xr:uid="{00000000-0006-0000-0400-000024000000}">
      <text>
        <r>
          <rPr>
            <b/>
            <sz val="9"/>
            <color indexed="81"/>
            <rFont val="Tahoma"/>
            <family val="2"/>
          </rPr>
          <t>udape2:</t>
        </r>
        <r>
          <rPr>
            <sz val="9"/>
            <color indexed="81"/>
            <rFont val="Tahoma"/>
            <family val="2"/>
          </rPr>
          <t xml:space="preserve">
El valor puede ser igual o menor a 0,11</t>
        </r>
      </text>
    </comment>
    <comment ref="BW95" authorId="10" shapeId="0" xr:uid="{00000000-0006-0000-0400-000025000000}">
      <text>
        <r>
          <rPr>
            <b/>
            <sz val="9"/>
            <color indexed="81"/>
            <rFont val="Tahoma"/>
            <family val="2"/>
          </rPr>
          <t>udape2:</t>
        </r>
        <r>
          <rPr>
            <sz val="9"/>
            <color indexed="81"/>
            <rFont val="Tahoma"/>
            <family val="2"/>
          </rPr>
          <t xml:space="preserve">
El valor puede ser igual o menor a 0,11</t>
        </r>
      </text>
    </comment>
    <comment ref="CA95" authorId="10" shapeId="0" xr:uid="{00000000-0006-0000-0400-000026000000}">
      <text>
        <r>
          <rPr>
            <b/>
            <sz val="9"/>
            <color indexed="81"/>
            <rFont val="Tahoma"/>
            <family val="2"/>
          </rPr>
          <t>udape2:</t>
        </r>
        <r>
          <rPr>
            <sz val="9"/>
            <color indexed="81"/>
            <rFont val="Tahoma"/>
            <family val="2"/>
          </rPr>
          <t xml:space="preserve">
El valor puede ser igual o menor a 0,11</t>
        </r>
      </text>
    </comment>
    <comment ref="CE95" authorId="10" shapeId="0" xr:uid="{00000000-0006-0000-0400-000027000000}">
      <text>
        <r>
          <rPr>
            <b/>
            <sz val="9"/>
            <color indexed="81"/>
            <rFont val="Tahoma"/>
            <family val="2"/>
          </rPr>
          <t>udape2:</t>
        </r>
        <r>
          <rPr>
            <sz val="9"/>
            <color indexed="81"/>
            <rFont val="Tahoma"/>
            <family val="2"/>
          </rPr>
          <t xml:space="preserve">
El valor puede ser igual o menor a 0,11</t>
        </r>
      </text>
    </comment>
    <comment ref="CI95" authorId="10" shapeId="0" xr:uid="{00000000-0006-0000-0400-000028000000}">
      <text>
        <r>
          <rPr>
            <b/>
            <sz val="9"/>
            <color indexed="81"/>
            <rFont val="Tahoma"/>
            <family val="2"/>
          </rPr>
          <t>udape2:</t>
        </r>
        <r>
          <rPr>
            <sz val="9"/>
            <color indexed="81"/>
            <rFont val="Tahoma"/>
            <family val="2"/>
          </rPr>
          <t xml:space="preserve">
El valor puede ser igual o menor a 0,11</t>
        </r>
      </text>
    </comment>
    <comment ref="BO99" authorId="10" shapeId="0" xr:uid="{00000000-0006-0000-0400-000029000000}">
      <text>
        <r>
          <rPr>
            <b/>
            <sz val="9"/>
            <color indexed="81"/>
            <rFont val="Tahoma"/>
            <family val="2"/>
          </rPr>
          <t>udape2:</t>
        </r>
        <r>
          <rPr>
            <sz val="9"/>
            <color indexed="81"/>
            <rFont val="Tahoma"/>
            <family val="2"/>
          </rPr>
          <t xml:space="preserve">
El valor puede ser igual o menor a 2</t>
        </r>
      </text>
    </comment>
    <comment ref="BP99" authorId="10" shapeId="0" xr:uid="{00000000-0006-0000-0400-00002A000000}">
      <text>
        <r>
          <rPr>
            <b/>
            <sz val="9"/>
            <color indexed="81"/>
            <rFont val="Tahoma"/>
            <family val="2"/>
          </rPr>
          <t>udape2:</t>
        </r>
        <r>
          <rPr>
            <sz val="9"/>
            <color indexed="81"/>
            <rFont val="Tahoma"/>
            <family val="2"/>
          </rPr>
          <t xml:space="preserve">
El valor puede ser igual o menor a 2</t>
        </r>
      </text>
    </comment>
    <comment ref="BS99" authorId="10" shapeId="0" xr:uid="{00000000-0006-0000-0400-00002B000000}">
      <text>
        <r>
          <rPr>
            <b/>
            <sz val="9"/>
            <color indexed="81"/>
            <rFont val="Tahoma"/>
            <family val="2"/>
          </rPr>
          <t>udape2:</t>
        </r>
        <r>
          <rPr>
            <sz val="9"/>
            <color indexed="81"/>
            <rFont val="Tahoma"/>
            <family val="2"/>
          </rPr>
          <t xml:space="preserve">
El valor puede ser igual o menor a 2</t>
        </r>
      </text>
    </comment>
    <comment ref="BW99" authorId="10" shapeId="0" xr:uid="{00000000-0006-0000-0400-00002C000000}">
      <text>
        <r>
          <rPr>
            <b/>
            <sz val="9"/>
            <color indexed="81"/>
            <rFont val="Tahoma"/>
            <family val="2"/>
          </rPr>
          <t>udape2:</t>
        </r>
        <r>
          <rPr>
            <sz val="9"/>
            <color indexed="81"/>
            <rFont val="Tahoma"/>
            <family val="2"/>
          </rPr>
          <t xml:space="preserve">
El valor puede ser igual o menor a 2</t>
        </r>
      </text>
    </comment>
    <comment ref="CA99" authorId="10" shapeId="0" xr:uid="{00000000-0006-0000-0400-00002D000000}">
      <text>
        <r>
          <rPr>
            <b/>
            <sz val="9"/>
            <color indexed="81"/>
            <rFont val="Tahoma"/>
            <family val="2"/>
          </rPr>
          <t>udape2:</t>
        </r>
        <r>
          <rPr>
            <sz val="9"/>
            <color indexed="81"/>
            <rFont val="Tahoma"/>
            <family val="2"/>
          </rPr>
          <t xml:space="preserve">
El valor puede ser igual o menor a 2</t>
        </r>
      </text>
    </comment>
    <comment ref="CE99" authorId="10" shapeId="0" xr:uid="{00000000-0006-0000-0400-00002E000000}">
      <text>
        <r>
          <rPr>
            <b/>
            <sz val="9"/>
            <color indexed="81"/>
            <rFont val="Tahoma"/>
            <family val="2"/>
          </rPr>
          <t>udape2:</t>
        </r>
        <r>
          <rPr>
            <sz val="9"/>
            <color indexed="81"/>
            <rFont val="Tahoma"/>
            <family val="2"/>
          </rPr>
          <t xml:space="preserve">
El valor puede ser igual o menor a 2</t>
        </r>
      </text>
    </comment>
    <comment ref="CI99" authorId="10" shapeId="0" xr:uid="{00000000-0006-0000-0400-00002F000000}">
      <text>
        <r>
          <rPr>
            <b/>
            <sz val="9"/>
            <color indexed="81"/>
            <rFont val="Tahoma"/>
            <family val="2"/>
          </rPr>
          <t>udape2:</t>
        </r>
        <r>
          <rPr>
            <sz val="9"/>
            <color indexed="81"/>
            <rFont val="Tahoma"/>
            <family val="2"/>
          </rPr>
          <t xml:space="preserve">
El valor puede ser igual o menor a 2</t>
        </r>
      </text>
    </comment>
    <comment ref="BO102" authorId="11" shapeId="0" xr:uid="{00000000-0006-0000-0400-000030000000}">
      <text>
        <r>
          <rPr>
            <b/>
            <sz val="9"/>
            <color indexed="81"/>
            <rFont val="Tahoma"/>
            <family val="2"/>
          </rPr>
          <t>UD:</t>
        </r>
        <r>
          <rPr>
            <sz val="9"/>
            <color indexed="81"/>
            <rFont val="Tahoma"/>
            <family val="2"/>
          </rPr>
          <t xml:space="preserve">
La meta al 2020 tiende a incrementarse, en razon a la aplicación de estrategias de coberturas de atención, que incrementara los casos nuevos</t>
        </r>
      </text>
    </comment>
    <comment ref="BO104" authorId="11" shapeId="0" xr:uid="{00000000-0006-0000-0400-000031000000}">
      <text>
        <r>
          <rPr>
            <b/>
            <sz val="9"/>
            <color indexed="81"/>
            <rFont val="Tahoma"/>
            <family val="2"/>
          </rPr>
          <t>UD:</t>
        </r>
        <r>
          <rPr>
            <sz val="9"/>
            <color indexed="81"/>
            <rFont val="Tahoma"/>
            <family val="2"/>
          </rPr>
          <t xml:space="preserve">
La meta al 2020 tiende a incrementarse, en razon a la aplicación de estrategias de coberturas de atención, que incrementara los casos nuevos</t>
        </r>
      </text>
    </comment>
    <comment ref="L109" authorId="11" shapeId="0" xr:uid="{00000000-0006-0000-0400-000032000000}">
      <text>
        <r>
          <rPr>
            <b/>
            <sz val="9"/>
            <color indexed="81"/>
            <rFont val="Tahoma"/>
            <family val="2"/>
          </rPr>
          <t>UD:En revisión par difinir el indicador mas directo con el ODS</t>
        </r>
      </text>
    </comment>
    <comment ref="BX130" authorId="4" shapeId="0" xr:uid="{00000000-0006-0000-0400-000033000000}">
      <text>
        <r>
          <rPr>
            <b/>
            <sz val="9"/>
            <color indexed="81"/>
            <rFont val="Tahoma"/>
            <family val="2"/>
          </rPr>
          <t>Amilcar Venegas Montoya:</t>
        </r>
        <r>
          <rPr>
            <sz val="9"/>
            <color indexed="81"/>
            <rFont val="Tahoma"/>
            <family val="2"/>
          </rPr>
          <t xml:space="preserve">
Dato preliminar
</t>
        </r>
      </text>
    </comment>
    <comment ref="BX135" authorId="4" shapeId="0" xr:uid="{00000000-0006-0000-0400-000034000000}">
      <text>
        <r>
          <rPr>
            <b/>
            <sz val="9"/>
            <color indexed="81"/>
            <rFont val="Tahoma"/>
            <family val="2"/>
          </rPr>
          <t>Amilcar Venegas Montoya:</t>
        </r>
        <r>
          <rPr>
            <sz val="9"/>
            <color indexed="81"/>
            <rFont val="Tahoma"/>
            <family val="2"/>
          </rPr>
          <t xml:space="preserve">
denominador de UE 2017 preliminar</t>
        </r>
      </text>
    </comment>
    <comment ref="BO136" authorId="12" shapeId="0" xr:uid="{00000000-0006-0000-0400-000035000000}">
      <text>
        <r>
          <rPr>
            <b/>
            <sz val="9"/>
            <color indexed="81"/>
            <rFont val="Tahoma"/>
            <family val="2"/>
          </rPr>
          <t>Meta que se debe ajustar</t>
        </r>
        <r>
          <rPr>
            <sz val="9"/>
            <color indexed="81"/>
            <rFont val="Tahoma"/>
            <family val="2"/>
          </rPr>
          <t xml:space="preserve">
 6,42%</t>
        </r>
      </text>
    </comment>
    <comment ref="BO137" authorId="12" shapeId="0" xr:uid="{00000000-0006-0000-0400-000036000000}">
      <text>
        <r>
          <rPr>
            <b/>
            <sz val="9"/>
            <color indexed="81"/>
            <rFont val="Tahoma"/>
            <family val="2"/>
          </rPr>
          <t xml:space="preserve">Meta que se debe ajustar
</t>
        </r>
        <r>
          <rPr>
            <sz val="9"/>
            <color indexed="81"/>
            <rFont val="Tahoma"/>
            <family val="2"/>
          </rPr>
          <t>70.000</t>
        </r>
      </text>
    </comment>
    <comment ref="BO138" authorId="12" shapeId="0" xr:uid="{00000000-0006-0000-0400-000037000000}">
      <text>
        <r>
          <rPr>
            <b/>
            <sz val="9"/>
            <color indexed="81"/>
            <rFont val="Tahoma"/>
            <family val="2"/>
          </rPr>
          <t xml:space="preserve">Meta que se debe ajustar
</t>
        </r>
        <r>
          <rPr>
            <sz val="9"/>
            <color indexed="81"/>
            <rFont val="Tahoma"/>
            <family val="2"/>
          </rPr>
          <t>300</t>
        </r>
      </text>
    </comment>
    <comment ref="BX138" authorId="11" shapeId="0" xr:uid="{00000000-0006-0000-0400-000038000000}">
      <text>
        <r>
          <rPr>
            <b/>
            <sz val="9"/>
            <color indexed="81"/>
            <rFont val="Tahoma"/>
            <family val="2"/>
          </rPr>
          <t>UD:</t>
        </r>
        <r>
          <rPr>
            <sz val="9"/>
            <color indexed="81"/>
            <rFont val="Tahoma"/>
            <family val="2"/>
          </rPr>
          <t xml:space="preserve">
En proceso</t>
        </r>
      </text>
    </comment>
    <comment ref="BT156" authorId="11" shapeId="0" xr:uid="{00000000-0006-0000-0400-000039000000}">
      <text>
        <r>
          <rPr>
            <b/>
            <sz val="9"/>
            <color indexed="81"/>
            <rFont val="Tahoma"/>
            <family val="2"/>
          </rPr>
          <t>UD:</t>
        </r>
        <r>
          <rPr>
            <sz val="9"/>
            <color indexed="81"/>
            <rFont val="Tahoma"/>
            <family val="2"/>
          </rPr>
          <t xml:space="preserve">
en proceso</t>
        </r>
      </text>
    </comment>
    <comment ref="BX156" authorId="11" shapeId="0" xr:uid="{00000000-0006-0000-0400-00003A000000}">
      <text>
        <r>
          <rPr>
            <b/>
            <sz val="9"/>
            <color indexed="81"/>
            <rFont val="Tahoma"/>
            <family val="2"/>
          </rPr>
          <t>UD:</t>
        </r>
        <r>
          <rPr>
            <sz val="9"/>
            <color indexed="81"/>
            <rFont val="Tahoma"/>
            <family val="2"/>
          </rPr>
          <t xml:space="preserve">
en proceso</t>
        </r>
      </text>
    </comment>
    <comment ref="BN158" authorId="13" shapeId="0" xr:uid="{00000000-0006-0000-0400-00003B000000}">
      <text>
        <r>
          <rPr>
            <b/>
            <sz val="9"/>
            <color indexed="81"/>
            <rFont val="Tahoma"/>
            <family val="2"/>
          </rPr>
          <t xml:space="preserve">SALDO DE LA DEUDA PÚBLICA SOBRE EL PIB TOTAL 2015
</t>
        </r>
      </text>
    </comment>
    <comment ref="BT158" authorId="13" shapeId="0" xr:uid="{00000000-0006-0000-0400-00003C000000}">
      <text>
        <r>
          <rPr>
            <b/>
            <sz val="9"/>
            <color indexed="81"/>
            <rFont val="Tahoma"/>
            <family val="2"/>
          </rPr>
          <t>SALDO DE LA DEUDA PÚBLICA TOTAL SOBRE EL pib 2016</t>
        </r>
        <r>
          <rPr>
            <sz val="9"/>
            <color indexed="81"/>
            <rFont val="Tahoma"/>
            <family val="2"/>
          </rPr>
          <t xml:space="preserve">
</t>
        </r>
      </text>
    </comment>
    <comment ref="BX158" authorId="13" shapeId="0" xr:uid="{00000000-0006-0000-0400-00003D000000}">
      <text>
        <r>
          <rPr>
            <b/>
            <sz val="9"/>
            <color indexed="81"/>
            <rFont val="Tahoma"/>
            <family val="2"/>
          </rPr>
          <t>SALDO DE LA DEUDA PUBLICA TORTAL SOBRE EL PIB 2017</t>
        </r>
        <r>
          <rPr>
            <sz val="9"/>
            <color indexed="81"/>
            <rFont val="Tahoma"/>
            <family val="2"/>
          </rPr>
          <t xml:space="preserve">
</t>
        </r>
      </text>
    </comment>
    <comment ref="BN159" authorId="13" shapeId="0" xr:uid="{00000000-0006-0000-0400-00003E000000}">
      <text>
        <r>
          <rPr>
            <b/>
            <sz val="9"/>
            <color indexed="81"/>
            <rFont val="Tahoma"/>
            <family val="2"/>
          </rPr>
          <t>SERVICIO DE LA DEUDA EXTERNA SOBRE LAS EXPORTACIONES 2015</t>
        </r>
        <r>
          <rPr>
            <sz val="9"/>
            <color indexed="81"/>
            <rFont val="Tahoma"/>
            <family val="2"/>
          </rPr>
          <t xml:space="preserve">
</t>
        </r>
      </text>
    </comment>
    <comment ref="BT159" authorId="13" shapeId="0" xr:uid="{00000000-0006-0000-0400-00003F000000}">
      <text>
        <r>
          <rPr>
            <sz val="9"/>
            <color indexed="81"/>
            <rFont val="Tahoma"/>
            <family val="2"/>
          </rPr>
          <t xml:space="preserve">SERVICIO DE LA DEUDA EXTERNA SOBRE LAS EXPORTACIONES 2016
</t>
        </r>
      </text>
    </comment>
    <comment ref="BX159" authorId="13" shapeId="0" xr:uid="{00000000-0006-0000-0400-000040000000}">
      <text>
        <r>
          <rPr>
            <b/>
            <sz val="9"/>
            <color indexed="81"/>
            <rFont val="Tahoma"/>
            <family val="2"/>
          </rPr>
          <t>SERVICIO DE LA DEUDA EXTERNA SOBRE LAS EXPORTACIONES 2017</t>
        </r>
        <r>
          <rPr>
            <sz val="9"/>
            <color indexed="81"/>
            <rFont val="Tahoma"/>
            <family val="2"/>
          </rPr>
          <t xml:space="preserve">
</t>
        </r>
      </text>
    </comment>
    <comment ref="BO192" authorId="14" shapeId="0" xr:uid="{00000000-0006-0000-0400-000041000000}">
      <text>
        <r>
          <rPr>
            <b/>
            <sz val="9"/>
            <color indexed="81"/>
            <rFont val="Tahoma"/>
            <family val="2"/>
          </rPr>
          <t xml:space="preserve">INE: No se tiene meta para este indicador 
</t>
        </r>
      </text>
    </comment>
    <comment ref="BO193" authorId="14" shapeId="0" xr:uid="{00000000-0006-0000-0400-000042000000}">
      <text>
        <r>
          <rPr>
            <b/>
            <sz val="9"/>
            <color indexed="81"/>
            <rFont val="Tahoma"/>
            <family val="2"/>
          </rPr>
          <t xml:space="preserve">INE: No se tiene meta para este indicador 
</t>
        </r>
      </text>
    </comment>
    <comment ref="BO194" authorId="15" shapeId="0" xr:uid="{00000000-0006-0000-0400-000043000000}">
      <text>
        <r>
          <rPr>
            <b/>
            <sz val="9"/>
            <color indexed="81"/>
            <rFont val="Tahoma"/>
            <family val="2"/>
          </rPr>
          <t>Carmen Maria Ugarteche Soriano:</t>
        </r>
        <r>
          <rPr>
            <sz val="9"/>
            <color indexed="81"/>
            <rFont val="Tahoma"/>
            <family val="2"/>
          </rPr>
          <t xml:space="preserve">
Viene de la Meta pueda por el Resultado PDES</t>
        </r>
      </text>
    </comment>
    <comment ref="BT194" authorId="15" shapeId="0" xr:uid="{00000000-0006-0000-0400-000044000000}">
      <text>
        <r>
          <rPr>
            <b/>
            <sz val="9"/>
            <color indexed="81"/>
            <rFont val="Tahoma"/>
            <family val="2"/>
          </rPr>
          <t>Carmen Maria Ugarteche Soriano:</t>
        </r>
        <r>
          <rPr>
            <sz val="9"/>
            <color indexed="81"/>
            <rFont val="Tahoma"/>
            <family val="2"/>
          </rPr>
          <t xml:space="preserve">
Valor del indicador al 2016 con fuente EH
Flanda: Actualizado con fuente ECE-2016-4t</t>
        </r>
      </text>
    </comment>
    <comment ref="BT195" authorId="15" shapeId="0" xr:uid="{00000000-0006-0000-0400-000045000000}">
      <text>
        <r>
          <rPr>
            <b/>
            <sz val="9"/>
            <color indexed="81"/>
            <rFont val="Tahoma"/>
            <family val="2"/>
          </rPr>
          <t>Carmen Maria Ugarteche Soriano:</t>
        </r>
        <r>
          <rPr>
            <sz val="9"/>
            <color indexed="81"/>
            <rFont val="Tahoma"/>
            <family val="2"/>
          </rPr>
          <t xml:space="preserve">
Valor del indicador al 2016 con fuente ECE</t>
        </r>
      </text>
    </comment>
    <comment ref="BO196" authorId="14" shapeId="0" xr:uid="{00000000-0006-0000-0400-000046000000}">
      <text>
        <r>
          <rPr>
            <b/>
            <sz val="9"/>
            <color indexed="81"/>
            <rFont val="Tahoma"/>
            <family val="2"/>
          </rPr>
          <t xml:space="preserve">INE: No se tiene meta para este indicador 
</t>
        </r>
      </text>
    </comment>
    <comment ref="BX202" authorId="16" shapeId="0" xr:uid="{00000000-0006-0000-0400-000047000000}">
      <text>
        <r>
          <rPr>
            <b/>
            <sz val="9"/>
            <color indexed="81"/>
            <rFont val="Tahoma"/>
            <family val="2"/>
          </rPr>
          <t>Usuario:</t>
        </r>
        <r>
          <rPr>
            <sz val="9"/>
            <color indexed="81"/>
            <rFont val="Tahoma"/>
            <family val="2"/>
          </rPr>
          <t xml:space="preserve">
-el dato es preliminar</t>
        </r>
      </text>
    </comment>
    <comment ref="BX231" authorId="16" shapeId="0" xr:uid="{00000000-0006-0000-0400-000048000000}">
      <text>
        <r>
          <rPr>
            <b/>
            <sz val="9"/>
            <color indexed="81"/>
            <rFont val="Tahoma"/>
            <family val="2"/>
          </rPr>
          <t>Usuario:</t>
        </r>
        <r>
          <rPr>
            <sz val="9"/>
            <color indexed="81"/>
            <rFont val="Tahoma"/>
            <family val="2"/>
          </rPr>
          <t xml:space="preserve">
-el dato es preliminar</t>
        </r>
      </text>
    </comment>
    <comment ref="BV236" authorId="17" shapeId="0" xr:uid="{00000000-0006-0000-0400-000049000000}">
      <text>
        <r>
          <rPr>
            <b/>
            <sz val="9"/>
            <color indexed="81"/>
            <rFont val="Tahoma"/>
            <family val="2"/>
          </rPr>
          <t>Jessica Shirley Carrasco Ayala:</t>
        </r>
        <r>
          <rPr>
            <sz val="9"/>
            <color indexed="81"/>
            <rFont val="Tahoma"/>
            <family val="2"/>
          </rPr>
          <t xml:space="preserve">
Fernando por favor, pedirte una sugerencia de calculo, debido a q se reporta el crecimiento del indicador, pero las fórmulas no lo estan reflejando </t>
        </r>
      </text>
    </comment>
    <comment ref="BV237" authorId="17" shapeId="0" xr:uid="{00000000-0006-0000-0400-00004A000000}">
      <text>
        <r>
          <rPr>
            <b/>
            <sz val="9"/>
            <color indexed="81"/>
            <rFont val="Tahoma"/>
            <family val="2"/>
          </rPr>
          <t>Jessica Shirley Carrasco Ayala:</t>
        </r>
        <r>
          <rPr>
            <sz val="9"/>
            <color indexed="81"/>
            <rFont val="Tahoma"/>
            <family val="2"/>
          </rPr>
          <t xml:space="preserve">
Fernando por favor, pedirte una sugerencia de calculo, debido a q se reporta el crecimiento del indicador, pero las fórmulas no lo estan reflejando </t>
        </r>
      </text>
    </comment>
    <comment ref="BX239" authorId="16" shapeId="0" xr:uid="{00000000-0006-0000-0400-00004B000000}">
      <text>
        <r>
          <rPr>
            <b/>
            <sz val="9"/>
            <color indexed="81"/>
            <rFont val="Tahoma"/>
            <family val="2"/>
          </rPr>
          <t>Usuario:</t>
        </r>
        <r>
          <rPr>
            <sz val="9"/>
            <color indexed="81"/>
            <rFont val="Tahoma"/>
            <family val="2"/>
          </rPr>
          <t xml:space="preserve">
-el dato es preliminar</t>
        </r>
      </text>
    </comment>
    <comment ref="BP240" authorId="7" shapeId="0" xr:uid="{00000000-0006-0000-0400-00004C000000}">
      <text>
        <r>
          <rPr>
            <b/>
            <sz val="9"/>
            <color indexed="81"/>
            <rFont val="Tahoma"/>
            <family val="2"/>
          </rPr>
          <t>Karem Ximena Becerra Flores:</t>
        </r>
        <r>
          <rPr>
            <sz val="9"/>
            <color indexed="81"/>
            <rFont val="Tahoma"/>
            <family val="2"/>
          </rPr>
          <t xml:space="preserve">
AL 2030 LA POTENCIA EFECTIVA TOTAL SERÁ 7694 MW (META AL 2020 + META  2021  -2030)</t>
        </r>
      </text>
    </comment>
    <comment ref="BP244" authorId="7" shapeId="0" xr:uid="{00000000-0006-0000-0400-00004D000000}">
      <text>
        <r>
          <rPr>
            <b/>
            <sz val="9"/>
            <color indexed="81"/>
            <rFont val="Tahoma"/>
            <family val="2"/>
          </rPr>
          <t xml:space="preserve">Karem Ximena Becerra Flores:
</t>
        </r>
        <r>
          <rPr>
            <sz val="9"/>
            <color indexed="81"/>
            <rFont val="Tahoma"/>
            <family val="2"/>
          </rPr>
          <t xml:space="preserve">
GENERACIÓN TOTAL AL 2030 ES DE 11.061 MW PARA EXPORTACIÓN (EXPORTACIÓN AL 2020 + EXPORTACIÓN 2021-2030)</t>
        </r>
      </text>
    </comment>
    <comment ref="BP245" authorId="7" shapeId="0" xr:uid="{00000000-0006-0000-0400-00004E000000}">
      <text>
        <r>
          <rPr>
            <b/>
            <sz val="9"/>
            <color indexed="81"/>
            <rFont val="Tahoma"/>
            <family val="2"/>
          </rPr>
          <t>Karem Ximena Becerra Flores:</t>
        </r>
        <r>
          <rPr>
            <sz val="9"/>
            <color indexed="81"/>
            <rFont val="Tahoma"/>
            <family val="2"/>
          </rPr>
          <t xml:space="preserve">
LÍNEAS DE TRANSMISIÓN TOTAL AL 2030 ES DE 11.117 KM (META AL 2020 + META 2021-2030)</t>
        </r>
      </text>
    </comment>
    <comment ref="BN276" authorId="18" shapeId="0" xr:uid="{00000000-0006-0000-0400-00004F000000}">
      <text>
        <r>
          <rPr>
            <b/>
            <sz val="9"/>
            <color indexed="81"/>
            <rFont val="Tahoma"/>
            <family val="2"/>
          </rPr>
          <t>JL Lahore:</t>
        </r>
        <r>
          <rPr>
            <sz val="9"/>
            <color indexed="81"/>
            <rFont val="Tahoma"/>
            <family val="2"/>
          </rPr>
          <t xml:space="preserve">
Se asume el mismo valor del 2017 porque no se realizaron acciones de intervención aún</t>
        </r>
      </text>
    </comment>
    <comment ref="BN280" authorId="19" shapeId="0" xr:uid="{00000000-0006-0000-0400-000050000000}">
      <text>
        <r>
          <rPr>
            <b/>
            <sz val="9"/>
            <color indexed="81"/>
            <rFont val="Tahoma"/>
            <family val="2"/>
          </rPr>
          <t>udape11:</t>
        </r>
        <r>
          <rPr>
            <sz val="9"/>
            <color indexed="81"/>
            <rFont val="Tahoma"/>
            <family val="2"/>
          </rPr>
          <t xml:space="preserve">
 7 Instrumentos celebrados en el 2015
4 acuerdos firmados y/o ratificados. (Memorándum de Entendimiento de Aguas Profundas con la República de Uruguay, Declaración de la isla de Esteves con Peru, comunicado conjunto con Paraguay y Ratificación por Brasil del Acuerdo de Concesión de un Depósito Franco a Bolivia en el Puerto de Paranaguá); y se aprobaron 3 Decisiones para optimizar el comercio en países de la CAN en la 11va ...........de la comisión económica.</t>
        </r>
      </text>
    </comment>
    <comment ref="BH281" authorId="19" shapeId="0" xr:uid="{00000000-0006-0000-0400-000051000000}">
      <text>
        <r>
          <rPr>
            <b/>
            <sz val="9"/>
            <color indexed="81"/>
            <rFont val="Tahoma"/>
            <family val="2"/>
          </rPr>
          <t>udape11:</t>
        </r>
        <r>
          <rPr>
            <sz val="9"/>
            <color indexed="81"/>
            <rFont val="Tahoma"/>
            <family val="2"/>
          </rPr>
          <t xml:space="preserve">
En el supuesto de que sean 15 comisiones y comités</t>
        </r>
      </text>
    </comment>
    <comment ref="BN281" authorId="19" shapeId="0" xr:uid="{00000000-0006-0000-0400-000052000000}">
      <text>
        <r>
          <rPr>
            <b/>
            <sz val="9"/>
            <color indexed="81"/>
            <rFont val="Tahoma"/>
            <family val="2"/>
          </rPr>
          <t>udape11:</t>
        </r>
        <r>
          <rPr>
            <sz val="9"/>
            <color indexed="81"/>
            <rFont val="Tahoma"/>
            <family val="2"/>
          </rPr>
          <t xml:space="preserve">
En el supuesto de que sean 15 comisiones y comités</t>
        </r>
      </text>
    </comment>
    <comment ref="BO281" authorId="9" shapeId="0" xr:uid="{00000000-0006-0000-0400-000053000000}">
      <text>
        <r>
          <rPr>
            <b/>
            <sz val="9"/>
            <color indexed="81"/>
            <rFont val="Tahoma"/>
            <family val="2"/>
          </rPr>
          <t>usuario:</t>
        </r>
        <r>
          <rPr>
            <sz val="9"/>
            <color indexed="81"/>
            <rFont val="Tahoma"/>
            <family val="2"/>
          </rPr>
          <t xml:space="preserve">
Se elaborarán 5 estrategias que garantizarán la participación de Bolivia en la UNASUR lo que permite promover, fortalecer, y posicionar los temas de la política exterior en el ámbito internacional.
</t>
        </r>
      </text>
    </comment>
    <comment ref="AE289" authorId="20" shapeId="0" xr:uid="{00000000-0006-0000-0400-000054000000}">
      <text>
        <r>
          <rPr>
            <b/>
            <sz val="9"/>
            <color indexed="81"/>
            <rFont val="Tahoma"/>
            <family val="2"/>
          </rPr>
          <t>Se sugiere eliminar, toda vez que se aplica a países cooperantes.</t>
        </r>
      </text>
    </comment>
    <comment ref="AK322" authorId="21" shapeId="0" xr:uid="{00000000-0006-0000-0400-000055000000}">
      <text>
        <r>
          <rPr>
            <b/>
            <sz val="9"/>
            <color indexed="81"/>
            <rFont val="Tahoma"/>
            <family val="2"/>
          </rPr>
          <t>Erick Meave:</t>
        </r>
        <r>
          <rPr>
            <sz val="9"/>
            <color indexed="81"/>
            <rFont val="Tahoma"/>
            <family val="2"/>
          </rPr>
          <t xml:space="preserve">
DUDA ¿cómo de una encuesta se puede obtener el número de homicidios?
Sería mejor por registro administrativo</t>
        </r>
      </text>
    </comment>
    <comment ref="BO324" authorId="21" shapeId="0" xr:uid="{00000000-0006-0000-0400-000056000000}">
      <text>
        <r>
          <rPr>
            <b/>
            <sz val="9"/>
            <color indexed="81"/>
            <rFont val="Tahoma"/>
            <family val="2"/>
          </rPr>
          <t>Erick Meave:</t>
        </r>
        <r>
          <rPr>
            <sz val="9"/>
            <color indexed="81"/>
            <rFont val="Tahoma"/>
            <family val="2"/>
          </rPr>
          <t xml:space="preserve">
Sugerencia del INE.</t>
        </r>
      </text>
    </comment>
    <comment ref="AK325" authorId="21" shapeId="0" xr:uid="{00000000-0006-0000-0400-000057000000}">
      <text>
        <r>
          <rPr>
            <b/>
            <sz val="9"/>
            <color indexed="81"/>
            <rFont val="Tahoma"/>
            <family val="2"/>
          </rPr>
          <t>Erick Meave:</t>
        </r>
        <r>
          <rPr>
            <sz val="9"/>
            <color indexed="81"/>
            <rFont val="Tahoma"/>
            <family val="2"/>
          </rPr>
          <t xml:space="preserve">
Verificar si es posible obtener datos del volumen de cocaina incautada</t>
        </r>
      </text>
    </comment>
    <comment ref="BN328" authorId="21" shapeId="0" xr:uid="{00000000-0006-0000-0400-000058000000}">
      <text>
        <r>
          <rPr>
            <b/>
            <sz val="9"/>
            <color indexed="81"/>
            <rFont val="Tahoma"/>
            <family val="2"/>
          </rPr>
          <t>Erick Meave:</t>
        </r>
        <r>
          <rPr>
            <sz val="9"/>
            <color indexed="81"/>
            <rFont val="Tahoma"/>
            <family val="2"/>
          </rPr>
          <t xml:space="preserve">
Es el número de centros. Sin embargo, la definción del indicador dice porcentaje, revisar con el MG.
</t>
        </r>
      </text>
    </comment>
  </commentList>
</comments>
</file>

<file path=xl/sharedStrings.xml><?xml version="1.0" encoding="utf-8"?>
<sst xmlns="http://schemas.openxmlformats.org/spreadsheetml/2006/main" count="15200" uniqueCount="4581">
  <si>
    <t>Erradicación de la extrema pobreza</t>
  </si>
  <si>
    <t>REPORTE Y SEGUIMIENTO DEL INDICADOR</t>
  </si>
  <si>
    <t>OBSERVACIONES</t>
  </si>
  <si>
    <t>Valor Reportado del Indicador
Año 2016</t>
  </si>
  <si>
    <t>Valor Reportado del Indicador
Año 2017</t>
  </si>
  <si>
    <t>Valor Reportado del Indicador
Año 2018</t>
  </si>
  <si>
    <t>Valor Reportado del Indicador
Año 2019</t>
  </si>
  <si>
    <t>Valor Reportado del Indicador
Año 2020</t>
  </si>
  <si>
    <t>AVANCE 
(VARIACIÓN 2020 / BRECHA 2020)</t>
  </si>
  <si>
    <t>Nacional</t>
  </si>
  <si>
    <t>Porcentaje</t>
  </si>
  <si>
    <t>Anual</t>
  </si>
  <si>
    <t>Instituto Nacional de Estadística (INE)</t>
  </si>
  <si>
    <t>Serie disponible con el factor actualizado desde 2011</t>
  </si>
  <si>
    <t>Se ha reducido al 9,5% la población en situación de pobreza extrema.</t>
  </si>
  <si>
    <t>Pobreza extrema Nacional</t>
  </si>
  <si>
    <t>Encuestas Hogares</t>
  </si>
  <si>
    <t>Departamental</t>
  </si>
  <si>
    <t>Se ha disminuido al 24% la población en situación de pobreza moderada.</t>
  </si>
  <si>
    <t>Pobreza moderada Nacional</t>
  </si>
  <si>
    <t>Se ha reducido hasta 25 veces la relación de ingresos entre el 10% más rico y el 10% más pobre.</t>
  </si>
  <si>
    <t>Razón de percentil de la distribución de Ingresos entre el 10% más rico y del 10% más pobre</t>
  </si>
  <si>
    <t>PILAR - META - RESULTADO PDES</t>
  </si>
  <si>
    <t>METADATOS DEL INDICADOR</t>
  </si>
  <si>
    <t>FUENTE DE DATOS DEL INDICADOR</t>
  </si>
  <si>
    <t>LINEA BASE DEL INDICADOR - FUENTE PDES</t>
  </si>
  <si>
    <t>Cod_Pilar</t>
  </si>
  <si>
    <t>Descripción Pilar</t>
  </si>
  <si>
    <t>Cod_Meta</t>
  </si>
  <si>
    <t>Descripción Meta</t>
  </si>
  <si>
    <t>Cod_PMR</t>
  </si>
  <si>
    <t>Cod_Resul_Corr</t>
  </si>
  <si>
    <t>Cod_Corr_PMR</t>
  </si>
  <si>
    <t>Descripción de Resultados PDES 2016 - 2020</t>
  </si>
  <si>
    <t>Macro Sector (PDES)
Clasificación por Pilares del PDES</t>
  </si>
  <si>
    <t>Subsector (PDES)
Clasificación por Pilares del PDES</t>
  </si>
  <si>
    <t>RESULTADOS PRIORIZADOS Sectorial
PSDIs</t>
  </si>
  <si>
    <t>Cod_Tipo_Res_PDES</t>
  </si>
  <si>
    <t>Multisectoriales</t>
  </si>
  <si>
    <t>Intersectoriales</t>
  </si>
  <si>
    <t>Sectores Relacionados</t>
  </si>
  <si>
    <t>% Ponderación de Resultados a su Meta
(Agregar Verticalmente los resultados nivel de cada Meta)</t>
  </si>
  <si>
    <t>Existe Ficha de Cadenas de Indicadores</t>
  </si>
  <si>
    <r>
      <rPr>
        <b/>
        <sz val="10"/>
        <color theme="0"/>
        <rFont val="Calibri"/>
        <family val="2"/>
      </rPr>
      <t xml:space="preserve">Fecha de la Línea Base
</t>
    </r>
    <r>
      <rPr>
        <sz val="10"/>
        <color theme="0"/>
        <rFont val="Calibri"/>
        <family val="2"/>
      </rPr>
      <t>(Fecha del Dato registrado antes de la intervención)</t>
    </r>
  </si>
  <si>
    <r>
      <rPr>
        <b/>
        <sz val="10"/>
        <color theme="0"/>
        <rFont val="Calibri"/>
        <family val="2"/>
      </rPr>
      <t>Línea Base / Valor Actual del Indicador</t>
    </r>
    <r>
      <rPr>
        <sz val="10"/>
        <color theme="0"/>
        <rFont val="Calibri"/>
        <family val="2"/>
      </rPr>
      <t xml:space="preserve">
(Dato registrado antes de la intervención)</t>
    </r>
  </si>
  <si>
    <r>
      <rPr>
        <b/>
        <sz val="10"/>
        <color theme="0"/>
        <rFont val="Calibri"/>
        <family val="2"/>
      </rPr>
      <t xml:space="preserve">Meta Parcial Año 2016
</t>
    </r>
    <r>
      <rPr>
        <sz val="10"/>
        <color theme="0"/>
        <rFont val="Calibri"/>
        <family val="2"/>
      </rPr>
      <t>(Meta del indicador al Año 1 de la intervención)</t>
    </r>
  </si>
  <si>
    <r>
      <rPr>
        <b/>
        <sz val="10"/>
        <rFont val="Calibri"/>
        <family val="2"/>
      </rPr>
      <t xml:space="preserve">VARIACIÓN AL 2016
</t>
    </r>
    <r>
      <rPr>
        <sz val="10"/>
        <rFont val="Calibri"/>
        <family val="2"/>
      </rPr>
      <t>(DATO 2016 - LB)</t>
    </r>
  </si>
  <si>
    <r>
      <rPr>
        <b/>
        <sz val="10"/>
        <color theme="0"/>
        <rFont val="Calibri"/>
        <family val="2"/>
      </rPr>
      <t xml:space="preserve">AVANCE EN LA META 
</t>
    </r>
    <r>
      <rPr>
        <sz val="10"/>
        <color theme="0"/>
        <rFont val="Calibri"/>
        <family val="2"/>
      </rPr>
      <t>(VARIACIÓN 2016 / BRECHA 2020)</t>
    </r>
  </si>
  <si>
    <r>
      <rPr>
        <b/>
        <sz val="10"/>
        <color theme="0"/>
        <rFont val="Calibri"/>
        <family val="2"/>
      </rPr>
      <t xml:space="preserve">Meta Parcial Año 2017
</t>
    </r>
    <r>
      <rPr>
        <sz val="10"/>
        <color theme="0"/>
        <rFont val="Calibri"/>
        <family val="2"/>
      </rPr>
      <t>(Meta del indicador al Año 2 de la intervención)</t>
    </r>
  </si>
  <si>
    <r>
      <rPr>
        <b/>
        <sz val="10"/>
        <rFont val="Calibri"/>
        <family val="2"/>
      </rPr>
      <t xml:space="preserve">VARIACIÓN AL 2017
</t>
    </r>
    <r>
      <rPr>
        <sz val="10"/>
        <rFont val="Calibri"/>
        <family val="2"/>
      </rPr>
      <t>(DATO 2017 - LB)</t>
    </r>
  </si>
  <si>
    <r>
      <rPr>
        <b/>
        <sz val="10"/>
        <color theme="0"/>
        <rFont val="Calibri"/>
        <family val="2"/>
      </rPr>
      <t xml:space="preserve">AVANCE EN LA META
</t>
    </r>
    <r>
      <rPr>
        <sz val="10"/>
        <color theme="0"/>
        <rFont val="Calibri"/>
        <family val="2"/>
      </rPr>
      <t>(VARIACIÓN 2017 / BRECHA 2020)</t>
    </r>
  </si>
  <si>
    <r>
      <rPr>
        <b/>
        <sz val="10"/>
        <color theme="0"/>
        <rFont val="Calibri"/>
        <family val="2"/>
      </rPr>
      <t xml:space="preserve">Meta Parcial Año 2018
</t>
    </r>
    <r>
      <rPr>
        <sz val="10"/>
        <color theme="0"/>
        <rFont val="Calibri"/>
        <family val="2"/>
      </rPr>
      <t>(Meta del indicador al Año 3 de la intervención)</t>
    </r>
  </si>
  <si>
    <t>VARIACIÓN AL 2018
(DATO 2018 - LB)</t>
  </si>
  <si>
    <r>
      <rPr>
        <b/>
        <sz val="10"/>
        <color theme="0"/>
        <rFont val="Calibri"/>
        <family val="2"/>
      </rPr>
      <t xml:space="preserve">AVANCE EN LA META
</t>
    </r>
    <r>
      <rPr>
        <sz val="10"/>
        <color theme="0"/>
        <rFont val="Calibri"/>
        <family val="2"/>
      </rPr>
      <t>(VARIACIÓN 2018 / BRECHA 2020)</t>
    </r>
  </si>
  <si>
    <r>
      <rPr>
        <b/>
        <sz val="10"/>
        <color theme="0"/>
        <rFont val="Calibri"/>
        <family val="2"/>
      </rPr>
      <t xml:space="preserve">Meta Parcial Año 2019
</t>
    </r>
    <r>
      <rPr>
        <sz val="10"/>
        <color theme="0"/>
        <rFont val="Calibri"/>
        <family val="2"/>
      </rPr>
      <t>(Meta del indicador al Año 4 de la intervención)</t>
    </r>
  </si>
  <si>
    <t>VARIACIÓN AL 2019
(DATO 2019 - LB)</t>
  </si>
  <si>
    <r>
      <rPr>
        <b/>
        <sz val="10"/>
        <color theme="0"/>
        <rFont val="Calibri"/>
        <family val="2"/>
      </rPr>
      <t xml:space="preserve">AVANCE AVANCE EN LA META 
</t>
    </r>
    <r>
      <rPr>
        <sz val="10"/>
        <color theme="0"/>
        <rFont val="Calibri"/>
        <family val="2"/>
      </rPr>
      <t>(VARIACIÓN 2019 / BRECHA 2020)</t>
    </r>
  </si>
  <si>
    <r>
      <rPr>
        <b/>
        <sz val="10"/>
        <color theme="0"/>
        <rFont val="Calibri"/>
        <family val="2"/>
      </rPr>
      <t xml:space="preserve">Meta Propuesta Año 2020
</t>
    </r>
    <r>
      <rPr>
        <sz val="10"/>
        <color theme="0"/>
        <rFont val="Calibri"/>
        <family val="2"/>
      </rPr>
      <t>(Meta final del Indicador al término del Plan)</t>
    </r>
  </si>
  <si>
    <t>VARIACIÓN AL 2020
(DATO 2020 - LB)</t>
  </si>
  <si>
    <t>Erradicación de la pobreza extrema material y reducción significativa de la pobreza moderada.</t>
  </si>
  <si>
    <t>1.1.1</t>
  </si>
  <si>
    <t>Pobreza Material</t>
  </si>
  <si>
    <t>Resultado</t>
  </si>
  <si>
    <t>Social</t>
  </si>
  <si>
    <t>Pobreza</t>
  </si>
  <si>
    <t>RS</t>
  </si>
  <si>
    <t xml:space="preserve">M.Educación
M.Salud
M.Obras Públicas y Vivienda </t>
  </si>
  <si>
    <t>1.1.2</t>
  </si>
  <si>
    <t>1.1.3</t>
  </si>
  <si>
    <t>Se ha reducido hasta un 22% las Necesidades Básicas Insatisfechas (NBI).</t>
  </si>
  <si>
    <t>Población por condición de Pobreza - NBI</t>
  </si>
  <si>
    <t>Municipal</t>
  </si>
  <si>
    <t>1.1.4</t>
  </si>
  <si>
    <t>Se ha cubierto al menos el 80% de los hogares más pobres y vulnerables con programas sociales.</t>
  </si>
  <si>
    <t>Se ha ampliado el apoyo integral a niñas, niños abandonados</t>
  </si>
  <si>
    <t>RESULTADO</t>
  </si>
  <si>
    <t>1.1.7</t>
  </si>
  <si>
    <t>Se ha promovido la incorporación de niñas y niños en situación de calle en familias sustitutas.</t>
  </si>
  <si>
    <t>Proceso</t>
  </si>
  <si>
    <t>PC</t>
  </si>
  <si>
    <t>Se ha incrementado la cobertura de programas y servicios de Desarrollo Infantil Temprano (DIT) en niñas y niños menores de 4 años.</t>
  </si>
  <si>
    <t>Se ha promovido el apoyo y atención integral a niñas, niños, jóvenes y adolescentes en situación de calle.</t>
  </si>
  <si>
    <t>Se ha promovido el acceso de personas con discapacidad registradas en programas integrales de inclusión social basados en la comunidad.</t>
  </si>
  <si>
    <t>Se han impulsado programas de rehabilitación basados en la comunidad para la restitución y el ejercicio de los derechos de las personas con discapacidad</t>
  </si>
  <si>
    <t>Se ha fortalecido el apoyo integral para personas adultas mayores en centros de acogida y otros espacios para su ejercicio al derecho a una vejez digna</t>
  </si>
  <si>
    <t>Combatir la pobreza social.</t>
  </si>
  <si>
    <t>1.2.1</t>
  </si>
  <si>
    <t>1.2.13</t>
  </si>
  <si>
    <t>Se ha recuperado, fortalecido e incrementado la práctica de al menos 5 valores compartidos y prácticas comunitarias: ayni, mink´a, tama, thumpa, arete guasu y apthapi, en organizaciones barriales, comunitarias, instituciones públicas, privadas, municipios y organizaciones sociales.</t>
  </si>
  <si>
    <t>Pobreza Social</t>
  </si>
  <si>
    <t>Explotación, Discriminación, Racismo</t>
  </si>
  <si>
    <t>Cultural y Afectiva</t>
  </si>
  <si>
    <t>Culturas</t>
  </si>
  <si>
    <t>0102</t>
  </si>
  <si>
    <t>Se ha fortalecido la práctica y promoción de las múltiples expresiones culturales que constituyen el patrimonio material e inmaterial del Estado Plurinacional (arte, textil, pinturas, danzas, música, vestimenta, pensamiento, oralidad, memorias, y otras)</t>
  </si>
  <si>
    <t>Los maestros promueven valores comunitarios, solidaridad y cooperación, están implementando la nueva currículo del Sistema Educativo Plurinacional.</t>
  </si>
  <si>
    <t>1.2.16</t>
  </si>
  <si>
    <t>La sociedad boliviana, sus organizaciones e instituciones practican el equilibrio y la complementariedad de género y generacional para el Vivir Bien</t>
  </si>
  <si>
    <t>Comunidades interreligiosas, juveniles, barriales, comunales efectúan acciones de servicio comunitario en solidaridad, respeto, armonía y apoyo mutuo</t>
  </si>
  <si>
    <t>1.2.6</t>
  </si>
  <si>
    <t>1.2.18</t>
  </si>
  <si>
    <t>Se ha logrado la recuperación de las identidades individuales y colectivas para el fortalecimiento de la identidad plurinacional.</t>
  </si>
  <si>
    <t>M.Culturas y Turismo</t>
  </si>
  <si>
    <t>En Bolivia, ya no existen las comunidades cautivas, ninguna forma de pongueaje y esclavismo, y explotación en el trabajo infantil</t>
  </si>
  <si>
    <t xml:space="preserve">Todas las comunidades indígena originarias liberadas han sido fortalecidas con capacidades integrales para la gestión de los nuevos asentamientos  </t>
  </si>
  <si>
    <t>0103</t>
  </si>
  <si>
    <t>Naciones y pueblos indígena originarios en situación de alta vulnerabilidad y formas de vida transfronterizas han sido beneficiados con la implementación de políticas y programas estatales de protección, fortalecimiento y salvaguarda de sus sistemas de vida.</t>
  </si>
  <si>
    <t>Se han eliminado las relaciones de servidumbre en actividades agrícolas y ganaderas.</t>
  </si>
  <si>
    <t>Política e Institucional</t>
  </si>
  <si>
    <t>Justicia</t>
  </si>
  <si>
    <t>1.3.22</t>
  </si>
  <si>
    <t>Se ha avanzado significativamente hacia la reducción de la Trata y Tráfico de Personas y delitos conexos.</t>
  </si>
  <si>
    <t>Se ha avanzado significativamente en la erradicación de la explotación laboral de los niños y adolescentes trabajadores</t>
  </si>
  <si>
    <t>Combatir la discriminación y el racismo.</t>
  </si>
  <si>
    <t>1.4.1</t>
  </si>
  <si>
    <t>1.4.24</t>
  </si>
  <si>
    <t>Se ha avanzado sustancialmente en la reducción de la violencia escolar en centros educativo y en la erradicación de toda forma de abuso, agresión, acoso y violencia por discriminación y racismo en instituciones públicas, privadas y centros laborales.</t>
  </si>
  <si>
    <t>Pobreza Espiritual</t>
  </si>
  <si>
    <t>Ser humano integral</t>
  </si>
  <si>
    <t>0104</t>
  </si>
  <si>
    <t>Educación
M.Justicia
M.Culturas y Turismo</t>
  </si>
  <si>
    <t>Instituciones estatales y privadas de servicio público previenen, protegen y sancionan conductas de maltratos, racistas y discriminatorias.</t>
  </si>
  <si>
    <t>1.4.3</t>
  </si>
  <si>
    <t>1.4.26</t>
  </si>
  <si>
    <t>Instituciones del Sistema Educativo y de profesionalización implementan políticas y currículas de prevención y lucha contra el racismo y toda forma de discriminación.</t>
  </si>
  <si>
    <t>Los medios de comunicación públicos y privados, implementan programas de sensibilización y prevención del racismo y discriminación.</t>
  </si>
  <si>
    <t>Se ha promovido el respeto, la solidaridad y los derechos de las personas respecto a su orientación sexual e identidad de género</t>
  </si>
  <si>
    <t>Combatir la pobreza espiritual.</t>
  </si>
  <si>
    <t>1.5.29</t>
  </si>
  <si>
    <t>Todas las mujeres que acuden a las instancias públicas a denunciar hechos de violencia reciben asistencia legal y psicológica, reduciendo el porcentaje de mujeres y niñas que han sufrido violencia física, psicológica y/o sexual.</t>
  </si>
  <si>
    <t>0105</t>
  </si>
  <si>
    <t xml:space="preserve">Se ha incrementado en la población boliviana la practica de valores, principios y códigos ancestrales (ama suwa, ama llulla, ama qhilla), del respeto a una/uno mismo, a las/los demás, a la Madre Tierra y lo sagrado. </t>
  </si>
  <si>
    <t>0106</t>
  </si>
  <si>
    <t>Construir un ser humano integral para Vivir Bien.</t>
  </si>
  <si>
    <t>Se ha reducido el consumo de bebidas alcohólicas que genera violencia y el expendio de otras bebidas nocivas para la salud.</t>
  </si>
  <si>
    <t>Se ha promovido la construcción de una sociedad menos consumista y menos individualista.</t>
  </si>
  <si>
    <t>Se han constituido centros comunitarios, vecinales, urbanos y rurales e implementado acciones preventivas de situaciones de racismo, autoritarismo, machismo y fascismo, violencia familiar y con capacidad de atención a denuncias y demandas de violencia familiar contra mujeres, niñas, niños y adolescentes, adultos mayores y personas con discapacidad.</t>
  </si>
  <si>
    <t>Producto</t>
  </si>
  <si>
    <t>PD</t>
  </si>
  <si>
    <t>Todas las instituciones públicas, incluyendo establecimientos educativos previenen y sancionan conductas de acoso y autoritarismo.</t>
  </si>
  <si>
    <t>Se han implementado mecanismos y políticas para lograr la complementariedad de género y generacional.</t>
  </si>
  <si>
    <t>Se aplican de prácticas, valores ancestrales y constitucionales, saberes y conocimientos que promueven la construcción del nuevo ser humano integral en la sociedad boliviana hacia el Vivir Bien.</t>
  </si>
  <si>
    <t>1.6.2</t>
  </si>
  <si>
    <t>1.6.37</t>
  </si>
  <si>
    <t>Se combaten prácticas colonialistas, patriarcales y excluyentes en las entidades públicas, privadas, sociales, comunitarias y educativas.</t>
  </si>
  <si>
    <t>Se ha avanzado sustancialmente en la consolidación del nuevo Modelo de Estado Plurinacional Descolonizado y Despatriarcalizado en el territorio Nacional.</t>
  </si>
  <si>
    <t>Estado</t>
  </si>
  <si>
    <t>Universalización de los servicios básicos</t>
  </si>
  <si>
    <t>El 100% de las bolivianas y los bolivianos cuentan con servicios de agua y alcantarillado sanitario.</t>
  </si>
  <si>
    <t>2.1.1</t>
  </si>
  <si>
    <t>2.1.39</t>
  </si>
  <si>
    <t>El 95% de la población urbana cuenta con servicios de agua potable.</t>
  </si>
  <si>
    <t>Servicios Básicos</t>
  </si>
  <si>
    <t>Agua, alcant., SB</t>
  </si>
  <si>
    <t>0201</t>
  </si>
  <si>
    <t>MMAyA</t>
  </si>
  <si>
    <t>2.1.2</t>
  </si>
  <si>
    <t>2.1.40</t>
  </si>
  <si>
    <t>80% de la población rural cuentan con servicios sostenibles de agua segura.</t>
  </si>
  <si>
    <t>2.1.3</t>
  </si>
  <si>
    <t>2.1.41</t>
  </si>
  <si>
    <t>El 70% de la población urbana cuenta con servicios de alcantarillado y saneamiento.</t>
  </si>
  <si>
    <t>2.1.4</t>
  </si>
  <si>
    <t>2.1.42</t>
  </si>
  <si>
    <t>El 60% de la población rural cuenta con servicios de alcantarillado y saneamiento.</t>
  </si>
  <si>
    <t>2.2.1</t>
  </si>
  <si>
    <t>2.2.43</t>
  </si>
  <si>
    <t>Se ha ampliado el servicio de telefonía móvil en localidades con población mayor a 50 habitantes.</t>
  </si>
  <si>
    <t>Telecomunicaciones</t>
  </si>
  <si>
    <t>0202</t>
  </si>
  <si>
    <t>MOPSV</t>
  </si>
  <si>
    <t>2.2.2</t>
  </si>
  <si>
    <t>2.2.44</t>
  </si>
  <si>
    <t>Se ha ampliado el servicio de telefonía e internet en localidades con población mayor a 50 habitantes.</t>
  </si>
  <si>
    <t>El 100% de las bolivianas y los bolivianos cuentan con servicios  de energía eléctrica y luz</t>
  </si>
  <si>
    <t>2.3.1</t>
  </si>
  <si>
    <t>2.3.45</t>
  </si>
  <si>
    <t>Se ha alcanzado un 97% de cobertura de energía eléctrica y luz a nivel nacional.</t>
  </si>
  <si>
    <t>Electricidad</t>
  </si>
  <si>
    <t>0203</t>
  </si>
  <si>
    <t>2.3.2</t>
  </si>
  <si>
    <t>2.3.46</t>
  </si>
  <si>
    <t>Se ha logrado el 100% de cobertura de energía eléctrica y luz en el área urbana.</t>
  </si>
  <si>
    <t>2.3.3</t>
  </si>
  <si>
    <t>2.3.47</t>
  </si>
  <si>
    <t>Se ha alcanzado el 90% de cobertura de energía eléctrica y luz en el área rural.</t>
  </si>
  <si>
    <t>El 100% de las bolivianas y los bolivianos están integrados a través de sistemas de transporte en sus diferentes modalidades.</t>
  </si>
  <si>
    <t>Se ha conectado a las poblaciones del país interna y externamente mediante la construcción de accesos, vías, caminos y sistemas de transporte aéreos, fluviales, ferroviarios y por cable.</t>
  </si>
  <si>
    <t>Transporte</t>
  </si>
  <si>
    <t>Económica</t>
  </si>
  <si>
    <t>0204</t>
  </si>
  <si>
    <t>2.4.1</t>
  </si>
  <si>
    <t>2.4.48</t>
  </si>
  <si>
    <t>Dobles vías</t>
  </si>
  <si>
    <t>2.4.2</t>
  </si>
  <si>
    <t>2.4.49</t>
  </si>
  <si>
    <t>Corredor Bioceánico.</t>
  </si>
  <si>
    <t>PRODUCTO</t>
  </si>
  <si>
    <t>2.4.3</t>
  </si>
  <si>
    <t>2.4.50</t>
  </si>
  <si>
    <t>Corredor Norte – Sur.</t>
  </si>
  <si>
    <t>2.4.5</t>
  </si>
  <si>
    <t>2.4.51</t>
  </si>
  <si>
    <t>Corredor Oeste – Norte.</t>
  </si>
  <si>
    <t>2.4.6</t>
  </si>
  <si>
    <t>2.4.52</t>
  </si>
  <si>
    <t>Diagonal Jaime Mendoza.</t>
  </si>
  <si>
    <t>2.4.7</t>
  </si>
  <si>
    <t>2.4.53</t>
  </si>
  <si>
    <t>Conexiones de Capitales de Departamento.</t>
  </si>
  <si>
    <t>2.4.8</t>
  </si>
  <si>
    <t>2.4.54</t>
  </si>
  <si>
    <t>Integración de Regiones Productivas y la “Y” de la Integración.</t>
  </si>
  <si>
    <t>2.4.9</t>
  </si>
  <si>
    <t>2.4.55</t>
  </si>
  <si>
    <t>Puentes y accesos.</t>
  </si>
  <si>
    <t>2.4.10</t>
  </si>
  <si>
    <t>2.4.56</t>
  </si>
  <si>
    <t>Se ha avanzado en las gestiones para la construcción del Corredor Ferroviario Bioceánico Central (CFBC) Brasil – Bolivia - Perú que une el Puerto de Santos (Brasil) con el Puerto de Ilo (Perú).</t>
  </si>
  <si>
    <t>2.4.11</t>
  </si>
  <si>
    <t>2.4.57</t>
  </si>
  <si>
    <t>Se ha construido el tramo ferroviario para el transporte urbano en los departamentos de Cochabamba y Santa Cruz, con la finalidad de articular las redes ferroviarias.</t>
  </si>
  <si>
    <t>Se ha avanzado en la construcción del tramo ferroviario Motacucito – Mutún – Puerto Busch, lo que contribuirá al desarrollo de la industria siderúrgica del país, a través de la ejecución del proyecto industrial del Mutún.</t>
  </si>
  <si>
    <t>2.4.13</t>
  </si>
  <si>
    <t>2.4.59</t>
  </si>
  <si>
    <t>Se ha construido el tramo ferroviario Montero – Bulo Bulo, el cual contribuirá a la interconexión del CFBC.</t>
  </si>
  <si>
    <t>2.4.14</t>
  </si>
  <si>
    <t>2.4.60</t>
  </si>
  <si>
    <t>Se han rehabilitado vías navegables en los ríos Ichilo - Mamaré y Beni y el dragado del Canal Tamengo I Fase.</t>
  </si>
  <si>
    <t>2.4.15</t>
  </si>
  <si>
    <t>2.4.61</t>
  </si>
  <si>
    <t>Se han construido 3 nuevos puertos en su primera fase.</t>
  </si>
  <si>
    <t>2.4.16</t>
  </si>
  <si>
    <t>2.4.62</t>
  </si>
  <si>
    <t>Se ha desarrollado zonas francas portuarias en aguas internacionales a través de convenios.</t>
  </si>
  <si>
    <t>PROCESO</t>
  </si>
  <si>
    <t>Se ha puesto en marcha la terminal de carga en Puerto Busch.</t>
  </si>
  <si>
    <t>2.4.18</t>
  </si>
  <si>
    <t>2.4.64</t>
  </si>
  <si>
    <t>2.4.19</t>
  </si>
  <si>
    <t>2.4.65</t>
  </si>
  <si>
    <t>Se ha iniciado la construcción de teleféricos en otras ciudades del país: Oruro, Potosí y Sucre.</t>
  </si>
  <si>
    <t>2.4.20</t>
  </si>
  <si>
    <t>2.4.66</t>
  </si>
  <si>
    <t>Se han construido, ampliado y equipado 6 aeropuertos internacionales: 3 en construcción y 3 en ampliación y equipamiento.</t>
  </si>
  <si>
    <t>2.4.21</t>
  </si>
  <si>
    <t>2.4.67</t>
  </si>
  <si>
    <t>Se han construido, ampliado y equipado 12 aeropuertos nacionales y turísticos del país: 5 construidos y equipados y 7 ampliados y equipados. 1 aeropuerto en estudio de pre inversión.</t>
  </si>
  <si>
    <t>2.4.22</t>
  </si>
  <si>
    <t>2.4.68</t>
  </si>
  <si>
    <t>Se ha implementado 1 HUB intercontinental en el aeropuerto de Viru Viru – Santa Cruz.</t>
  </si>
  <si>
    <t>Se han construido 3 corredores con plataformas logísticas en el país.</t>
  </si>
  <si>
    <t>Se ha reducido al menos 10% del déficit habitacional del país.</t>
  </si>
  <si>
    <t>Se han construido 51.290 viviendas nuevas: unifamiliares, multifamiliares y complejos habitacionales, así como reposición por atención de desastres.</t>
  </si>
  <si>
    <t>Se han mejorado, ampliado y/o renovado 63.710 viviendas con eficiencia energética.</t>
  </si>
  <si>
    <t>Las bolivianas y bolivianos cuentan con servicio de gas domiciliario</t>
  </si>
  <si>
    <t>2.6.1</t>
  </si>
  <si>
    <t>2.6.73</t>
  </si>
  <si>
    <t>La cobertura de gas domiciliario llega al menos al 50% de los hogares.</t>
  </si>
  <si>
    <t>Gas domiciliario</t>
  </si>
  <si>
    <t>0206</t>
  </si>
  <si>
    <t>2.6.2</t>
  </si>
  <si>
    <t>2.6.74</t>
  </si>
  <si>
    <t>1,08 millones de viviendas cuentan con gas domiciliario con Sistema Convencional de Distribución.</t>
  </si>
  <si>
    <t>2.6.3</t>
  </si>
  <si>
    <t>2.6.75</t>
  </si>
  <si>
    <t>100 mil viviendas cuentan con gas domiciliario bajo el Sistema Virtual de Distribución o GNL</t>
  </si>
  <si>
    <t xml:space="preserve">Salud, Educación y  Deporte para la formación de un ser humano integral </t>
  </si>
  <si>
    <t>Acceso universal al servicio de salud.</t>
  </si>
  <si>
    <t>3.1.1</t>
  </si>
  <si>
    <t>Se implementará el Servicio de Salud Universal</t>
  </si>
  <si>
    <t>Salud, Educación, Deporte</t>
  </si>
  <si>
    <t>Salud</t>
  </si>
  <si>
    <t>0301</t>
  </si>
  <si>
    <t>3.1.2</t>
  </si>
  <si>
    <t>3.1.77</t>
  </si>
  <si>
    <t>La mayor parte de la población accede a medicamentos.</t>
  </si>
  <si>
    <t>M.Salud</t>
  </si>
  <si>
    <t>3.1.3</t>
  </si>
  <si>
    <t>3.1.78</t>
  </si>
  <si>
    <t>La mayor parte de los municipios implementan el Programa MI SALUD.</t>
  </si>
  <si>
    <t>3.1.4</t>
  </si>
  <si>
    <t>3.1.79</t>
  </si>
  <si>
    <t>La mayor parte de los municipios están conectados y equipados a la Red TELESALUD</t>
  </si>
  <si>
    <t>3.1.5</t>
  </si>
  <si>
    <t>3.1.80</t>
  </si>
  <si>
    <t>Se ha reducido en al menos 30% la mortalidad infantil (a 35 muertes por mil nacimientos)</t>
  </si>
  <si>
    <t>Se ha reducido en al menos 50% la razón de mortalidad materna (a 115 muertes por cien mil nacimientos)</t>
  </si>
  <si>
    <t>Se ha incrementado la cobertura de parto institucional.</t>
  </si>
  <si>
    <t>Se ha reducido la proporción de adolescentes embarazadas.</t>
  </si>
  <si>
    <t>La mayor parte de los municipios cuentan con planes municipales de salud con enfoque intersectorial ejecutado.</t>
  </si>
  <si>
    <t>Se ha reducido la incidencia de casos y defunciones de enfermedades transmisibles.</t>
  </si>
  <si>
    <t>3.1.11</t>
  </si>
  <si>
    <t>3.1.86</t>
  </si>
  <si>
    <t>Se ha reducido la incidencia de casos y defunciones de enfermedades no transmisibles.</t>
  </si>
  <si>
    <t>3.1.12</t>
  </si>
  <si>
    <t>3.1.87</t>
  </si>
  <si>
    <t>Al menos 90% de los establecimientos de salud reportan información al Sistema Único de Información en Salud (SUIS).</t>
  </si>
  <si>
    <t>Sistema Único de Información en Salud</t>
  </si>
  <si>
    <t>Se ha invertido $us1.700 millones en la construcción, ampliación y equipamiento de 47 institutos y hospitales de salud de forma concurrente con las ETAs.</t>
  </si>
  <si>
    <t>0302</t>
  </si>
  <si>
    <t>L</t>
  </si>
  <si>
    <t>Se han construido 4 Institutos de 4to. Nivel de Salud: Oncología, Cardiología, Gastroenterología y Nefrourología – Neurología. Se han construido y ampliado 12 hospitales de 3er. Nivel. Se han construido, ampliado y equipado 31 hospitales de 2do. Nivel.</t>
  </si>
  <si>
    <t>Se han construido, ampliado y equipado 180 establecimientos de salud de 1er. Nivel y se han elevado 1.430 Puestos de Salud a la categoría de Centros de Salud, con recursos de los Gobiernos Autónomos Municipales.</t>
  </si>
  <si>
    <t>Se han creado nuevos ítems para personal de salud, incluyendo plazas para especialistas y subespecialistas.</t>
  </si>
  <si>
    <t>Se han instalado nuevas unidades de hemodiálisis y laboratorios de histocompatibilidad</t>
  </si>
  <si>
    <t>Se ha puesto en funcionamiento un Centro de Saberes de Medicina Tradicional Ancestral Boliviana.</t>
  </si>
  <si>
    <t>3.3.1</t>
  </si>
  <si>
    <t>Se ha inscrito el 90% de las niñas, niños, adolescentes y jóvenes entre 4 y 17 años en el Subsistema de Educación Regular.</t>
  </si>
  <si>
    <t>3.3.2</t>
  </si>
  <si>
    <t>Se ha incrementado el número de personas que concluyen la post-alfabetización (equivalente al 6° grado del nivel primario).</t>
  </si>
  <si>
    <t>3.3.3</t>
  </si>
  <si>
    <t>Estudiantes con discapacidad, talento extraordinario y con dificultades de aprendizaje reciben atención oportuna y pertinente.</t>
  </si>
  <si>
    <t>Se incrementará en al menos 40% el porcentaje de jóvenes entre 19 y 23 años inscritos en universidades, institutos técnicos u otros del nivel superior.</t>
  </si>
  <si>
    <t>Personas con 15 años o más acceden a formación técnica tecnológica productiva en la educación alternativa.</t>
  </si>
  <si>
    <t>Se han creado 4 nuevas Escuelas Bolivianas Interculturales (EBI) para la formación artística a nivel licenciatura (teatro, artes plásticas, danza, cine y audiovisuales).</t>
  </si>
  <si>
    <t>Se han atendido a hijas e hijos de privados de libertad a través de Centros de apoyo Integral Pedagógico (CAIP).</t>
  </si>
  <si>
    <t>3.4.1</t>
  </si>
  <si>
    <t>La mayor parte de las unidades educativas y centros educativos del Sistema Educativo Plurinacional implementan el Modelo Educativo Socio comunitario Productivo.</t>
  </si>
  <si>
    <t>Las unidades educativas y centros educativos cuentan con infraestructura complementaria, materiales, equipos y mobiliario.</t>
  </si>
  <si>
    <t>La mayoría de maestras y maestros han concluido su formación complementaria (PROFOCOM), cuentan con formación técnica para el bachillerato técnico humanístico o han concluido con la formación pos gradual en sus especialidades.</t>
  </si>
  <si>
    <t>Todas las unidades educativas de secundaria participan en las olimpiadas científicas estudiantiles.</t>
  </si>
  <si>
    <t>Al menos el 80% de las unidades educativas cuentan con bachillerato técnico humanístico.</t>
  </si>
  <si>
    <t>Más de 100.000 personas han concluido el bachillerato técnico - humanístico, y han recibido sus títulos profesionales de técnico básico y técnico medio.</t>
  </si>
  <si>
    <t>Al menos 300 unidades, comunidades y asociaciones productivas socio comunitarias de producción y productividad constituidas, implementan proyectos productivos y tecnologías propias.</t>
  </si>
  <si>
    <t>Al menos 500 profesionales de excelencia de todo el país beneficiados con becas de postgrado (maestrías y doctorados), en las mejores universidades extranjeras.</t>
  </si>
  <si>
    <t>Se ha incorporado a la mayoría de los pueblos y naciones indígena originario campesinos con su lengua, cultura, conocimientos y saberes en los procesos educativos del Sistema Educativo Plurinacional, creándose nuevos institutos de lenguas y culturas para recuperar, revitalizar, normalizar, promocionar e investigar las lenguas indígenas.</t>
  </si>
  <si>
    <t>Se han construido y equipado 75 Institutos Técnico – Tecnológicos para la formación técnica – tecnológica superior.</t>
  </si>
  <si>
    <t>Garantía del deporte como derecho desde el Estado.</t>
  </si>
  <si>
    <t>3.5.1</t>
  </si>
  <si>
    <t>3.5.111</t>
  </si>
  <si>
    <t>La población boliviana accede a infraestructura deportiva de calidad dotada por el nivel central y las Entidades Territoriales Autónomas para practicar o formarse en el deporte.</t>
  </si>
  <si>
    <t>Deporte</t>
  </si>
  <si>
    <t>0305</t>
  </si>
  <si>
    <t>M.Deportes</t>
  </si>
  <si>
    <t>Acceso universal al deporte.</t>
  </si>
  <si>
    <t>3.6.1</t>
  </si>
  <si>
    <t>3.6.112</t>
  </si>
  <si>
    <t>Al menos 40% de bolivianas y bolivianos desarrollan regularmente actividades físico deportivas</t>
  </si>
  <si>
    <t>0306</t>
  </si>
  <si>
    <t>3.6.2</t>
  </si>
  <si>
    <t>3.6.113</t>
  </si>
  <si>
    <t>Un número importante de deportistas desarrollan sus actividades deportivas con programas de entrenamiento competitivo.</t>
  </si>
  <si>
    <t>3.6.3</t>
  </si>
  <si>
    <t>3.6.114</t>
  </si>
  <si>
    <t>Unidades educativas públicas y privadas cuentan con programas deportivos específicos.</t>
  </si>
  <si>
    <t>3.6.4</t>
  </si>
  <si>
    <t>3.6.115</t>
  </si>
  <si>
    <t>Se ha incrementado el número de deportistas de alto rendimiento que participan en competiciones internacionales.</t>
  </si>
  <si>
    <t>3.6.5</t>
  </si>
  <si>
    <t>3.6.116</t>
  </si>
  <si>
    <t>Se han detectado de forma progresiva estudiantes deportistas a temprana edad con potencialidades deportivas.</t>
  </si>
  <si>
    <t>3.6.6</t>
  </si>
  <si>
    <t>3.6.117</t>
  </si>
  <si>
    <t>Se ha beneficiado a un número importante de deportistas con becas para procesos de formación en Bolivia o en el extranjero</t>
  </si>
  <si>
    <t>3.6.7</t>
  </si>
  <si>
    <t>3.6.118</t>
  </si>
  <si>
    <t>Se han capacitado técnicos del deporte, entrenadores deportivos, y profesores de educación física con especialidad escolar adicionales para el perfeccionamiento del deporte.</t>
  </si>
  <si>
    <t xml:space="preserve">Soberanía científica y tecnológica con identidad propia </t>
  </si>
  <si>
    <t>Investigación y desarrollo de tecnología.</t>
  </si>
  <si>
    <t>Los complejos productivos y las empresas reciben servicios de transferencia tecnológica.</t>
  </si>
  <si>
    <t>Ciencia y Tecnología</t>
  </si>
  <si>
    <t>0401</t>
  </si>
  <si>
    <t>MDPyEP</t>
  </si>
  <si>
    <t>4.1.2</t>
  </si>
  <si>
    <t>4.1.120</t>
  </si>
  <si>
    <t>El satélite Tupac Katari se encuentra en plena capacidad operativa.</t>
  </si>
  <si>
    <t>Institucional</t>
  </si>
  <si>
    <t>4.1.3</t>
  </si>
  <si>
    <t>4.1.121</t>
  </si>
  <si>
    <t>Se cuenta con la Nube Soberana de Gobierno Electrónico para gestión, almacenamiento y seguridad de la información del Estado.</t>
  </si>
  <si>
    <t>4.1.4</t>
  </si>
  <si>
    <t>4.1.122</t>
  </si>
  <si>
    <t>Se ha concluido la Primera fase de la Ciudadela del Conocimiento Científico y la Tecnología.</t>
  </si>
  <si>
    <t>Se ha instalado el Complejo Industrial Farmacéutico para la producción de medicamentos</t>
  </si>
  <si>
    <t>Complejos Productivos</t>
  </si>
  <si>
    <t>4.1.6</t>
  </si>
  <si>
    <t>4.1.124</t>
  </si>
  <si>
    <t>La Agencia de Gobierno Electrónico y Tecnologías de Información y Comunicación se encuentra operando.</t>
  </si>
  <si>
    <t>El Estado Plurinacional de Bolivia cuenta con acceso a la información y a la comunicación</t>
  </si>
  <si>
    <t>4.1.8</t>
  </si>
  <si>
    <t>4.1.126</t>
  </si>
  <si>
    <t xml:space="preserve">Se ha concluido la primera fase de la Televisión Digital Libre en capitales de departamento y El Alto </t>
  </si>
  <si>
    <t>Se ha innovado y diseminado tecnología para incrementar la productividad, capacidad productiva y transformación de productos nutritivos (papa, quinua, maíz, trigo, coca, tarwi, asaí, amaranto, millmi, kañawa, chía, entre otros), considerando la gestión de riesgos y el cambio climático.</t>
  </si>
  <si>
    <t>Tecnología con saberes.</t>
  </si>
  <si>
    <t>4.3.1</t>
  </si>
  <si>
    <t>4.3.128</t>
  </si>
  <si>
    <t>Se han elaborado y diseminado paquetes tecnológicos intercientíficos y de diálogo de saberes que incluyen prácticas para mejorar la producción y productividad agropecuaria con resiliencia al cambio climático, en diferentes pisos ecológicos: andenes, camellones, sistemas hidráulicos moxeño-amazónicos, sistemas de acopio (pirwas) y conservación de alimentos.</t>
  </si>
  <si>
    <t>0403</t>
  </si>
  <si>
    <t>4.3.2</t>
  </si>
  <si>
    <t>4.3.129</t>
  </si>
  <si>
    <t>Se han constituido 9 multicentros de producción agroecológica articulados al INIAF.</t>
  </si>
  <si>
    <t>La población boliviana tiene acceso a terapias ancestrales y productos naturales tradicionales a través del Sistema Nacional de Salud.</t>
  </si>
  <si>
    <t>Los prestadores de medicina tradicional han sido registrados en el Ministerio de Salud.</t>
  </si>
  <si>
    <t>Se han desarrollado productos naturales y de la biodiversidad de la farmacopea boliviana.</t>
  </si>
  <si>
    <t>Todas las entidades y empresas vinculadas al sector productivo, agua, medio ambiente, telecomunicaciones, salud y otros asignarán un porcentaje de sus recursos dirigido a la investigación científica y desarrollo de tecnología.</t>
  </si>
  <si>
    <t>Las empresas públicas y centros de innovación tecnológica nacional y de los gobiernos autónomos han incorporado profesionales con alto grado de formación científica y tecnológica.</t>
  </si>
  <si>
    <t>Se ha preservado y consolidado la gestión soberana en la formulación de políticas macroeconómicas que generen las condiciones para el crecimiento económico sostenido del país.</t>
  </si>
  <si>
    <t>Se ha preservado y consolidado la gestión prudente en la contratación de deuda pública para garantizar sus fuentes de financiamiento (internas y externas) y una administración sostenible y solvente en el pago de la misma.</t>
  </si>
  <si>
    <t>Se ha consolidado el acceso a fuentes alternativas de financiamiento externo en condiciones ventajosas para el Estado Plurinacional de Bolivia</t>
  </si>
  <si>
    <t>Se ha alcanzado mayores índices de Profundización Financiera: • 60% de la cartera está destinada a los sectores productivos y vivienda de interés social (Banca Múltiple). • 50% de la cartera destinada a micro, pequeñas y medianas empresas del sector productivo (Banca PyME). • 50% de la cartera destinada a Vivienda (Entidades Financieras de Vivienda). • 75% del total de municipios cubiertos con atención de servicios financieros.</t>
  </si>
  <si>
    <t>Al menos 40% de la Inversión Extranjera Directa (IED) ha contribuido a diversificar la matriz productiva del país y genera valor agregado (complejos productivos industriales, de servicios y turismo); a través de sociedades en empresas estatales mixtas, en alianza con el nivel central de Estado y Entidades Territoriales Autónomas.</t>
  </si>
  <si>
    <t>Se ha logrado que la Inversión Extranjera directa (IED) alcance a por lo menos el 8% del PIB</t>
  </si>
  <si>
    <t>Se ha alcanzado un 19,3% del PIB en Reservas Financieras Internacionales (REFI) garantizando suficiente solvencia y liquidez para atender la demanda regular de divisas en las transacciones internas de la economía y en las relaciones del Estado con el exterior.</t>
  </si>
  <si>
    <t>Se ha incrementado de forma significativa la participación de la producción nacional en el mercado interno y masificado la distribución de alimentos estratégicos para la población con calidad a peso y precio justo.</t>
  </si>
  <si>
    <t>Se ha reforzado, mejorado y ampliado la infraestructura y centros de abastecimiento por parte de los gobiernos autónomos municipales.</t>
  </si>
  <si>
    <t>Se ha fomentado la comercialización de productos ecológicos y orgánicos, mediante el sello social boliviano y el sello ecológico boliviano.</t>
  </si>
  <si>
    <t>Se han protegido los Derechos del Usuario(a) y del Consumidor(a) incrementándose el número de usuarias(os) y consumidoras(es) atendidos por los centros de defensa.</t>
  </si>
  <si>
    <t>Soberanía productiva con diversificación desarrollo integral sin la dictadura del mercado capitalista</t>
  </si>
  <si>
    <t>Se han realizado los estudios para el desarrollo integral de industrias derivadas de los 5 Complejos Productivos Industriales Estratégicos (complejo del gas, complejo del acero, complejo del litio, complejo metalúrgico y complejo de energía).</t>
  </si>
  <si>
    <t>Se ha avanzado en la implementación de por lo menos dos rubros vinculados a los Complejos Productivos Industriales Estratégicos priorizados, incluyendo desarrollo tecnológico con soluciones limpias y reducción de emisiones de gases de efecto invernadero.</t>
  </si>
  <si>
    <t>País productor, transformador y exportador “Complejos productivos” y Turismo.</t>
  </si>
  <si>
    <t>6. 2.1</t>
  </si>
  <si>
    <t>6.2.148</t>
  </si>
  <si>
    <t>Se ha avanzado significativamente para que $us10.000 MM del PIB correspondan al sector agropecuario y agroindustrial en el futuro inmediato.</t>
  </si>
  <si>
    <t>Territoriales</t>
  </si>
  <si>
    <t>0602</t>
  </si>
  <si>
    <t>6. 2.2</t>
  </si>
  <si>
    <t>6.2.149</t>
  </si>
  <si>
    <t>Se ha logrado que al menos 14,4% del PIB corresponda a la industria manufacturera.</t>
  </si>
  <si>
    <t>Se han puesto en funcionamiento por lo menos 13 Complejos Productivos Territoriales priorizados.</t>
  </si>
  <si>
    <t>6. 2.4</t>
  </si>
  <si>
    <t>6.2.151</t>
  </si>
  <si>
    <t>Se ha logrado generar un ingreso por turismo receptivo de $us1.581 MM</t>
  </si>
  <si>
    <t>Turisticos</t>
  </si>
  <si>
    <t>MCyT</t>
  </si>
  <si>
    <t>6. 2.5</t>
  </si>
  <si>
    <t>6.2.152</t>
  </si>
  <si>
    <t>Se ha incrementado el número de turistas extranjeros a 2,6 millones.</t>
  </si>
  <si>
    <t>6. 2.6</t>
  </si>
  <si>
    <t>6.2.153</t>
  </si>
  <si>
    <t>Se ha logrado un flujo de 4,5 millones de turistas nacionales.</t>
  </si>
  <si>
    <t>6. 2.7</t>
  </si>
  <si>
    <t>6.2.154</t>
  </si>
  <si>
    <t>Se ha mejorado y ampliado la infraestructura y servicios turísticos con inversiones del sector privado y comunitario.</t>
  </si>
  <si>
    <t>Producción agropecuaria con énfasis en la agricultura familiar comunitaria y campesina.</t>
  </si>
  <si>
    <t>6. 3.1</t>
  </si>
  <si>
    <t>6.3.155</t>
  </si>
  <si>
    <t>Se ha alcanzado progresivamente una superficie cultivada de 4,7 millones de hectáreas.</t>
  </si>
  <si>
    <t xml:space="preserve">Producción </t>
  </si>
  <si>
    <t>Agropecuaria</t>
  </si>
  <si>
    <t>0603</t>
  </si>
  <si>
    <t>MDRyT</t>
  </si>
  <si>
    <t>6. 3.2</t>
  </si>
  <si>
    <t>6.3.156</t>
  </si>
  <si>
    <t>Se ha incrementado la producción agrícola a 24,3 millones de toneladas métricas de los productos amazónicos y andinos, incluyendo: trigo, soya, maíz, quinua, tomate, papa, café y otros.</t>
  </si>
  <si>
    <t>Se ha alcanzado un 10% de participación de la producción orgánica en el volumen total de producción agrícola.</t>
  </si>
  <si>
    <t>6. 3.4</t>
  </si>
  <si>
    <t>6.3.158</t>
  </si>
  <si>
    <t>Se ha incrementado significativamente el rendimiento promedio de los principales grupos de cultivos agrícolas.</t>
  </si>
  <si>
    <t>Se ha incrementado la contribución de pequeños productores de agricultura familiar comunitaria en la producción total agropecuaria</t>
  </si>
  <si>
    <t>Sistemas productivos óptimos: agropecuaria.</t>
  </si>
  <si>
    <t>Se ha alcanzado 3,8 millones de hectáreas de superficie mecanizada con mejor producción a través del fortalecimiento de la agricultura familiar con tecnología mecanizada y transferencia de maquinaria y equipos a pequeños y medianos productores del país.</t>
  </si>
  <si>
    <t>0604</t>
  </si>
  <si>
    <t>Se han alcanzado 1 millón de hectáreas que cuentan con sistemas ganaderos con manejo integral y prácticas semi - intensivas.</t>
  </si>
  <si>
    <t>6.4.3</t>
  </si>
  <si>
    <t>6.4.162</t>
  </si>
  <si>
    <t xml:space="preserve">Se ha incrementado el número de cabezas de ganado bovino, ovino, porcino, camélido, pollos y la actividad piscícola.   </t>
  </si>
  <si>
    <t>Se ha alcanzado 700 mil Ha. de superficie con riego, con participación de las Entidades Territoriales Autónomas y del sector privado con una ampliación de 338 mil Ha. hasta el 2020, comprendiendo la producción de arroz bajo riego inundado, sistemas de riego revitalizados, riego tecnificado de hortalizas y frutales, sistema de riego con represas, riego a través de reúso de aguas residuales, cosecha de agua y proyectos multipropósito.</t>
  </si>
  <si>
    <t>Forestal</t>
  </si>
  <si>
    <t>Los bosques escenarios integrales de producción y transformación de alimentos y recursos de la biodiversidad.</t>
  </si>
  <si>
    <t>Se ha alcanzado progresivamente una mayor participación del sector forestal en el PIB.</t>
  </si>
  <si>
    <t>0605</t>
  </si>
  <si>
    <t>Se han fortalecido las capacidades institucionales, financieras, técnicas y tecnológicas para el crecimiento de la industria forestal maderable y no maderable con alto valor agregado.</t>
  </si>
  <si>
    <t>6.5.3</t>
  </si>
  <si>
    <t>6.5.166</t>
  </si>
  <si>
    <t>Se ha logrado manejo integral y sustentable de los componentes del bosque en 13 MM de Ha., que garantizan la conservación y protección del bosque, la producción de alimentos, aportan a la economía familiar y reducen su vulnerabilidad a fenómenos adversos del cambio climático.</t>
  </si>
  <si>
    <t>Se ha logrado el manejo en sistemas agroforestales (café, cacao, frutas tropicales, entre otros) en al menos 200 mil Ha. de superficie de bosque</t>
  </si>
  <si>
    <t>Sistemas productivos eficientes.</t>
  </si>
  <si>
    <t>Se ha logrado que 70% de los productores agroindustriales y ganaderos implementen sistemas de producción sustentables reduciendo su vulnerabilidad y aumentando su resiliencia al cambio climático.</t>
  </si>
  <si>
    <t>0606</t>
  </si>
  <si>
    <t>Se ha incrementado a 500 mil Ha. la superficie con recuperación de suelos deteriorados y degradados.</t>
  </si>
  <si>
    <t>6.6.3</t>
  </si>
  <si>
    <t>6.6.170</t>
  </si>
  <si>
    <t>Se han incrementado el rendimiento promedio de los productos agrícolas más importantes vinculados con la seguridad alimentaria (cereales, estimulantes, hortalizas, frutales, oleaginosas, tubérculos y forrajes, entre otros).</t>
  </si>
  <si>
    <t>Sistemas universales de acceso a insumos, tecnología, asistencia técnica y otros servicios de apoyo a la producción.</t>
  </si>
  <si>
    <t>Se ha logrado que al menos 50% de unidades productivas accedan al Seguro Agrario en sus modalidades de seguro catastrófico y comercial.</t>
  </si>
  <si>
    <t>0607</t>
  </si>
  <si>
    <t>La mayoría de productores de la agricultura familiar (OECAS, OECOMS y otros de la economía social comunitaria) han sido registrados y son fortalecidos en la gestión de compras y ventas públicas, sello social, asistencia técnica y apoyo integral"</t>
  </si>
  <si>
    <t>Se ha logrado ofertar mayores créditos sectoriales para el acceso de productores agropecuarios, con apoyo del sector público y privado.</t>
  </si>
  <si>
    <t>6.7.4</t>
  </si>
  <si>
    <t>6.7.174</t>
  </si>
  <si>
    <t>Se ha alcanzado a 400 mil unidades productivas, incluyendo familias indígena originario campesinas con acceso a programas de insumo, tecnología, servicios de apoyo a la producción y otros (SENASAG, INIAF, etc.).</t>
  </si>
  <si>
    <t>6.7.5</t>
  </si>
  <si>
    <t>6.7.175</t>
  </si>
  <si>
    <t>Se han desarrollado innovaciones para mejorar la productividad y conservación, e inocuidad alimentaria y potencial nutritivo de alimentos y especies para la vida con tecnología nuclear.</t>
  </si>
  <si>
    <t>Saneamiento de la propiedad agraria.</t>
  </si>
  <si>
    <t>6.8.1</t>
  </si>
  <si>
    <t>6.8.176</t>
  </si>
  <si>
    <t>Se ha concluido con el proceso de saneamiento y titulación de tierras en el país.</t>
  </si>
  <si>
    <t>0608</t>
  </si>
  <si>
    <t>6.8.2</t>
  </si>
  <si>
    <t>6.8.177</t>
  </si>
  <si>
    <t>Se ha incrementado la superficie consolidada con asentamientos humanos.</t>
  </si>
  <si>
    <t>Se han ampliado y construido centros de acopio de granos en varios municipios.</t>
  </si>
  <si>
    <t>Democratización de los medios y factores de producción con énfasis en el sector micro empresarial y comunitario.</t>
  </si>
  <si>
    <t>6.9.1</t>
  </si>
  <si>
    <t>6.9.179</t>
  </si>
  <si>
    <t>Se ha incrementado a $us3.644 MM el Valor Bruto de Producción de las MyPEs.</t>
  </si>
  <si>
    <t>0609</t>
  </si>
  <si>
    <t>Se ha alcanzado a 10% de participación del valor de las exportaciones de las MyPEs y PyMEs.</t>
  </si>
  <si>
    <t>Se han mejorado los procesos de producción en las MyPEs.</t>
  </si>
  <si>
    <t>Se han fortalecido de forma complementaria las economías del intercambio y de la solidaridad.</t>
  </si>
  <si>
    <t>6.9.5</t>
  </si>
  <si>
    <t>6.9.183</t>
  </si>
  <si>
    <t>Se ha incrementado en PyMEs hasta:• 30% el acceso a financiamiento• 20% el acceso a formación• 20% acceso a tecnología.</t>
  </si>
  <si>
    <t>6.9.6</t>
  </si>
  <si>
    <t>6.9.184</t>
  </si>
  <si>
    <t>Se ha incrementado en MyPEs hasta:• 35% el acceso a financiamiento• 15% el acceso a formación• 10% acceso a tecnología.</t>
  </si>
  <si>
    <t>Empleo para una Vida Digna.</t>
  </si>
  <si>
    <t>6.10.1</t>
  </si>
  <si>
    <t>Se ha reducido a 6,3% la tasa de desempleo en jóvenes de 16 a 28 años.</t>
  </si>
  <si>
    <t>Empleo (Complejos Prod)</t>
  </si>
  <si>
    <t>0610</t>
  </si>
  <si>
    <t>6.10.2</t>
  </si>
  <si>
    <t>6.10.186</t>
  </si>
  <si>
    <t>Se ha logrado incrementar la población ocupada que cuenta con seguridad social de corto y largo plazo.</t>
  </si>
  <si>
    <t>Se ha logrado que las comunidades y municipios más pobres superen la extrema pobreza de forma sustentable.</t>
  </si>
  <si>
    <t>Se ha logrado que los Departamentos que no corresponden al eje central incrementen su participación en el PIB con énfasis en sectores productivos y turismo articulados a los complejos productivos integrales.</t>
  </si>
  <si>
    <t>Aprovechamiento de los beneficios de los tratados comerciales, con promoción a la exportación de los productos elaborados en el país.</t>
  </si>
  <si>
    <t>6.12.1</t>
  </si>
  <si>
    <t>6.12.189</t>
  </si>
  <si>
    <t>Se ha incrementado al 28% la participación del valor de las exportaciones de la industria manufacturera en el total exportado.</t>
  </si>
  <si>
    <t>Se ha incrementado al 12% la participación en las exportaciones de los productos orgánicos.</t>
  </si>
  <si>
    <t>6.12.3</t>
  </si>
  <si>
    <t>6.12.191</t>
  </si>
  <si>
    <t>Se han alcanzado 800 mil TM de volumen de exportación de productos agropecuarios.</t>
  </si>
  <si>
    <t xml:space="preserve">Soberanía sobre nuestros recursos naturales </t>
  </si>
  <si>
    <t xml:space="preserve">Se  cuenta  con  empresas  públicas  que  generan utilidades para su redistribución en políticas sociales, para el beneficio de todas las bolivianas y bolivianos. </t>
  </si>
  <si>
    <t>Recursos Naturales</t>
  </si>
  <si>
    <t xml:space="preserve">Las  empresas  públicas  han  migrado  al  nuevo régimen  legal  de  la  empresa  pública;  y  se  han fortalecido, a  través de alianzas estratégicas público - privadas con inversión nacional y extranjera. </t>
  </si>
  <si>
    <t>Se han fortalecido YPFB, ENTEL, ENDE y BOA.</t>
  </si>
  <si>
    <t xml:space="preserve">Se ha refundado COMIBOL. </t>
  </si>
  <si>
    <t>Fortalecimiento de los procesos de industrialización y transformación en armonía y equilibrio con la Madre Tierra: eléctrico</t>
  </si>
  <si>
    <t xml:space="preserve">Se  ha  invertido  en:  exploración,  explotación  y desarrollo, refinación, transporte, comercialización, almacenaje,  redes  de  gas,  industrialización  e inversiones  menores  en  el  sector  de hidrocarburos.  </t>
  </si>
  <si>
    <t>Hidrocarburos</t>
  </si>
  <si>
    <t>0702</t>
  </si>
  <si>
    <t xml:space="preserve">Se  han  incrementado  las  reservas  probadas  de gas natural a 17,45 trillones de pies cúbicos. </t>
  </si>
  <si>
    <t>MEeH</t>
  </si>
  <si>
    <t xml:space="preserve">Se  han  incrementado  las  reservas  probadas  de hidrocarburos líquidos a 411 millones de barriles. </t>
  </si>
  <si>
    <t>7.2.4</t>
  </si>
  <si>
    <t>7.2.199</t>
  </si>
  <si>
    <t xml:space="preserve">Se ha incrementado la producción de gas natural a mínimo 73 millones de metros 3/día. </t>
  </si>
  <si>
    <t>7.2.5</t>
  </si>
  <si>
    <t>7.2.200</t>
  </si>
  <si>
    <t>Se  ha  incrementado  la  producción  de hidrocarburos líquidos a mínimo 69 mil barriles/día</t>
  </si>
  <si>
    <t>7.2.6</t>
  </si>
  <si>
    <t>7.2.201</t>
  </si>
  <si>
    <t xml:space="preserve">Se  ha  incrementado  la  producción  de  derivados como el GLP a mínimo 820 mil TM.  </t>
  </si>
  <si>
    <t xml:space="preserve">La  producción  de  urea  alcanzará  a  600  mil TM/año.  </t>
  </si>
  <si>
    <t>7.2.8</t>
  </si>
  <si>
    <t>7.2.203</t>
  </si>
  <si>
    <t xml:space="preserve">Se ha incrementado el valor total de la producción proveniente  del  gas  natural,  diésel  oíl,  gasolina especial y urea. </t>
  </si>
  <si>
    <t xml:space="preserve">Se  encuentran  en  operación  las  Plantas  de separación  de  líquidos  Gran  Chaco,  Amoniaco  y Urea, y de Gas Natural Licuado. </t>
  </si>
  <si>
    <t xml:space="preserve">Se  encuentra  en  construcción  el  Complejo  de Propileno – Polipropileno.  </t>
  </si>
  <si>
    <t xml:space="preserve">Se  encuentran  en  estudio  los  Proyectos  de Resinas y Plásticos, Planta de Nitrato de Amonio y Complejo de Metanol.  </t>
  </si>
  <si>
    <t xml:space="preserve">Se  ha  construido  el  gasoducto  de  Incahuasi  –  Cochabamba,  Sucre  –  Potosí,  gasoductos  de interconexión  al  Mutún,  Amoniaco  –  Urea  e interconexión a la fábrica de cemento en Oruro. </t>
  </si>
  <si>
    <t xml:space="preserve">Se han realizado estudios para la construcción del aumento  de  capacidad  del  gasoducto  Transierra, estudio de  logística de  transporte para el proyecto Lliquimuni  y  estudio  de  interconexión  Gasoducto Incahuasi  – Cochabamba  con Gasoducto  del Sur Andino del Perú. </t>
  </si>
  <si>
    <t xml:space="preserve">Se ha avanzado en el estudio para la construcción  de una refinería en La Paz (Proyecto Lliquimuni). </t>
  </si>
  <si>
    <t xml:space="preserve">Se  han  incrementado  las  reservas  existentes  de plata,  plomo,  zinc,  cobre,  antimonio,  estaño,  oro  e indio  en  aproximadamente  1.060  millones  de toneladas métricas.   </t>
  </si>
  <si>
    <t>Minería y Metalurgia</t>
  </si>
  <si>
    <t>MMyM</t>
  </si>
  <si>
    <t xml:space="preserve">Se  han  ampliado  las  reservas  a  través  de actividades  de  prospección  y  exploración  en  las empresas  mineras  estatales,  privadas  y cooperativas mineras.  </t>
  </si>
  <si>
    <t>7.2.17</t>
  </si>
  <si>
    <t>7.2.212</t>
  </si>
  <si>
    <t xml:space="preserve">Se  ha  desarrollado  la  industrialización  y  transformación lográndose que al menos el 80% de los minerales  sean  exportados  con  un  proceso  de agregación de valor. </t>
  </si>
  <si>
    <t xml:space="preserve">Se  han  implementado  y  han  entrado  en  operación  nuevas  plantas  de industrialización  y transformación  con  mayor  diversificación:  Planta  industrial  La Salmuera  del Salar  de Uyuni  (cloruro de potasio y sulfato de potasio), Planta Piloto Salar de  Coipasa  en  Oruro,    Planta  industrial  de carbonato  de  litio  en  La Palca,   Planta  siderúrgica  del Mutún, Plantas de fundición y refinación de zinc  en Oruro y Potosí y Planta de Alambrón en La Paz. </t>
  </si>
  <si>
    <t>7.2.19</t>
  </si>
  <si>
    <t>7.2.214</t>
  </si>
  <si>
    <t>Se ha incrementado la capacidad de transformación (Vinto,  Karachipampa)  y  producción  (Colquiri, Huanuni  y  Coro  Coro)  de  las  empresas mineras estatales, privadas y cooperativas mineras.</t>
  </si>
  <si>
    <t>7.2.20</t>
  </si>
  <si>
    <t>7.2.215</t>
  </si>
  <si>
    <t xml:space="preserve">Se ha alcanzado una potencia efectiva de hasta 4.878 MW para garantizar el abastecimiento de a demanda  interna y generar excedentes para  a  exportación mediante  la  implementación  de proyectos  de  generación.  Se  ha  incrementado la  generación  de  electricidad  a  2.954  MW  en Hidroeléctricas,  Termoeléctricas  y  Energías Alternativas. </t>
  </si>
  <si>
    <t>Energía</t>
  </si>
  <si>
    <t>7.2.21</t>
  </si>
  <si>
    <t>7.2.216</t>
  </si>
  <si>
    <t xml:space="preserve">Se  ha  incrementado  la  potencia  efectiva  que permite  la generación de 2.592 MW de energía eléctrica  para  la  exportación  a  países  vecinos, posicionando al país como centro energético de la región. </t>
  </si>
  <si>
    <t>7.2.22</t>
  </si>
  <si>
    <t>7.2.217</t>
  </si>
  <si>
    <t xml:space="preserve">Se  ha  extendido  las  líneas  de  transmisión  adicionales  de  4.043km  (2.822km  Nacional  y 1.221km de Exportación),  totalizando 7.483km. Ampliando  el  sistema  de  transmisión  y mejorando  la  confiabilidad  en  el  suministro  de energía en nuestro país. </t>
  </si>
  <si>
    <t xml:space="preserve">Se  ha  implementado  y  se  ha  puesto  en  operación  el  Centro  de  Investigación  y Desarrollo en Tecnología Nuclear. </t>
  </si>
  <si>
    <t xml:space="preserve">Se ha  realizado un estudio de  identificación de alternativas de otras aplicaciones en  tecnología nuclear, para fines pacíficos. </t>
  </si>
  <si>
    <t>Se ha instalado 1 Centro de Medicina Nuclear.</t>
  </si>
  <si>
    <t xml:space="preserve">Soberanía alimentaria </t>
  </si>
  <si>
    <t>Eliminar el hambre, la desnutrición y reducir la malnutrición.</t>
  </si>
  <si>
    <t>8.1.1</t>
  </si>
  <si>
    <t>8.1.221</t>
  </si>
  <si>
    <t xml:space="preserve">Se ha disminuido a 9% el porcentaje de niñas y niños menores de cinco años con desnutrición crónica.  </t>
  </si>
  <si>
    <t>Alimentación y Nutrición</t>
  </si>
  <si>
    <t>Nutrición</t>
  </si>
  <si>
    <t>0801</t>
  </si>
  <si>
    <t xml:space="preserve">Se  ha  reducido  a  10%  la  población  con subalimentación. </t>
  </si>
  <si>
    <t>8.1.3</t>
  </si>
  <si>
    <t>8.1.223</t>
  </si>
  <si>
    <t xml:space="preserve">Se  ha  disminuido  a  30%  la  prevalencia  de  niños  con anemia. </t>
  </si>
  <si>
    <t>8.1.4</t>
  </si>
  <si>
    <t>8.1.224</t>
  </si>
  <si>
    <t xml:space="preserve">Se ha reducido a 3,5% de niñas y niños con sobrepeso u obesidad. </t>
  </si>
  <si>
    <t>8.1.5</t>
  </si>
  <si>
    <t>8.1.225</t>
  </si>
  <si>
    <t xml:space="preserve">Se  ha  reducido  a  35%  el  porcentaje  de mujeres  con sobrepeso u obesidad. </t>
  </si>
  <si>
    <t>8.1.6</t>
  </si>
  <si>
    <t>8.1.226</t>
  </si>
  <si>
    <t xml:space="preserve">Se  promoverá  el  aumento  de  la  lactancia  materna exclusiva a 84%. </t>
  </si>
  <si>
    <t xml:space="preserve">Se  ha  logrado  que  el  50%  de  los  estudiante practiquen hábitos alimentarios saludables. </t>
  </si>
  <si>
    <t xml:space="preserve">Se ha  logrado que  la mayoría   de estudiantes  reciban Alimentación  complementaria Escolar por más de 150 días al año.  </t>
  </si>
  <si>
    <t xml:space="preserve">Se  ha  logrado  que  los  municipios  realicen  compras  locales para la Alimentación Complementaria Escolar. </t>
  </si>
  <si>
    <t xml:space="preserve">Se ha capacitado a maestras y maestros en educación alimentaria. </t>
  </si>
  <si>
    <t>Soberanía a través de la producción local de alimentos.</t>
  </si>
  <si>
    <t xml:space="preserve">Se ha  incrementado a 721.000 TM  la producción de trigo  reduciéndose  el  déficit  en  la  producción  con destino al consumo nacional. </t>
  </si>
  <si>
    <t>0803</t>
  </si>
  <si>
    <t xml:space="preserve">Se  ha  incrementado  la  producción  de  productos claves como el trigo, soya, maíz, quinua y papa.   </t>
  </si>
  <si>
    <t xml:space="preserve">Se  ha  incrementado  sustancialmente  la  producción piscícola  para  contribuir  a  un  cambio  gradual  en  el consumo de mayor pescado en todo el país. </t>
  </si>
  <si>
    <t>8.3.4</t>
  </si>
  <si>
    <t>8.3.234</t>
  </si>
  <si>
    <t xml:space="preserve">Se  ha  diversificado  la  producción  en  el  país  manteniéndose  la  variedad  de  semillas  nativas  y locales y la producción ecológica y orgánica. </t>
  </si>
  <si>
    <t>8.3.5</t>
  </si>
  <si>
    <t>8.3.235</t>
  </si>
  <si>
    <t xml:space="preserve">Se  ha  incrementado  la  capacidad  de  almacenamiento  del  Estado  en  productos estratégicos para la soberanía alimentaria. </t>
  </si>
  <si>
    <t xml:space="preserve">Se  han  recuperado  tradiciones  alimentarias  de  los diferentes departamentos, regiones y culturas. </t>
  </si>
  <si>
    <t>Se  han  fortalecido  bancos  de  semillas  comunales para la producción diversificada de alimentos locales.</t>
  </si>
  <si>
    <t xml:space="preserve">Se ha fomentado e incrementado la comercialización  de  productos  locales  en  los mercados  y  centros  de abasto. </t>
  </si>
  <si>
    <t xml:space="preserve">Se  ha  fomentado  el  consumo  de  alimentos  locales  nutritivos y saludables. </t>
  </si>
  <si>
    <t>Bolivia ha puesto en marcha programas intersectoriales en el marco de la Política de Alimentación y Nutrición</t>
  </si>
  <si>
    <t>8.5.1</t>
  </si>
  <si>
    <t>8.5.240</t>
  </si>
  <si>
    <t xml:space="preserve">Se  ha  implementado  la  Política  de  Alimentación  y Nutrición en el marco del CONAN. </t>
  </si>
  <si>
    <t>0805</t>
  </si>
  <si>
    <t>8.5.2</t>
  </si>
  <si>
    <t>8.5.241</t>
  </si>
  <si>
    <t xml:space="preserve">Se han fortalecido  los Consejos Departamentales de Alimentación  y  Nutrición  (CODAN)  y  los  Consejos Municipales de Alimentación y Nutrición (COMAN) en su rol de articulación. </t>
  </si>
  <si>
    <t>Soberanía ambiental con desarrollo integral, respetando los derechos de la Madre Tierra</t>
  </si>
  <si>
    <t>Se ha avanzado en el reconocimiento internacional del Vivir Bien en armonía con la Madre Tierra en foros de Naciones Unidas.</t>
  </si>
  <si>
    <t>Medio Ambiente</t>
  </si>
  <si>
    <t>Madre Tierra</t>
  </si>
  <si>
    <t>Ecológica</t>
  </si>
  <si>
    <t>Se ha avanzado en la construcción de una declaración universal de armonía con la naturaleza.</t>
  </si>
  <si>
    <t>9.2.1</t>
  </si>
  <si>
    <t>Se han reconocido enfoques e instrumentos no basados en los mercados y alternativos al pago por servicios ecosistémicos.</t>
  </si>
  <si>
    <t>Se ha promovido el reconocimiento de los conocimientos, prácticas, tecnologías y acción colectiva de los pueblos indígenas y comunidades locales.</t>
  </si>
  <si>
    <t>El desarrollo integral y económico - productivo ha considerado en su planificación la gestión de los sistemas de vida.</t>
  </si>
  <si>
    <t>9.3.2</t>
  </si>
  <si>
    <t>Al menos el 30% de las industrias en el país (grandes, medianas y pequeñas) avanzan de forma progresiva en la utilización de tecnologías y procesos industriales limpios y ambientalmente apropiados.</t>
  </si>
  <si>
    <t>Los planes e instrumentos de planificación integral sectorial, territorial y de inversión pública han incorporado la gestión de sistemas de vida, gestión de riesgos y cambio climático, y elementos de regeneración y restauración de zonas de vida, fortaleciendo los procesos económico - productivos con una visión integral.</t>
  </si>
  <si>
    <t>Se han transformado y restructurado los procesos de gestión ambiental, implementando procedimientos ambientales eficaces y eficientes en concurrencia con las ETA’s vinculadas a medidas de fiscalización, vigilancia y control ambiental.</t>
  </si>
  <si>
    <t>Se ha promovido la gestión de los procesos de remediación y disposición final de pasivos ambientales de alto riesgo (mineros, hidrocarburíferos, agroindustriales y otros).</t>
  </si>
  <si>
    <t>Se ha consolidado el Sistema Plurinacional de Áreas Protegidas fortaleciendo la articulación entre el nivel central del Estado y las Entidades Territoriales Autónomas para un desarrollo progresivo de los mecanismos de protección y gestión de las funciones ambientales.</t>
  </si>
  <si>
    <t>Se ha avanzado sustancialmente en la erradicación de la extrema pobreza en áreas protegidas</t>
  </si>
  <si>
    <t>Se han utilizado tecnologías adecuadas y limpias de última generación para minimizar el impacto negativo de actividades hidrocarburíferas dentro de las Áreas Protegidas.</t>
  </si>
  <si>
    <t>Se han consolidado acciones de control, monitoreo y fiscalización en las Áreas Protegidas priorizadas para las actividades hidrocarburíferas, desarrollando medidas de gestión integral de los sistemas de vida y medidas de aislamiento en las áreas de intervención.</t>
  </si>
  <si>
    <t>Se ha reducido sustancialmente el impacto destructivo y contaminador de sistemas productivos y otros que causan potenciales daños y afectaciones ambientales.</t>
  </si>
  <si>
    <t>Se han fortalecido los sistemas productivos ambientalmente amigables y con prácticas sustentables, priorizando la producción ecológica y orgánica.</t>
  </si>
  <si>
    <t>Se han restaurado y fortalecido sustancialmente las funciones ambientales, en las zonas y sistemas de vida.</t>
  </si>
  <si>
    <t>Se ha incrementado la capacidad de resiliencia de las zonas y sistemas de vida vinculada al cambio climático, incluyendo acciones de mitigación y adaptación conjunta y la gestión de riesgos.</t>
  </si>
  <si>
    <t>Se han promovido emprendimientos de conservación, uso y aprovechamiento sustentable de la diversidad biológica.</t>
  </si>
  <si>
    <t>Se ha desarrollado un manejo integral y sustentable de bosques y/o componentes de la Madre Tierra, implementando el enfoque conjunto de mitigación y adaptación al cambio climático.</t>
  </si>
  <si>
    <t>Se ha promovido la Gestión Integral de riesgos biológicos/bioseguridad para la conservación de los componentes y funciones ambientales.</t>
  </si>
  <si>
    <t>Incremento de la cobertura boscosa.</t>
  </si>
  <si>
    <t>9.6.1</t>
  </si>
  <si>
    <t>9.6.262</t>
  </si>
  <si>
    <t>Se ha eliminado la deforestación ilegal en todo el territorio del Estado Plurinacional.</t>
  </si>
  <si>
    <t>0906</t>
  </si>
  <si>
    <t>9.6.2</t>
  </si>
  <si>
    <t>9.6.263</t>
  </si>
  <si>
    <t>Se ha ampliado en más de 750 mil  ha la cobertura forestal, en áreas de restauración, protección y regeneración, ornamentación, sistemas agroforestales y plantaciones comerciales, a través de acciones de forestación y reforestación.</t>
  </si>
  <si>
    <t>Se han implementado Centros de Producción Forestal para la transferencia tecnología de producción masiva y plantaciones forestales.</t>
  </si>
  <si>
    <t>Al menos 14 cuencas implementan planes y acciones de gestión integral.</t>
  </si>
  <si>
    <t>Al menos 225 micro cuencas intervenidas cuentan con acciones en gestión integral de recursos hídricos y manejo integral de cuencas.</t>
  </si>
  <si>
    <t>Al menos la mitad de sitios con humedales y bofedales (sitios Ramsar) se han incorporado gradualmente a procesos de manejo integral.</t>
  </si>
  <si>
    <t>Al menos el 30% de los municipios están articulados al Sistema de Prevención y Gestión de Riesgo Agropecuario (SIPGRA).</t>
  </si>
  <si>
    <t>La mayoría de los municipios han promovido la cultura de prevención y resiliencia frente a riesgos de desastres.</t>
  </si>
  <si>
    <t>Al menos 30% de municipios de alto riesgo de desastres, han reducido su vulnerabilidad frente eventos adversos, hidrometeorológicos y climáticos, en el marco de acciones de gestión de riesgos y adaptación al cambio climático.</t>
  </si>
  <si>
    <t>La mayoría de los departamentos cuentan con Sistemas de Alerta Temprana – SAT consolidados e integrando los SATs municipales y/o mancomunidades al Sistema Nacional de Alerta Temprana para Desastres - SNATD.</t>
  </si>
  <si>
    <t>Aire Puro, ríos sin contaminación y procesamiento de residuos sólidos y líquidos.</t>
  </si>
  <si>
    <t>9.8.1</t>
  </si>
  <si>
    <t>9.8.272</t>
  </si>
  <si>
    <t>Se ha restaurado y reducido significativamente la contaminación de aire, agua y suelos en cuencas y se ha restaurado las zonas de vida con mayor impacto ambiental.</t>
  </si>
  <si>
    <t>Gestión Ambiental</t>
  </si>
  <si>
    <t>0908</t>
  </si>
  <si>
    <t>Se ha incrementado y ampliado las zonas verdes, bosques urbanos y espacios públicos.</t>
  </si>
  <si>
    <t>9.8.3</t>
  </si>
  <si>
    <t>9.8.274</t>
  </si>
  <si>
    <t>Se han recuperado cuerpos de agua en al menos 5 cuencas (Rocha, Piraí, Guadalquivir, Katari y Cotagaita).</t>
  </si>
  <si>
    <t>Se han consolidado procesos de gestión integral de residuos sólidos para el reciclaje, compostaje e industrialización, tratamiento y disposición final segura.</t>
  </si>
  <si>
    <t>Al menos 80 municipios implementan su gestión integral de residuos sólidos.</t>
  </si>
  <si>
    <t>Se han construido plantas de tratamiento de aguas residuales (PTAR) en las ciudades con mayor población.</t>
  </si>
  <si>
    <t xml:space="preserve">Integración complementaria de los pueblos con soberanía </t>
  </si>
  <si>
    <t>Acuerdos Internacionales para resolver la crisis climática que incorporan la posición boliviana sobre el cambio climático.</t>
  </si>
  <si>
    <t>Se ha promovido activamente la incorporación de los principios de equidad y responsabilidades comunes pero diferenciadas, el fortalecimiento de medios de implementación, mecanismos no basados en el mercado, justicia climática y mecanismos de cumplimiento internacional, en las decisiones y resoluciones de la Convención Marco de Naciones Unidas sobre Cambio Climático (CMNUCC).</t>
  </si>
  <si>
    <t>Inegración de los pueblos</t>
  </si>
  <si>
    <t>Acuerdos Internacionales</t>
  </si>
  <si>
    <t>1001</t>
  </si>
  <si>
    <t>Reconocimiento Internacional de los Derechos de la Madre Tierra.</t>
  </si>
  <si>
    <t>Se ha conformado el grupo de trabajo sobre armonía con la naturaleza que trabaja la propuesta de Declaración de los Derechos de la Madre Tierra.</t>
  </si>
  <si>
    <t>1002</t>
  </si>
  <si>
    <t>Se ha presentado la propuesta de Bolivia sobre la Declaración de los Derechos de la Madre Tierra al grupo de trabajo sobre Armonía con la naturaleza para su consideración en Naciones Unidas (NNUU).</t>
  </si>
  <si>
    <t>Se ha consolidado la integración regional (comercial, social, inversiones, cooperación y participación de los pueblos), a través de acuerdos internacionales bajo principios de complementariedad y solidaridad en el marco de la soberanía de los pueblos.</t>
  </si>
  <si>
    <t>Construcción de mecanismos para el Desarrollo Integral y la Integración entre los Estados y sus Pueblos.</t>
  </si>
  <si>
    <t>Se han fortalecido los mecanismos de integración regional, en el marco de la soberanía de los pueblos, sin hegemonismos imperiales entre ellos, UNASUR, CELAC, MERCOSUR, CAN y otros correspondientes a la cooperación Sur - Sur.</t>
  </si>
  <si>
    <t>1003</t>
  </si>
  <si>
    <t xml:space="preserve">Se ha constituido el Instituto Internacional de Descolonización y fortalecido otras instituciones y organizaciones de países en desarrollo incluyendo G77+China, MNOAL y otros. </t>
  </si>
  <si>
    <t>Se ha fortalecido el ALBA - TCP y la CELAC como un instrumento de liberación de los pueblos promoviendo su liderazgo político e ideológico en la región y entre los países del sur.</t>
  </si>
  <si>
    <t>Se ha incorporado un enfoque integral (comercial, social, inversiones, cooperación y participación de los pueblos) en los mecanismos de integración bajo los principios de complementariedad y solidaridad hacia una cultura de paz y respeto a la vida.</t>
  </si>
  <si>
    <t>Fortalecimiento de los procesos de Integración Multilateral y profundización del Relacionamiento Bilateral.</t>
  </si>
  <si>
    <t>Se ha fortalecido nuestra diplomacia de los pueblos y nuestro país es un ejemplo en políticas sociales, económicas y ambientales anticapitalistas, antiimperialistas y anticolonialistas; Bolivia difunde y exporta sus políticas liberadoras y de soberanía de los pueblos en el mundo, en los organismos internacionales y a través de Naciones Unidas.</t>
  </si>
  <si>
    <t>1004</t>
  </si>
  <si>
    <t>Se ha participado activamente en la institucionalización y planes de acción de ALADI,  ALBA - TCP, UNASUR, CELAC, CAN y MERCOSUR.</t>
  </si>
  <si>
    <t>Se han incluido en Resoluciones de NNUU y la OEA propuestas de Bolivia relativas a la cultura de la vida, de paz y elementos del modelo civilizatorio del Vivir Bien.</t>
  </si>
  <si>
    <t>Se han ampliado y fortalecido las relaciones bilaterales con los Estados y pueblos del Mundo en el marco de la soberanía y la autodeterminación de los pueblos.</t>
  </si>
  <si>
    <t>Se ha promovido la apertura de nuevos mercados para la exportación de productos no tradicionales a través de las misiones diplomáticas en el exterior.</t>
  </si>
  <si>
    <t>Promoción de una organización mundial de los pueblos y de la Madre Tierra sin hegemonías en el marco de la democracia de los pueblos.</t>
  </si>
  <si>
    <t>Se ha promovido la “Red Regional y Subregional de Solidaridad” con miras a la creación de la Organización Mundial de los Pueblos.</t>
  </si>
  <si>
    <t>1005</t>
  </si>
  <si>
    <t>Se ha implementado progresivamente la Declaración de la Conferencia Mundial sobre los Pueblos Indígenas en 5 espacios multilaterales, regionales o subregionales.</t>
  </si>
  <si>
    <t>Se ha realizado el Encuentro Internacional de Pueblos sobre la Madre Tierra y el Cambio Climático promoviendo soluciones a la crisis climática desde la perspectiva de las organizaciones sociales y del Vivir Bien.</t>
  </si>
  <si>
    <t>Atención digna para los bolivianos y bolivianas en el exterior.</t>
  </si>
  <si>
    <t>Se ha consolidado la Red Consular Boliviana para la protección y asistencia de nuestros connacionales en el exterior.</t>
  </si>
  <si>
    <t>Bolivianos en el exterior</t>
  </si>
  <si>
    <t>1006</t>
  </si>
  <si>
    <t>Se ha ampliado la cobertura a los compatriotas en el exterior que son atendidos por el servicio consular, para la protección de sus derechos.</t>
  </si>
  <si>
    <t>Se ha fortalecido el servicio consular boliviano, para que se adecue a las necesidades de la comunidad boliviana en el exterior.</t>
  </si>
  <si>
    <t xml:space="preserve">Soberanía y transparencia en la gestión pública </t>
  </si>
  <si>
    <t>Gestión pública transparente, con servidores públicos éticos, competentes y comprometidos que luchan contra la corrupción.</t>
  </si>
  <si>
    <t>11.1.1</t>
  </si>
  <si>
    <t>11.1.296</t>
  </si>
  <si>
    <t>Se ha investigado, procesado y sancionado la mayor cantidad de hechos y delitos de corrupción, en coordinación con el Ministerio Público y Órgano Judicial, entre otras.</t>
  </si>
  <si>
    <t>Gestión Pública</t>
  </si>
  <si>
    <t>Transparencia</t>
  </si>
  <si>
    <t>1101</t>
  </si>
  <si>
    <t>11.1.2</t>
  </si>
  <si>
    <t>11.1.297</t>
  </si>
  <si>
    <t>Se ha recuperado una cantidad importante de recursos públicos por daño económico al Estado.</t>
  </si>
  <si>
    <t>M.Defensa Legal del Estado</t>
  </si>
  <si>
    <t>Se ha implementado un modelo de servicio público inclusivo, intercultural y comprometido con la concreción del Vivir Bien.</t>
  </si>
  <si>
    <t>Se han vinculado instituciones públicas a la Plataforma Electrónica y se ha implementado el Gobierno Electrónico para una gestión pública eficiente (trámites ágiles y mejores servicios) y transparente (acceso a la información), facilitando su evaluación.</t>
  </si>
  <si>
    <t>11.1.5</t>
  </si>
  <si>
    <t>11.1.300</t>
  </si>
  <si>
    <t>Se ha iniciado un proceso de cambio tecnológico para lograr la soberanía en la gestión de información y del conocimiento (uso del software libre y estándares abiertos).</t>
  </si>
  <si>
    <t>11.1.6</t>
  </si>
  <si>
    <t>11.1.301</t>
  </si>
  <si>
    <t>Se ha institucionalizado en las entidades estatales la rendición pública de cuentas para el ejercicio efectivo del control social y procesos de formación en principios y valores éticos.</t>
  </si>
  <si>
    <t>Se ha reducido significativamente la burocracia en los procesos y procedimientos de la administración pública con la integración de los sistemas del Estado y el uso de las tecnologías de información y comunicación.</t>
  </si>
  <si>
    <t>Sistema judicial transparente que garantiza justicia para todos y todas.</t>
  </si>
  <si>
    <t>Se ha transformado el Sistema de Justicia, en el marco de la Cumbre Nacional de Justicia, garantizando el acceso, celeridad y juicio justo, con ética, transparencia y valores del Vivir Bien.</t>
  </si>
  <si>
    <t>Justicia y Derechos</t>
  </si>
  <si>
    <t>1102</t>
  </si>
  <si>
    <t>Se ha construido la Casa del Órgano Judicial en Sucre.</t>
  </si>
  <si>
    <t>Se ha logrado que al menos el 70% de las causas registradas sean resueltas y se ha reducido en 50% el tiempo de duración de los procesos judiciales, reduciéndose la mora procesal.</t>
  </si>
  <si>
    <t>Se ha logrado que al menos 60% de las personas privadas de libertad tengan sentencia ejecutoriada.</t>
  </si>
  <si>
    <t>Se ha logrado que al menos la mitad de las autoridades de los tribunales judiciales sean mujeres.</t>
  </si>
  <si>
    <t>Seguridad Ciudadana para una Vida sin Violencia</t>
  </si>
  <si>
    <t>Se ha transformado institucionalmente la Policía boliviana para contar con una Institución Policial científica, técnica y especializada con servicios desconcentrados para la prevención del delito y la inseguridad pública, en favor de la comunidad</t>
  </si>
  <si>
    <t>1103</t>
  </si>
  <si>
    <t>Se ha fortalecido a la Policía boliviana con equipamiento e infraestructura moderna.</t>
  </si>
  <si>
    <t>Se cuenta con al menos una Estación Policial Integral en 50 municipios en coordinación con la Entidades Territoriales Autónomas.</t>
  </si>
  <si>
    <t>Se ha reducido los delitos contra la vida, integridad y dignidad, contra la propiedad y accidentes de tránsito.</t>
  </si>
  <si>
    <t>Se ha logrado formar nuevos servidores públicos policiales post graduados a nivel de especialidad, diplomados y maestrías, en el modelo de Policía Comunitaria en todo el territorio nacional y con valores ético morales.</t>
  </si>
  <si>
    <t>Se ha reducido en 5% las tasas de criminalidad y violencia y se ha elevado la percepción de seguridad en un 10%, con la articulación del Sistema Nacional de Seguridad Ciudadana, con acciones preventivas a nivel nacional, especialmente para la población de regiones con mayor incidencia criminal y más vulnerable.</t>
  </si>
  <si>
    <t>Se ha incrementado en un 20% los operativos de interdicción al tráfico ilícito de sustancias controladas y se ha reducido en 5% la prevalencia de consumo de alcohol y otras drogas.</t>
  </si>
  <si>
    <t>Se cuenta con un sistema penitenciario con enfoque humanístico y se ha mejorado la situación de las personas privadas de libertad en términos de hacinamiento y habitabilidad en los centros penitenciarios, incluyendo infraestructura, equipamiento y tecnología..</t>
  </si>
  <si>
    <t>La mayoría de las personas en tránsito de y hacia el país son registradas en el Sistema Integral de Control Migratorio en línea y en tiempo real.</t>
  </si>
  <si>
    <t>Defensa Integral del Estado y Complementariedad en el Desarrollo Nacional</t>
  </si>
  <si>
    <t>Se han constituido las Fuerzas Armadas descolonizadas, despatriarcalizadas y al servicio del pueblo, con un nuevo marco normativo, mejoras en infraestructura y equipamiento militar.</t>
  </si>
  <si>
    <t>1104</t>
  </si>
  <si>
    <t>Se han fortalecido a las Fuerzas Armadas con radares y otro equipamiento para la seguridad y defensa nacional.</t>
  </si>
  <si>
    <t>Se ha fortalecido el rol social, productivo y de protección de la soberanía del Estado Plurinacional.</t>
  </si>
  <si>
    <t>Se cuenta con seguridad en fronteras, con presencia militar para la defensa de la soberanía del Estado y resguardo de los recursos naturales.</t>
  </si>
  <si>
    <t>Se ha implementado el sistema integrado de vigilancia aérea y control del espacio aéreo.</t>
  </si>
  <si>
    <t>Se ha implementado el Fondo de Defensa para las Fuerzas Armadas del Estado.</t>
  </si>
  <si>
    <t>Se ha consolidado el proceso autonómico de las Entidades Territoriales Autónomas con la aprobación e implementación de sus Estatutos Autonómico, Cartas Orgánicas y el autogobierno Indígena Originario Campesinos</t>
  </si>
  <si>
    <t>Se cuenta con más regiones metropolitanas constituidas y con planes articulados.</t>
  </si>
  <si>
    <t>Se han implementado de manera articulada entre los diferentes niveles de gobierno, los Planes Territoriales con los Planes Sectoriales, de mediano y largo plazo.</t>
  </si>
  <si>
    <t>Se han articulado al Gobierno Electrónico los GADs, GAMs y GAIOCs.</t>
  </si>
  <si>
    <t>Disfrute y felicidad</t>
  </si>
  <si>
    <t>Promover los derechos del pueblo boliviano y de la Madre Tierra para vivir en una sociedad justa, equitativa, sin pobreza.</t>
  </si>
  <si>
    <t>Las políticas públicas han sido elaboradas e implementadas en el marco del reconocimiento y respeto de los derechos de la madre tierra, derechos del pueblo boliviano a su desarrollo integral, de los pueblos indígenas originarios campesinos y de la población para vivir libre de la pobreza material, social y espiritual</t>
  </si>
  <si>
    <t>1201</t>
  </si>
  <si>
    <t>La población boliviana cumple con sus obligaciones y deberes hacia la Madre Tierra</t>
  </si>
  <si>
    <t>Se ha fortalecido el patrimonio y las expresiones culturales del pueblo boliviano en el territorio nacional y en el extranjero y su reconocimiento internacional.</t>
  </si>
  <si>
    <t>12.1.4</t>
  </si>
  <si>
    <t>12.1.330</t>
  </si>
  <si>
    <t>Se ha recuperado el patrimonio material del Estado Plurinacional, sustraído y/o enajenado</t>
  </si>
  <si>
    <t>Se han fortalecido las actividades y manifestaciones pluriculturales para mantener su vigencia y valor social aportando significativamente en la construcción del Estado Plurinacional</t>
  </si>
  <si>
    <t>Afectivo</t>
  </si>
  <si>
    <t>Felicidad</t>
  </si>
  <si>
    <t>Práctica y fortalecimiento de las virtudes humanas y solidarias para llevar una vida armoniosa.</t>
  </si>
  <si>
    <t>Saber ser y crecer. Recuperar y aceptar nuestras identidades a fin de tener armonía para la vida</t>
  </si>
  <si>
    <t>1202</t>
  </si>
  <si>
    <t>12.2.2</t>
  </si>
  <si>
    <t>12.2.333</t>
  </si>
  <si>
    <t>Saber aprender y pensar. Rescatar nuestros conocimientos, valores y sabidurías ancestrales</t>
  </si>
  <si>
    <t xml:space="preserve">Saber relacionarse. Construir nuestra identidad colectiva y cooperación armónica </t>
  </si>
  <si>
    <t>Saber Alimentarse. Recuperar hábitos sanos y nutritivos de consumo alimenticio</t>
  </si>
  <si>
    <t>12.2.5</t>
  </si>
  <si>
    <t>12.2.336</t>
  </si>
  <si>
    <t>Saber Trabajar. Fortalecer las relaciones de cooperación y el trabajo comunitario colectivo</t>
  </si>
  <si>
    <t>Saber danzar, reír, alegrarse y descansar. Promover tiempos y espacios de recreación, ocio y prácticas de expresión cultural</t>
  </si>
  <si>
    <t>Saber amar y ser amado. Construir  una sociedad con afectividad en todas sus expresiones</t>
  </si>
  <si>
    <t>Saber soñar. Proyectar ideales y anhelos en la construcción del Vivir Bien pleno.</t>
  </si>
  <si>
    <t>Saber comunicarse y escuchar. Promover el diálogo y complementariedad entre las personas y la sociedad.</t>
  </si>
  <si>
    <t>Se ha avanzado en la demanda de retorno al mar con puertos soberanos en el pacífico y con presencia institucional del Estado.</t>
  </si>
  <si>
    <t>Taller ajuste en Dimensiones SPIE</t>
  </si>
  <si>
    <t>Taller ajuste en Subdimen-siones SPIE</t>
  </si>
  <si>
    <t>Etiquetas de fila</t>
  </si>
  <si>
    <t>(en blanco)</t>
  </si>
  <si>
    <t>Total general</t>
  </si>
  <si>
    <t>ID_Pilar</t>
  </si>
  <si>
    <t>ID_Meta</t>
  </si>
  <si>
    <t>Se han construido 6 nuevas líneas de teleférico en las ciudades de La Paz y El Alto y nuevas líneas de transporte aéreo por cable en otras ciudades.</t>
  </si>
  <si>
    <t>0101001</t>
  </si>
  <si>
    <t>0101002</t>
  </si>
  <si>
    <t>0101003</t>
  </si>
  <si>
    <t>0101004</t>
  </si>
  <si>
    <t>0101005</t>
  </si>
  <si>
    <t>0101006</t>
  </si>
  <si>
    <t>0101007</t>
  </si>
  <si>
    <t>0101008</t>
  </si>
  <si>
    <t>0101009</t>
  </si>
  <si>
    <t>0101010</t>
  </si>
  <si>
    <t>0101011</t>
  </si>
  <si>
    <t>0101012</t>
  </si>
  <si>
    <t>0102013</t>
  </si>
  <si>
    <t>0102014</t>
  </si>
  <si>
    <t>0102015</t>
  </si>
  <si>
    <t>0102016</t>
  </si>
  <si>
    <t>0102017</t>
  </si>
  <si>
    <t>0102018</t>
  </si>
  <si>
    <t>0103019</t>
  </si>
  <si>
    <t>0103020</t>
  </si>
  <si>
    <t>0103021</t>
  </si>
  <si>
    <t>0103022</t>
  </si>
  <si>
    <t>0103023</t>
  </si>
  <si>
    <t>0104024</t>
  </si>
  <si>
    <t>0104025</t>
  </si>
  <si>
    <t>0104026</t>
  </si>
  <si>
    <t>0104027</t>
  </si>
  <si>
    <t>0104028</t>
  </si>
  <si>
    <t>0105029</t>
  </si>
  <si>
    <t>0105030</t>
  </si>
  <si>
    <t>0105031</t>
  </si>
  <si>
    <t>0105032</t>
  </si>
  <si>
    <t>0105033</t>
  </si>
  <si>
    <t>0105034</t>
  </si>
  <si>
    <t>0105035</t>
  </si>
  <si>
    <t>0106036</t>
  </si>
  <si>
    <t>0106037</t>
  </si>
  <si>
    <t>0106038</t>
  </si>
  <si>
    <t>0201039</t>
  </si>
  <si>
    <t>0201040</t>
  </si>
  <si>
    <t>0201041</t>
  </si>
  <si>
    <t>0201042</t>
  </si>
  <si>
    <t>0202043</t>
  </si>
  <si>
    <t>0202044</t>
  </si>
  <si>
    <t>0203045</t>
  </si>
  <si>
    <t>0203046</t>
  </si>
  <si>
    <t>0203047</t>
  </si>
  <si>
    <t>0204048</t>
  </si>
  <si>
    <t>0204049</t>
  </si>
  <si>
    <t>0204050</t>
  </si>
  <si>
    <t>0204051</t>
  </si>
  <si>
    <t>0204052</t>
  </si>
  <si>
    <t>0204053</t>
  </si>
  <si>
    <t>0204054</t>
  </si>
  <si>
    <t>0204055</t>
  </si>
  <si>
    <t>0204056</t>
  </si>
  <si>
    <t>0204057</t>
  </si>
  <si>
    <t>0204058</t>
  </si>
  <si>
    <t>0204059</t>
  </si>
  <si>
    <t>0204060</t>
  </si>
  <si>
    <t>0204061</t>
  </si>
  <si>
    <t>0204062</t>
  </si>
  <si>
    <t>0204063</t>
  </si>
  <si>
    <t>0204064</t>
  </si>
  <si>
    <t>0204065</t>
  </si>
  <si>
    <t>0204066</t>
  </si>
  <si>
    <t>0204067</t>
  </si>
  <si>
    <t>0204068</t>
  </si>
  <si>
    <t>0204069</t>
  </si>
  <si>
    <t>0205070</t>
  </si>
  <si>
    <t>0205071</t>
  </si>
  <si>
    <t>0205072</t>
  </si>
  <si>
    <t>0206073</t>
  </si>
  <si>
    <t>0206074</t>
  </si>
  <si>
    <t>0206075</t>
  </si>
  <si>
    <t>0301076</t>
  </si>
  <si>
    <t>0301077</t>
  </si>
  <si>
    <t>0301078</t>
  </si>
  <si>
    <t>0301079</t>
  </si>
  <si>
    <t>0301080</t>
  </si>
  <si>
    <t>0301081</t>
  </si>
  <si>
    <t>0301082</t>
  </si>
  <si>
    <t>0301083</t>
  </si>
  <si>
    <t>0301084</t>
  </si>
  <si>
    <t>0301085</t>
  </si>
  <si>
    <t>0301086</t>
  </si>
  <si>
    <t>0301087</t>
  </si>
  <si>
    <t>0302088</t>
  </si>
  <si>
    <t>0302089</t>
  </si>
  <si>
    <t>0302090</t>
  </si>
  <si>
    <t>0302091</t>
  </si>
  <si>
    <t>0302092</t>
  </si>
  <si>
    <t>0302093</t>
  </si>
  <si>
    <t>0303094</t>
  </si>
  <si>
    <t>0303095</t>
  </si>
  <si>
    <t>0303096</t>
  </si>
  <si>
    <t>0303097</t>
  </si>
  <si>
    <t>0303098</t>
  </si>
  <si>
    <t>0303099</t>
  </si>
  <si>
    <t>0303100</t>
  </si>
  <si>
    <t>0304101</t>
  </si>
  <si>
    <t>0304102</t>
  </si>
  <si>
    <t>0304103</t>
  </si>
  <si>
    <t>0304104</t>
  </si>
  <si>
    <t>0304105</t>
  </si>
  <si>
    <t>0304106</t>
  </si>
  <si>
    <t>0304107</t>
  </si>
  <si>
    <t>0304108</t>
  </si>
  <si>
    <t>0304109</t>
  </si>
  <si>
    <t>0304110</t>
  </si>
  <si>
    <t>0305111</t>
  </si>
  <si>
    <t>0306112</t>
  </si>
  <si>
    <t>0306113</t>
  </si>
  <si>
    <t>0306114</t>
  </si>
  <si>
    <t>0306115</t>
  </si>
  <si>
    <t>0306116</t>
  </si>
  <si>
    <t>0306117</t>
  </si>
  <si>
    <t>0306118</t>
  </si>
  <si>
    <t>0401119</t>
  </si>
  <si>
    <t>0401120</t>
  </si>
  <si>
    <t>0401121</t>
  </si>
  <si>
    <t>0401122</t>
  </si>
  <si>
    <t>0401123</t>
  </si>
  <si>
    <t>0401124</t>
  </si>
  <si>
    <t>0401125</t>
  </si>
  <si>
    <t>0401126</t>
  </si>
  <si>
    <t>0402127</t>
  </si>
  <si>
    <t>0403128</t>
  </si>
  <si>
    <t>0403129</t>
  </si>
  <si>
    <t>0404130</t>
  </si>
  <si>
    <t>0404131</t>
  </si>
  <si>
    <t>0404132</t>
  </si>
  <si>
    <t>0405133</t>
  </si>
  <si>
    <t>0405134</t>
  </si>
  <si>
    <t>0501135</t>
  </si>
  <si>
    <t>0501136</t>
  </si>
  <si>
    <t>0501137</t>
  </si>
  <si>
    <t>0502138</t>
  </si>
  <si>
    <t>0503139</t>
  </si>
  <si>
    <t>0503140</t>
  </si>
  <si>
    <t>0504141</t>
  </si>
  <si>
    <t>0505142</t>
  </si>
  <si>
    <t>0505143</t>
  </si>
  <si>
    <t>0505144</t>
  </si>
  <si>
    <t>0505145</t>
  </si>
  <si>
    <t>0601146</t>
  </si>
  <si>
    <t>0601147</t>
  </si>
  <si>
    <t>0602148</t>
  </si>
  <si>
    <t>0602149</t>
  </si>
  <si>
    <t>0602150</t>
  </si>
  <si>
    <t>0602151</t>
  </si>
  <si>
    <t>0602152</t>
  </si>
  <si>
    <t>0602153</t>
  </si>
  <si>
    <t>0602154</t>
  </si>
  <si>
    <t>0603155</t>
  </si>
  <si>
    <t>0603156</t>
  </si>
  <si>
    <t>0603157</t>
  </si>
  <si>
    <t>0603158</t>
  </si>
  <si>
    <t>0603159</t>
  </si>
  <si>
    <t>0604160</t>
  </si>
  <si>
    <t>0604161</t>
  </si>
  <si>
    <t>0604162</t>
  </si>
  <si>
    <t>0604163</t>
  </si>
  <si>
    <t>0605164</t>
  </si>
  <si>
    <t>0605165</t>
  </si>
  <si>
    <t>0605166</t>
  </si>
  <si>
    <t>0605167</t>
  </si>
  <si>
    <t>0606168</t>
  </si>
  <si>
    <t>0606169</t>
  </si>
  <si>
    <t>0606170</t>
  </si>
  <si>
    <t>0607171</t>
  </si>
  <si>
    <t>0607172</t>
  </si>
  <si>
    <t>0607173</t>
  </si>
  <si>
    <t>0607174</t>
  </si>
  <si>
    <t>0607175</t>
  </si>
  <si>
    <t>0608176</t>
  </si>
  <si>
    <t>0608177</t>
  </si>
  <si>
    <t>0608178</t>
  </si>
  <si>
    <t>0609179</t>
  </si>
  <si>
    <t>0609180</t>
  </si>
  <si>
    <t>0609181</t>
  </si>
  <si>
    <t>0609182</t>
  </si>
  <si>
    <t>0609183</t>
  </si>
  <si>
    <t>0609184</t>
  </si>
  <si>
    <t>06010185</t>
  </si>
  <si>
    <t>06010186</t>
  </si>
  <si>
    <t>06011187</t>
  </si>
  <si>
    <t>06011188</t>
  </si>
  <si>
    <t>06012189</t>
  </si>
  <si>
    <t>06012190</t>
  </si>
  <si>
    <t>06012191</t>
  </si>
  <si>
    <t>0701192</t>
  </si>
  <si>
    <t>0701193</t>
  </si>
  <si>
    <t>0701194</t>
  </si>
  <si>
    <t>0701195</t>
  </si>
  <si>
    <t>0702196</t>
  </si>
  <si>
    <t>0702197</t>
  </si>
  <si>
    <t>0702198</t>
  </si>
  <si>
    <t>0702199</t>
  </si>
  <si>
    <t>0702200</t>
  </si>
  <si>
    <t>0702201</t>
  </si>
  <si>
    <t>0702202</t>
  </si>
  <si>
    <t>0702203</t>
  </si>
  <si>
    <t>0702204</t>
  </si>
  <si>
    <t>0702205</t>
  </si>
  <si>
    <t>0702206</t>
  </si>
  <si>
    <t>0702207</t>
  </si>
  <si>
    <t>0702208</t>
  </si>
  <si>
    <t>0702209</t>
  </si>
  <si>
    <t>0702210</t>
  </si>
  <si>
    <t>0702211</t>
  </si>
  <si>
    <t>0702212</t>
  </si>
  <si>
    <t>0702213</t>
  </si>
  <si>
    <t>0702214</t>
  </si>
  <si>
    <t>0702215</t>
  </si>
  <si>
    <t>0702216</t>
  </si>
  <si>
    <t>0702217</t>
  </si>
  <si>
    <t>0702218</t>
  </si>
  <si>
    <t>0702219</t>
  </si>
  <si>
    <t>0702220</t>
  </si>
  <si>
    <t>0801221</t>
  </si>
  <si>
    <t>0801222</t>
  </si>
  <si>
    <t>0801223</t>
  </si>
  <si>
    <t>0801224</t>
  </si>
  <si>
    <t>0801225</t>
  </si>
  <si>
    <t>0801226</t>
  </si>
  <si>
    <t>0802227</t>
  </si>
  <si>
    <t>0802228</t>
  </si>
  <si>
    <t>0802229</t>
  </si>
  <si>
    <t>0802230</t>
  </si>
  <si>
    <t>0803231</t>
  </si>
  <si>
    <t>0803232</t>
  </si>
  <si>
    <t>0803233</t>
  </si>
  <si>
    <t>0803234</t>
  </si>
  <si>
    <t>0803235</t>
  </si>
  <si>
    <t>0804236</t>
  </si>
  <si>
    <t>0804237</t>
  </si>
  <si>
    <t>0804238</t>
  </si>
  <si>
    <t>0804239</t>
  </si>
  <si>
    <t>0805240</t>
  </si>
  <si>
    <t>0805241</t>
  </si>
  <si>
    <t>0901242</t>
  </si>
  <si>
    <t>0901243</t>
  </si>
  <si>
    <t>0902244</t>
  </si>
  <si>
    <t>0902245</t>
  </si>
  <si>
    <t>0903246</t>
  </si>
  <si>
    <t>0903247</t>
  </si>
  <si>
    <t>0903248</t>
  </si>
  <si>
    <t>0903249</t>
  </si>
  <si>
    <t>0903250</t>
  </si>
  <si>
    <t>0904251</t>
  </si>
  <si>
    <t>0904252</t>
  </si>
  <si>
    <t>0904253</t>
  </si>
  <si>
    <t>0904254</t>
  </si>
  <si>
    <t>0905255</t>
  </si>
  <si>
    <t>0905256</t>
  </si>
  <si>
    <t>0905257</t>
  </si>
  <si>
    <t>0905258</t>
  </si>
  <si>
    <t>0905259</t>
  </si>
  <si>
    <t>0905260</t>
  </si>
  <si>
    <t>0905261</t>
  </si>
  <si>
    <t>0906262</t>
  </si>
  <si>
    <t>0906263</t>
  </si>
  <si>
    <t>0906264</t>
  </si>
  <si>
    <t>0907265</t>
  </si>
  <si>
    <t>0907266</t>
  </si>
  <si>
    <t>0907267</t>
  </si>
  <si>
    <t>0907268</t>
  </si>
  <si>
    <t>0907269</t>
  </si>
  <si>
    <t>0907270</t>
  </si>
  <si>
    <t>0907271</t>
  </si>
  <si>
    <t>0908272</t>
  </si>
  <si>
    <t>0908273</t>
  </si>
  <si>
    <t>0908274</t>
  </si>
  <si>
    <t>0908275</t>
  </si>
  <si>
    <t>0908276</t>
  </si>
  <si>
    <t>0908277</t>
  </si>
  <si>
    <t>1001278</t>
  </si>
  <si>
    <t>1002279</t>
  </si>
  <si>
    <t>1002280</t>
  </si>
  <si>
    <t>1003281</t>
  </si>
  <si>
    <t>1003282</t>
  </si>
  <si>
    <t>1003283</t>
  </si>
  <si>
    <t>1003284</t>
  </si>
  <si>
    <t>1004285</t>
  </si>
  <si>
    <t>1004286</t>
  </si>
  <si>
    <t>1004287</t>
  </si>
  <si>
    <t>1004288</t>
  </si>
  <si>
    <t>1004289</t>
  </si>
  <si>
    <t>1005290</t>
  </si>
  <si>
    <t>1005291</t>
  </si>
  <si>
    <t>1005292</t>
  </si>
  <si>
    <t>1006293</t>
  </si>
  <si>
    <t>1006294</t>
  </si>
  <si>
    <t>1006295</t>
  </si>
  <si>
    <t>1101296</t>
  </si>
  <si>
    <t>1101297</t>
  </si>
  <si>
    <t>1101298</t>
  </si>
  <si>
    <t>1101299</t>
  </si>
  <si>
    <t>1101300</t>
  </si>
  <si>
    <t>1101301</t>
  </si>
  <si>
    <t>1101302</t>
  </si>
  <si>
    <t>1102303</t>
  </si>
  <si>
    <t>1102304</t>
  </si>
  <si>
    <t>1102305</t>
  </si>
  <si>
    <t>1102306</t>
  </si>
  <si>
    <t>1102307</t>
  </si>
  <si>
    <t>1103308</t>
  </si>
  <si>
    <t>1103309</t>
  </si>
  <si>
    <t>1103310</t>
  </si>
  <si>
    <t>1103311</t>
  </si>
  <si>
    <t>1103312</t>
  </si>
  <si>
    <t>1103313</t>
  </si>
  <si>
    <t>1103314</t>
  </si>
  <si>
    <t>1103315</t>
  </si>
  <si>
    <t>1103316</t>
  </si>
  <si>
    <t>1104317</t>
  </si>
  <si>
    <t>1104318</t>
  </si>
  <si>
    <t>1104319</t>
  </si>
  <si>
    <t>1104320</t>
  </si>
  <si>
    <t>1104321</t>
  </si>
  <si>
    <t>1104322</t>
  </si>
  <si>
    <t>1105323</t>
  </si>
  <si>
    <t>1105324</t>
  </si>
  <si>
    <t>1105325</t>
  </si>
  <si>
    <t>1105326</t>
  </si>
  <si>
    <t>1201327</t>
  </si>
  <si>
    <t>1201328</t>
  </si>
  <si>
    <t>1201329</t>
  </si>
  <si>
    <t>1201330</t>
  </si>
  <si>
    <t>1201331</t>
  </si>
  <si>
    <t>1202332</t>
  </si>
  <si>
    <t>1202333</t>
  </si>
  <si>
    <t>1202334</t>
  </si>
  <si>
    <t>1202335</t>
  </si>
  <si>
    <t>1202336</t>
  </si>
  <si>
    <t>1202337</t>
  </si>
  <si>
    <t>1202338</t>
  </si>
  <si>
    <t>1202339</t>
  </si>
  <si>
    <t>1202340</t>
  </si>
  <si>
    <t>1301341</t>
  </si>
  <si>
    <t>(Varios elementos)</t>
  </si>
  <si>
    <t>Macro Sector (PDES) - Clasificación por Pilares del PDES</t>
  </si>
  <si>
    <t>Subsector (PDES) - Clasificación por Pilares del PDES</t>
  </si>
  <si>
    <t>Dimensiones SPIE</t>
  </si>
  <si>
    <t>Subdimensiones SPIE</t>
  </si>
  <si>
    <t>RESULTADOS PRIORIZADOS Propuesta DG-SPIE</t>
  </si>
  <si>
    <t>Clasificación de Resultado/Producto/Proceso</t>
  </si>
  <si>
    <t>Cuenta de No existe línea base</t>
  </si>
  <si>
    <t>Cuenta de Existe indicador calculado para reportar</t>
  </si>
  <si>
    <t>Cuenta de Se puede reportar a medio término (Mayo 2018)</t>
  </si>
  <si>
    <t xml:space="preserve">Cuenta de Sólo LB - No se puede reportar con frecuencia </t>
  </si>
  <si>
    <t xml:space="preserve">Cuenta de Se pudo reportar en el  2017 </t>
  </si>
  <si>
    <t>Cuenta de Existe Ficha de Cadenas de Indicadores</t>
  </si>
  <si>
    <t>Cuenta de Resultados de 2do Orden</t>
  </si>
  <si>
    <t>Cuenta de Resultados de 1er Orden</t>
  </si>
  <si>
    <t>Cuenta de 1er ORDEN - 1ra ETAPA</t>
  </si>
  <si>
    <t>Cuenta de 2do ORDEN - 1ra ETAPA</t>
  </si>
  <si>
    <t>Cuenta de 1er ORDEN - 2da ETAPA</t>
  </si>
  <si>
    <t>Cuenta de 2do ORDEN - 2da ETAPA</t>
  </si>
  <si>
    <t>Cuenta de 2do ORDEN - 3ra ETAPA</t>
  </si>
  <si>
    <t>NOMBRE DE LA ESTADISTICA O INDICADOR EN EL PDES:</t>
  </si>
  <si>
    <t>Indicador PDES</t>
  </si>
  <si>
    <t>Relación ODS</t>
  </si>
  <si>
    <t>Pilar:</t>
  </si>
  <si>
    <t>             </t>
  </si>
  <si>
    <t>Objetivo:</t>
  </si>
  <si>
    <t>                  </t>
  </si>
  <si>
    <t>Meta:</t>
  </si>
  <si>
    <t>Resultado:</t>
  </si>
  <si>
    <t>Indicador:</t>
  </si>
  <si>
    <t>Definición:</t>
  </si>
  <si>
    <t>Unidad de Medida:</t>
  </si>
  <si>
    <t>Periodicidad:</t>
  </si>
  <si>
    <t>Cobertura Geográfica:</t>
  </si>
  <si>
    <t>Cobertura Poblacional:</t>
  </si>
  <si>
    <t>Limitaciones:</t>
  </si>
  <si>
    <t>MÉTODO DE CÁLCULO</t>
  </si>
  <si>
    <t>Fórmula de Calculo :</t>
  </si>
  <si>
    <t>Parámetros de Fórmula :</t>
  </si>
  <si>
    <t>Nombre de la Fuente de Información :</t>
  </si>
  <si>
    <t>Tipo de la Fuente de Información:</t>
  </si>
  <si>
    <t>Fuente:</t>
  </si>
  <si>
    <t>      </t>
  </si>
  <si>
    <t>Institución Responsable:</t>
  </si>
  <si>
    <t>REFERENCIAS INSTITUCIONALES:</t>
  </si>
  <si>
    <t>NUMERADOR</t>
  </si>
  <si>
    <t>Institución:</t>
  </si>
  <si>
    <t>Dirección:</t>
  </si>
  <si>
    <t>DENOMINADOR</t>
  </si>
  <si>
    <t>Institucion:</t>
  </si>
  <si>
    <t>Direccion:</t>
  </si>
  <si>
    <t>OTRO...</t>
  </si>
  <si>
    <t>Observaciones:</t>
  </si>
  <si>
    <t>Fecha de la próxima recolección de datos</t>
  </si>
  <si>
    <t>Nivel geográfico </t>
  </si>
  <si>
    <t>FORMULARIO EDICION FORMULARIO PDES</t>
  </si>
  <si>
    <r>
      <t>ENTIDAD:</t>
    </r>
    <r>
      <rPr>
        <sz val="11"/>
        <color theme="1"/>
        <rFont val="Trebuchet MS"/>
        <family val="2"/>
      </rPr>
      <t>                                                                                                                                                                                                                                                                                                          </t>
    </r>
  </si>
  <si>
    <t>ESTADO: </t>
  </si>
  <si>
    <t>Tipo Indicador:  </t>
  </si>
  <si>
    <t>Descripcion:</t>
  </si>
  <si>
    <t>Disponibilidad:    Ámbito Geográfico:    </t>
  </si>
  <si>
    <t>Nombre de la fuente de datos *</t>
  </si>
  <si>
    <t>Abreviatura de la Fuente de datos *</t>
  </si>
  <si>
    <t>Tipo de Fuente de Datos  *</t>
  </si>
  <si>
    <t>Institución productora</t>
  </si>
  <si>
    <t>Frecuencia de Recolección de Datos*</t>
  </si>
  <si>
    <t>Serie Disponible</t>
  </si>
  <si>
    <t>Variables de desagregación</t>
  </si>
  <si>
    <r>
      <rPr>
        <b/>
        <sz val="11"/>
        <rFont val="Calibri"/>
        <family val="2"/>
        <scheme val="minor"/>
      </rPr>
      <t xml:space="preserve">   ETAPA DEL RESULTADO
</t>
    </r>
    <r>
      <rPr>
        <b/>
        <sz val="10"/>
        <rFont val="Calibri"/>
        <family val="2"/>
        <scheme val="minor"/>
      </rPr>
      <t xml:space="preserve">
</t>
    </r>
    <r>
      <rPr>
        <b/>
        <sz val="8"/>
        <rFont val="Calibri"/>
        <family val="2"/>
        <scheme val="minor"/>
      </rPr>
      <t>(ETAPA 1 = Resultados de 1er Orden con viabilidad técnica a Jun/2018 + ODS compatibles con PDES
ETAPA 2 = Resultados de 2do Orden con viabilidad técnica parcial a Dic/2018 o Jun/2019
ETAPA 3 = Resultados de 1er y 2do Orden sin línea base, sin fuente de datos y/o baja frecuencia de recolección de datos)</t>
    </r>
  </si>
  <si>
    <r>
      <rPr>
        <b/>
        <sz val="11"/>
        <color rgb="FF000000"/>
        <rFont val="Calibri"/>
        <family val="2"/>
        <scheme val="minor"/>
      </rPr>
      <t xml:space="preserve">CLASIFICACIÓN POR TIPO DE RESULTADO PDES
</t>
    </r>
    <r>
      <rPr>
        <b/>
        <sz val="10"/>
        <color rgb="FF000000"/>
        <rFont val="Calibri"/>
        <family val="2"/>
        <scheme val="minor"/>
      </rPr>
      <t xml:space="preserve">
(RS = Resultado
PD = Producto
PC = Proceso)</t>
    </r>
  </si>
  <si>
    <t>Etapa 1</t>
  </si>
  <si>
    <t>Etapa 2</t>
  </si>
  <si>
    <t>(Todas)</t>
  </si>
  <si>
    <t>020048r</t>
  </si>
  <si>
    <t>100281r</t>
  </si>
  <si>
    <t>Etapa 3</t>
  </si>
  <si>
    <t>NOMBRE DE FUENTE DE DATOS</t>
  </si>
  <si>
    <t>COBERTURA  GEOGRÁFICA DE LA OP. ESTADÍSTICA</t>
  </si>
  <si>
    <t xml:space="preserve">NIVEL DE REPRESENTATIVIDAD DE LOS DATOS </t>
  </si>
  <si>
    <t>Registro Administrativo</t>
  </si>
  <si>
    <t>SERIE DISPONIBLE DEL INDICADOR</t>
  </si>
  <si>
    <t>TIPO DE FUENTE DE DATOS
(Encuesta,
Censo, 
Registro Administrativo)</t>
  </si>
  <si>
    <t>NOMBRE DE INDICADOR</t>
  </si>
  <si>
    <t>UNIDAD DE MEDIDA DEL INDICADOR</t>
  </si>
  <si>
    <t>SERIE DISPONIBLE DE DATOS</t>
  </si>
  <si>
    <t>Directa</t>
  </si>
  <si>
    <t>Parcial</t>
  </si>
  <si>
    <t>ID META ODS</t>
  </si>
  <si>
    <t>RELACIÓN PDES A ODS</t>
  </si>
  <si>
    <t>1.1</t>
  </si>
  <si>
    <t>1.2</t>
  </si>
  <si>
    <t>CAMPOS DE FICHA de FUENTE DE DATOS</t>
  </si>
  <si>
    <t xml:space="preserve">RESULTADOS PRIORIZADOS Taller DG-SPIE </t>
  </si>
  <si>
    <t>ENTREGA DE INFORMACIÓN</t>
  </si>
  <si>
    <r>
      <t xml:space="preserve"> META ODS
</t>
    </r>
    <r>
      <rPr>
        <b/>
        <sz val="8"/>
        <rFont val="Calibri"/>
        <family val="2"/>
        <scheme val="minor"/>
      </rPr>
      <t>(Seleccionar la Meta/Objetivo ODS con la que se vincula el Resultado PDES y su indicador)</t>
    </r>
  </si>
  <si>
    <t xml:space="preserve">PRINCIPALES VARIABLES DE LA FUENTE DE DATOS
</t>
  </si>
  <si>
    <t xml:space="preserve">DEFINICIÓN DEL INDICADOR (DESCRIPCION)
</t>
  </si>
  <si>
    <t>Numerador (descripción)</t>
  </si>
  <si>
    <t>OBSERVACIONES A LA FUENTE DE DATOS
(Detallar el alcance del indicador u aspectos relevantes a considerar para su uso)</t>
  </si>
  <si>
    <t xml:space="preserve">CALCULO DEL INDICADOR 
(Si estuviera disponible detallar la Fórmula y los parámetros de la fórmula: Nominador, Denominador) </t>
  </si>
  <si>
    <t>Fuente del Numerador</t>
  </si>
  <si>
    <t>Denominador (descripción)</t>
  </si>
  <si>
    <t>Fuente del Denominador</t>
  </si>
  <si>
    <r>
      <t xml:space="preserve">META 
2030
</t>
    </r>
    <r>
      <rPr>
        <sz val="8"/>
        <color theme="0"/>
        <rFont val="Calibri"/>
        <family val="2"/>
        <scheme val="minor"/>
      </rPr>
      <t>(Meta Agenda ODS 2030)</t>
    </r>
  </si>
  <si>
    <r>
      <t xml:space="preserve">BRECHA AL 2020
</t>
    </r>
    <r>
      <rPr>
        <sz val="8"/>
        <color theme="0"/>
        <rFont val="Calibri"/>
        <family val="2"/>
        <scheme val="minor"/>
      </rPr>
      <t>(Meta PDES 2020 - Línea Base)</t>
    </r>
  </si>
  <si>
    <r>
      <t xml:space="preserve">PLAZO EN AÑOS
</t>
    </r>
    <r>
      <rPr>
        <sz val="8"/>
        <color theme="0"/>
        <rFont val="Calibri"/>
        <family val="2"/>
        <scheme val="minor"/>
      </rPr>
      <t>(Plazo en el que se debe alcanzar la meta 2020 del indicador)</t>
    </r>
  </si>
  <si>
    <r>
      <t xml:space="preserve">VARIABLES DE DESAGREGACIÓN DEL INDICADOR
(Ej. </t>
    </r>
    <r>
      <rPr>
        <b/>
        <sz val="10"/>
        <color rgb="FF66FFCC"/>
        <rFont val="Calibri"/>
        <family val="2"/>
        <scheme val="minor"/>
      </rPr>
      <t>Sexo</t>
    </r>
    <r>
      <rPr>
        <b/>
        <sz val="10"/>
        <color theme="0"/>
        <rFont val="Calibri"/>
        <family val="2"/>
        <scheme val="minor"/>
      </rPr>
      <t xml:space="preserve">, Edad, Área Geográfica, etc.) </t>
    </r>
  </si>
  <si>
    <t>Departamento</t>
  </si>
  <si>
    <t>PERIODICIDAD
(Frecuencia con que se recopilan los datos)</t>
  </si>
  <si>
    <t>Impacto</t>
  </si>
  <si>
    <r>
      <t xml:space="preserve">ESTADO DE REVISIÓN INE
</t>
    </r>
    <r>
      <rPr>
        <b/>
        <sz val="8"/>
        <rFont val="Calibri"/>
        <family val="2"/>
        <scheme val="minor"/>
      </rPr>
      <t xml:space="preserve">
(Opción de hacer comentarios en cada Campo y de dar el VoBo para su validación)</t>
    </r>
    <r>
      <rPr>
        <b/>
        <sz val="10"/>
        <rFont val="Calibri"/>
        <family val="2"/>
        <scheme val="minor"/>
      </rPr>
      <t xml:space="preserve">
</t>
    </r>
    <r>
      <rPr>
        <b/>
        <sz val="8"/>
        <rFont val="Calibri"/>
        <family val="2"/>
        <scheme val="minor"/>
      </rPr>
      <t>Detallar: 
Modificar
Verificar
Eliminar
Aprobado</t>
    </r>
  </si>
  <si>
    <r>
      <t xml:space="preserve">ESTADO DE REVISIÓN UDAPE
</t>
    </r>
    <r>
      <rPr>
        <b/>
        <sz val="8"/>
        <rFont val="Calibri"/>
        <family val="2"/>
        <scheme val="minor"/>
      </rPr>
      <t>(Opción de hacer comentarios en cada Campo y de dar el VoBo para su validación)
Detallar: 
Modificar
Verificar
Eliminar
Aprobado</t>
    </r>
  </si>
  <si>
    <r>
      <t xml:space="preserve">ESTADO DE REVISIÓN VPC
</t>
    </r>
    <r>
      <rPr>
        <b/>
        <sz val="8"/>
        <rFont val="Calibri"/>
        <family val="2"/>
        <scheme val="minor"/>
      </rPr>
      <t>(Opción de hacer comentarios en cada Campo y de dar el VoBo para su validación)
Detallar: 
Modificar
Verificar
Eliminar
Aprobado</t>
    </r>
  </si>
  <si>
    <t>REVISIÓN DE METADATOS DE INDICADORES</t>
  </si>
  <si>
    <t>FRECUENCIA DE REPORTE DEL INDICADOR</t>
  </si>
  <si>
    <t>01</t>
  </si>
  <si>
    <t>02</t>
  </si>
  <si>
    <t>03</t>
  </si>
  <si>
    <t>04</t>
  </si>
  <si>
    <t>06</t>
  </si>
  <si>
    <t>07</t>
  </si>
  <si>
    <t>08</t>
  </si>
  <si>
    <t>09</t>
  </si>
  <si>
    <t>10</t>
  </si>
  <si>
    <t>11</t>
  </si>
  <si>
    <t>1.2.1 Proporción de la población que vive por debajo del umbral nacional de la pobreza, desglosada por sexo y grupo de edad</t>
  </si>
  <si>
    <t>1.4.1 Proporción de la población que vive en hogares con acceso a servicios básicos</t>
  </si>
  <si>
    <t>5.5 Asegurar la participación plena y efectiva de las mujeres y la igualdad de oportunidades de liderazgo a todos los niveles decisorios en la vida política, económica y pública
5.c Aprobar y fortalecer políticas acertadas y leyes aplicables para promover la igualdad de género y el empoderamiento de todas las mujeres y las niñas a todos los niveles</t>
  </si>
  <si>
    <t>5.5.1 Proporción de escaños ocupados por mujeres en los parlamentos nacionales y los gobiernos locales
5.5.2 Proporción de mujeres en cargos directivos
5.c.1 Porcentaje de países que cuentan con sistemas para dar seguimiento a la igualdad de género y el empoderamiento de la mujer y asignar fondos públicos para ese fin</t>
  </si>
  <si>
    <t>10.7.3* Número de víctimas detectadas y no detectadas de la trata de personas por cada 100.000 habitantes, por sexo, grupo de edad y tipo de explotación</t>
  </si>
  <si>
    <t>10.3 Garantizar la igualdad de oportunidades y reducir la desigualdad de resultados, incluso eliminando las leyes, políticas y prácticas discriminatorias y promoviendo legislaciones, políticas y medidas adecuadas a ese respecto</t>
  </si>
  <si>
    <t>10.3.1 Porcentaje de la población que declara haberse sentido personalmente víctima de discriminación o acoso en los últimos 12 meses por motivos de discriminación prohibidos por el derecho internacional de los derechos humanos</t>
  </si>
  <si>
    <t>5.2 Eliminar todas las formas de violencia contra todas las mujeres y las niñas en los ámbitos público y privado, incluidas la trata y la explotación sexual y otros tipos de explotación</t>
  </si>
  <si>
    <t>5.2.1 Proporción de mujeres y niñas de 15 años de edad o más que han sufrido en los 12 últimos meses violencia física, sexual o psicológica infligida por un compañero íntimo actual o anterior, por la forma de violencia y por grupo de edad
5.2.2 Proporción de mujeres y niñas de 15 años de edad o más que han sufrido en los últimos 12 meses violencia sexual infligida por otra persona que no sea un compañero íntimo, por grupo de edad y lugar del hecho</t>
  </si>
  <si>
    <t>3.5 Fortalecer la prevención y el tratamiento del abuso de sustancias adictivas, incluido el uso indebido de estupefacientes y el consumo nocivo de alcohol</t>
  </si>
  <si>
    <t>3.5.2 Consumo nocivo de alcohol, definido según el contexto nacional como el consumo per cápita de alcohol (15 años y mayores) en un año civil en litros de alcohol puro</t>
  </si>
  <si>
    <t>5.5 Asegurar la participación plena y efectiva de las mujeres y la igualdad de oportunidades de liderazgo a todos los niveles decisorios en la vida política, económica y pública</t>
  </si>
  <si>
    <t>5.5.1 Proporción de escaños ocupados por mujeres en los parlamentos nacionales y los gobiernos locales
5.5.2 Proporción de mujeres en cargos directivos</t>
  </si>
  <si>
    <t>6.1 De aquí a 2030, lograr el acceso universal y equitativo al agua potable a un precio asequible para todos</t>
  </si>
  <si>
    <t>6.1.1 Porcentaje de la población que dispone de servicios de suministro de agua potable gestionados de manera segura</t>
  </si>
  <si>
    <t>6.2 De aquí a 2030, lograr el acceso a servicios de saneamiento e higiene adecuados y equitativos para todos y poner fin a la defecación al aire libre, prestando especial atención a las necesidades de las mujeres y las niñas y las personas en situaciones de vulnerabilidad</t>
  </si>
  <si>
    <t>6.2.1 Porcentaje de la población que utiliza servicios de saneamiento gestionados de manera segura, incluida una instalación para lavarse las manos con agua y jabón</t>
  </si>
  <si>
    <t>7.1 De aquí a 2030, garantizar el acceso universal a servicios energéticos asequibles, fiables y modernos</t>
  </si>
  <si>
    <t xml:space="preserve">7.1.1 Porcentaje de la población que tiene acceso a la electricidad
7.1.2 Porcentaje de la población cuya fuente primaria de energía consiste en combustibles y tecnología limpios
</t>
  </si>
  <si>
    <t>9.1 Desarrollar infraestructuras fiables, sostenibles, resilientes y de calidad, incluidas infraestructuras regionales y transfronterizas, para apoyar el desarrollo económico y el bienestar humano, haciendo especial hincapié en el acceso asequible y equitativo para todos</t>
  </si>
  <si>
    <t>3.8 Lograr la cobertura sanitaria universal, incluida la protección contra los riesgos financieros, el acceso a servicios de salud esenciales de calidad y el acceso a medicamentos y vacunas inocuos, eficaces, asequibles y de calidad para todos</t>
  </si>
  <si>
    <t>3.b.1 Proporción de la población con acceso sostenible a medicamentos y vacunas esenciales a precios asequibles</t>
  </si>
  <si>
    <t>3.2 De aquí a 2030, poner fin a las muertes evitables de recién nacidos y de niños menores de 5 años, logrando que todos los países intenten reducir la mortalidad neonatal al menos a 12 por cada 1.000 nacidos vivos y la mortalidad de los niños menores de 5 años al menos a 25 por cada 1.000 nacidos vivos</t>
  </si>
  <si>
    <t>3.7.2 Tasa de natalidad entre las adolescentes (de 10 a 14 años; de 15 a 19 años) por cada 1.000 mujeres de ese grupo de edad</t>
  </si>
  <si>
    <t>De aquí a 2030, duplicar la productividad agrícola y los ingresos de los productores de alimentos en pequeña escala, en particular las mujeres, los pueblos indígenas, los agricultores familiares, los ganaderos y los pescadores, entre otras cosas mediante un acceso seguro y equitativo a las tierras, a otros recursos e insumos de producción y a los conocimientos, los servicios financieros, los mercados y las oportunidades para añadir valor y obtener empleos no agrícolas</t>
  </si>
  <si>
    <t>9.3.2 Porcentaje de las industrias a pequeña escala que han obtenido un préstamo o una línea de crédito</t>
  </si>
  <si>
    <t>12.b Elaborar y aplicar instrumentos para vigilar los efectos en el desarrollo sostenible, a fin de lograr un turismo sostenible que cree puestos de trabajo y promueva la cultura y los productos locales</t>
  </si>
  <si>
    <t>2.4 De aquí a 2030, asegurar la sostenibilidad de los sistemas de producción de alimentos y aplicar prácticas agrícolas resilientes que aumenten la productividad y la producción, contribuyan al mantenimiento de los ecosistemas, fortalezcan la capacidad de adaptación al cambio climático, los fenómenos meteorológicos extremos, las sequías, las inundaciones y otros desastres, y mejoren progresivamente la calidad de la tierra y el suelo</t>
  </si>
  <si>
    <t>2.3 De aquí a 2030, duplicar la productividad agrícola y los ingresos de los productores de alimentos en pequeña escala, en particular las mujeres, los pueblos indígenas, los agricultores familiares, los ganaderos y los pescadores, entre otras cosas mediante un acceso seguro y equitativo a las tierras, a otros recursos e insumos de producción y a los conocimientos, los servicios financieros, los mercados y las oportunidades para añadir valor y obtener empleos no agrícolas</t>
  </si>
  <si>
    <t>15.1 De aquí a 2020, asegurar la conservación, el restablecimiento y el uso sostenible de los ecosistemas terrestres y los ecosistemas interiores de agua dulce y sus servicios, en particular los bosques, los humedales, las montañas y las zonas áridas, en consonancia con las obligaciones contraídas en virtud de acuerdos internacionales</t>
  </si>
  <si>
    <t>15.1.1* Superficie forestal como porcentaje de la superficie total</t>
  </si>
  <si>
    <t>7.b De aquí a 2030, ampliar la infraestructura y mejorar la tecnología para prestar servicios energéticos modernos y sostenibles para todos en los países en desarrollo, en particular los países menos adelantados, los pequeños Estados insulares en desarrollo y los países en desarrollo sin litoral, en consonancia con sus respectivos programas de apoyo</t>
  </si>
  <si>
    <t>2.2 De aquí a 2030, poner fin a todas las formas de malnutrición, incluso logrando, a más tardar en 2025, las metas convenidas internacionalmente sobre el retraso del crecimiento y la emaciación de los niños menores de 5 años, y abordar las necesidades de nutrición de las adolescentes, las mujeres embarazadas y lactantes y las personas de edad</t>
  </si>
  <si>
    <t>2.5 De aquí a 2020, mantener la diversidad genética de las semillas, las plantas cultivadas y los animales de granja y domesticados y sus correspondientes especies silvestres, entre otras cosas mediante una buena gestión y diversificación de los bancos de semillas y plantas a nivel nacional, regional e internacional, y promover el acceso a los beneficios que se deriven de la utilización de los recursos genéticos y los conocimientos tradicionales conexos y su distribución justa y equitativa, según lo convenido internacionalmente</t>
  </si>
  <si>
    <t>15.2 De aquí a 2020, promover la puesta en práctica de la gestión sostenible de todos los tipos de bosques, detener la deforestación, recuperar los bosques degradados y aumentar considerablemente la forestación y la reforestación a nivel mundial</t>
  </si>
  <si>
    <t>15.2.1* Cubierta forestal en el marco de la ordenación sostenible de los bosques
15.2.2 Pérdida neta permanente de bosques</t>
  </si>
  <si>
    <t xml:space="preserve">15.2.1* Cubierta forestal en el marco de la ordenación sostenible de los bosques
</t>
  </si>
  <si>
    <t>17.10 Promover un sistema de comercio multilateral universal, basado en normas, abierto, no discriminatorio y equitativo en el marco de la Organización Mundial del Comercio, incluso mediante la conclusión de las negociaciones en el marco del Programa de Doha para el Desarrollo</t>
  </si>
  <si>
    <t>17.10.1 Promedio arancelario ponderado en todo el mundo</t>
  </si>
  <si>
    <t>16.5 Reducir considerablemente la corrupción y el soborno en todas sus formas</t>
  </si>
  <si>
    <t>16.6 Crear a todos los niveles instituciones eficaces y transparentes que rindan cuentas</t>
  </si>
  <si>
    <t>16.3 Promover el estado de derecho en los planos nacional e internacional y garantizar la igualdad de acceso a la justicia para todos</t>
  </si>
  <si>
    <t>16.3.2 Detenidos que no han sido sentenciados como porcentaje de la población carcelaria total</t>
  </si>
  <si>
    <t>16.3.1* Porcentaje de las víctimas de violencia en los 12 meses anteriores que notificaron su victimización a las autoridades competentes u otros mecanismos de resolución de conflictos reconocidos oficialmente (también denominada tasa de denuncias de delitos)</t>
  </si>
  <si>
    <t>16.1 Reducir significativamente todas las formas de violencia y las correspondientes tasas de mortalidad en todo el mundo</t>
  </si>
  <si>
    <t>anual</t>
  </si>
  <si>
    <t xml:space="preserve">El indicador del INE no existe, se propone Reformular: % de centros patrimonio de la humanidad en el país que implementan un modelo de gestión con base a estándares internacionales </t>
  </si>
  <si>
    <t>impacto</t>
  </si>
  <si>
    <t>-</t>
  </si>
  <si>
    <t>quinquenal</t>
  </si>
  <si>
    <t>Agropecuario</t>
  </si>
  <si>
    <t>Uno proviene de encuesta y el otro de registros administrativos</t>
  </si>
  <si>
    <t>Medición quinquenal</t>
  </si>
  <si>
    <t>Complementar el indicador para cumplir también con la meta de exportación</t>
  </si>
  <si>
    <t>Medición quinquenal/anual</t>
  </si>
  <si>
    <t>Reformular indicador en base a porcenttaje o prevalencia. Medición quinquenal/anual</t>
  </si>
  <si>
    <t>Se debería incluir a los hombes también  en este resultado. Los indicadores no incluyen a mujeres que ya no están en edad fértil. Medición quinquenal</t>
  </si>
  <si>
    <t>No existe información ni parámetros para la medición</t>
  </si>
  <si>
    <t>CLASIFICACION DE RESULTADOS PDES</t>
  </si>
  <si>
    <r>
      <rPr>
        <b/>
        <sz val="11"/>
        <color theme="0"/>
        <rFont val="Calibri"/>
        <family val="2"/>
        <scheme val="minor"/>
      </rPr>
      <t>TIPO DE INDICADOR</t>
    </r>
    <r>
      <rPr>
        <b/>
        <sz val="10"/>
        <color theme="0"/>
        <rFont val="Calibri"/>
        <family val="2"/>
        <scheme val="minor"/>
      </rPr>
      <t xml:space="preserve">
</t>
    </r>
    <r>
      <rPr>
        <sz val="8"/>
        <color theme="0"/>
        <rFont val="Calibri"/>
        <family val="2"/>
        <scheme val="minor"/>
      </rPr>
      <t>(</t>
    </r>
    <r>
      <rPr>
        <b/>
        <sz val="8"/>
        <color theme="0"/>
        <rFont val="Calibri"/>
        <family val="2"/>
        <scheme val="minor"/>
      </rPr>
      <t>Impacto</t>
    </r>
    <r>
      <rPr>
        <sz val="8"/>
        <color theme="0"/>
        <rFont val="Calibri"/>
        <family val="2"/>
        <scheme val="minor"/>
      </rPr>
      <t xml:space="preserve">= Miden cambios en la vida de las personas, 
</t>
    </r>
    <r>
      <rPr>
        <b/>
        <sz val="8"/>
        <color theme="0"/>
        <rFont val="Calibri"/>
        <family val="2"/>
        <scheme val="minor"/>
      </rPr>
      <t>Producto</t>
    </r>
    <r>
      <rPr>
        <sz val="8"/>
        <color theme="0"/>
        <rFont val="Calibri"/>
        <family val="2"/>
        <scheme val="minor"/>
      </rPr>
      <t xml:space="preserve">= Miden Bienes o servicios entregados, 
</t>
    </r>
    <r>
      <rPr>
        <b/>
        <sz val="8"/>
        <color theme="0"/>
        <rFont val="Calibri"/>
        <family val="2"/>
        <scheme val="minor"/>
      </rPr>
      <t>Proceso</t>
    </r>
    <r>
      <rPr>
        <sz val="8"/>
        <color theme="0"/>
        <rFont val="Calibri"/>
        <family val="2"/>
        <scheme val="minor"/>
      </rPr>
      <t xml:space="preserve">= Miden actividades para conseguir un producto, 
</t>
    </r>
    <r>
      <rPr>
        <b/>
        <sz val="8"/>
        <color theme="0"/>
        <rFont val="Calibri"/>
        <family val="2"/>
        <scheme val="minor"/>
      </rPr>
      <t>Insumo</t>
    </r>
    <r>
      <rPr>
        <sz val="8"/>
        <color theme="0"/>
        <rFont val="Calibri"/>
        <family val="2"/>
        <scheme val="minor"/>
      </rPr>
      <t>=Miden Recursos para realizar las actividades, financieros, humanos, etc.)</t>
    </r>
  </si>
  <si>
    <r>
      <t xml:space="preserve">INDICADOR ODS
</t>
    </r>
    <r>
      <rPr>
        <b/>
        <sz val="8"/>
        <rFont val="Calibri"/>
        <family val="2"/>
        <scheme val="minor"/>
      </rPr>
      <t>(Indicador ODS que se vincula el indicador PDES)</t>
    </r>
  </si>
  <si>
    <r>
      <t xml:space="preserve">OBSERVACIONES
</t>
    </r>
    <r>
      <rPr>
        <b/>
        <sz val="8"/>
        <rFont val="Calibri"/>
        <family val="2"/>
        <scheme val="minor"/>
      </rPr>
      <t>(Comentarios sobre la aplicabilidad del indicador como proxy al ODS)</t>
    </r>
    <r>
      <rPr>
        <b/>
        <sz val="10"/>
        <rFont val="Calibri"/>
        <family val="2"/>
        <scheme val="minor"/>
      </rPr>
      <t xml:space="preserve">
</t>
    </r>
  </si>
  <si>
    <t>FECHA
(Fecha de Captura de Metadatos)</t>
  </si>
  <si>
    <t>Cod_Res</t>
  </si>
  <si>
    <r>
      <rPr>
        <b/>
        <sz val="11"/>
        <rFont val="Calibri"/>
        <family val="2"/>
        <scheme val="minor"/>
      </rPr>
      <t xml:space="preserve">% </t>
    </r>
    <r>
      <rPr>
        <b/>
        <sz val="10"/>
        <rFont val="Calibri"/>
        <family val="2"/>
        <scheme val="minor"/>
      </rPr>
      <t xml:space="preserve">CONTRIBUCIÓN DIRECTA
</t>
    </r>
    <r>
      <rPr>
        <b/>
        <sz val="9"/>
        <rFont val="Calibri"/>
        <family val="2"/>
        <scheme val="minor"/>
      </rPr>
      <t>(Porcentaje de contribución de indicadores PDES de 2do Orden a un solo Resultado PDES de 1er Orden)</t>
    </r>
  </si>
  <si>
    <t>Resultados de 1er Orden
(Si = 1
No = 0)</t>
  </si>
  <si>
    <t>Resultados de 2do Orden
(Si = 1
No = 0)</t>
  </si>
  <si>
    <r>
      <t xml:space="preserve">   </t>
    </r>
    <r>
      <rPr>
        <b/>
        <sz val="10"/>
        <color rgb="FF000000"/>
        <rFont val="Calibri"/>
        <family val="2"/>
        <scheme val="minor"/>
      </rPr>
      <t>COMPARABILIDAD ODS/PDES</t>
    </r>
    <r>
      <rPr>
        <b/>
        <sz val="9"/>
        <color rgb="FF000000"/>
        <rFont val="Calibri"/>
        <family val="2"/>
        <scheme val="minor"/>
      </rPr>
      <t xml:space="preserve">
</t>
    </r>
    <r>
      <rPr>
        <b/>
        <sz val="8"/>
        <color rgb="FF000000"/>
        <rFont val="Calibri"/>
        <family val="2"/>
        <scheme val="minor"/>
      </rPr>
      <t xml:space="preserve">
(DIRECTA: Indicador conceptualmente idéntico al ODS con ligeras diferencias; PARCIAL: Indicador proxy para el ODS que no cumple todos los requisitos (Ej. indicador compuesto o desagregación geográfica no disponible);
NO DISPONIBLE)</t>
    </r>
  </si>
  <si>
    <t>Cod_i</t>
  </si>
  <si>
    <t>ID_indicador</t>
  </si>
  <si>
    <t>ID_Fuente</t>
  </si>
  <si>
    <t>Cod_fuente</t>
  </si>
  <si>
    <t>Eficacia</t>
  </si>
  <si>
    <t>Eficiencia</t>
  </si>
  <si>
    <t>Calidad</t>
  </si>
  <si>
    <t>Insumo</t>
  </si>
  <si>
    <r>
      <rPr>
        <b/>
        <sz val="11"/>
        <rFont val="Calibri"/>
        <family val="2"/>
        <scheme val="minor"/>
      </rPr>
      <t>DIMENSIÓN DE INDICADOR</t>
    </r>
    <r>
      <rPr>
        <b/>
        <sz val="10"/>
        <rFont val="Calibri"/>
        <family val="2"/>
        <scheme val="minor"/>
      </rPr>
      <t xml:space="preserve">
</t>
    </r>
    <r>
      <rPr>
        <sz val="8"/>
        <rFont val="Calibri"/>
        <family val="2"/>
        <scheme val="minor"/>
      </rPr>
      <t>(</t>
    </r>
    <r>
      <rPr>
        <b/>
        <sz val="8"/>
        <rFont val="Calibri"/>
        <family val="2"/>
        <scheme val="minor"/>
      </rPr>
      <t>Eficacia</t>
    </r>
    <r>
      <rPr>
        <sz val="8"/>
        <rFont val="Calibri"/>
        <family val="2"/>
        <scheme val="minor"/>
      </rPr>
      <t xml:space="preserve">=Miden nivel de cumplimiento de los objetivos, 
</t>
    </r>
    <r>
      <rPr>
        <b/>
        <sz val="8"/>
        <rFont val="Calibri"/>
        <family val="2"/>
        <scheme val="minor"/>
      </rPr>
      <t>Calidad</t>
    </r>
    <r>
      <rPr>
        <sz val="8"/>
        <rFont val="Calibri"/>
        <family val="2"/>
        <scheme val="minor"/>
      </rPr>
      <t xml:space="preserve">= Evalúan atributos respecto a normas, referenias externas o satisfacción de los beneficiarios (usuarios), 
</t>
    </r>
    <r>
      <rPr>
        <b/>
        <sz val="8"/>
        <rFont val="Calibri"/>
        <family val="2"/>
        <scheme val="minor"/>
      </rPr>
      <t>Eficiencia</t>
    </r>
    <r>
      <rPr>
        <sz val="8"/>
        <rFont val="Calibri"/>
        <family val="2"/>
        <scheme val="minor"/>
      </rPr>
      <t xml:space="preserve">=Miden el cumplimiento de los objetivos optimizando recursos, 
</t>
    </r>
    <r>
      <rPr>
        <b/>
        <sz val="8"/>
        <rFont val="Calibri"/>
        <family val="2"/>
        <scheme val="minor"/>
      </rPr>
      <t>Economía</t>
    </r>
    <r>
      <rPr>
        <sz val="8"/>
        <rFont val="Calibri"/>
        <family val="2"/>
        <scheme val="minor"/>
      </rPr>
      <t>= Indicadores típicos de economía son la capacidad de autofinanciamiento y ejecución presupuestaria)</t>
    </r>
  </si>
  <si>
    <t>RESPONSABLE DE LA FUENTE DE DATOS 
(1)
(Precisar Nombre y Acrónimo de la Institución)</t>
  </si>
  <si>
    <t>RESPONSABLE DE LA FUENTE DE DATOS 
(2)
(Precisar  Nombre y Acrónimo de Viceministerio a cargo)</t>
  </si>
  <si>
    <t>RESPONSABLE DE LA FUENTE DE DATOS 
(4)
(Precisar teléfono de referencia)</t>
  </si>
  <si>
    <t>RESPONSABLE DE LA FUENTE DE DATOS 
(3)
(Precisar  Nombre y Acrónimo de  Dirección/Unidad a cargo si corresponde)</t>
  </si>
  <si>
    <r>
      <t xml:space="preserve">META
PDES 2020
</t>
    </r>
    <r>
      <rPr>
        <b/>
        <sz val="8"/>
        <color theme="0"/>
        <rFont val="Calibri"/>
        <family val="2"/>
        <scheme val="minor"/>
      </rPr>
      <t>(Asumir la detallada en el PDES o establecer una meta Sectorial en su defecto)</t>
    </r>
  </si>
  <si>
    <t>Diario</t>
  </si>
  <si>
    <t>Mensual</t>
  </si>
  <si>
    <t>Trimestral</t>
  </si>
  <si>
    <t>Semestral</t>
  </si>
  <si>
    <t>Puntual</t>
  </si>
  <si>
    <t>SERIE DEL INDICADOR REPORTADO
(Cargar/Entregar Archivo Excel bajo Formato Establecido)
(Detallar:
Entregado
Pendiente
No disponible)</t>
  </si>
  <si>
    <t>Entregado</t>
  </si>
  <si>
    <t>No disponible</t>
  </si>
  <si>
    <t>Verificar</t>
  </si>
  <si>
    <t>Aprobado</t>
  </si>
  <si>
    <t>ID_Res_PDES
(Correlativa)</t>
  </si>
  <si>
    <t>ACRÓNIMO / ABREVIACIÓN DE LA FUENTE DE DATOS</t>
  </si>
  <si>
    <t>Número</t>
  </si>
  <si>
    <t>Aeropuerto HUB implementado</t>
  </si>
  <si>
    <t>Número de Aeropuertos con caracteristicas HUB implemntado</t>
  </si>
  <si>
    <t>Se considera como Fuente Actas de Recepción de Obras</t>
  </si>
  <si>
    <t>RA</t>
  </si>
  <si>
    <t>Viceministerio de Transporte</t>
  </si>
  <si>
    <t>Ninguna</t>
  </si>
  <si>
    <t>Aeropuertos Internacionales en Construcción</t>
  </si>
  <si>
    <t>Número de Aeropuertos Internacionales en Construcción</t>
  </si>
  <si>
    <t>Se considera como Fuente Planillas de Avance de Obra</t>
  </si>
  <si>
    <t>Planillas de Avance de Obra</t>
  </si>
  <si>
    <t>Avance Físico de la Obra
Avance Financiero de la Obra</t>
  </si>
  <si>
    <t>Monto de Inversión
Plazo de Ejecución</t>
  </si>
  <si>
    <t>Actas de Recepción de Obras</t>
  </si>
  <si>
    <t>Aeropuertos nacionales contruidos y equipados</t>
  </si>
  <si>
    <t>Aeropuertos nacionales ampliados y equipados</t>
  </si>
  <si>
    <t>Número de Aeropuertos Nacionales Construidos y Equipados</t>
  </si>
  <si>
    <t>Número de Aeropuertos Nacionales Ampliados y Equipados</t>
  </si>
  <si>
    <t>Número de Aeropuertos Internacionales en Ampliación y Equipamiento</t>
  </si>
  <si>
    <t>Aeropuertos Internacionales  en Ampliación y Equipamiento</t>
  </si>
  <si>
    <t>Se debe verificar si la fuente de datos existe antes del 2015</t>
  </si>
  <si>
    <t>Geografica</t>
  </si>
  <si>
    <t>Reportes administrativos ABC</t>
  </si>
  <si>
    <t>Registro administrativo</t>
  </si>
  <si>
    <t>Proyectos bidepartamentales</t>
  </si>
  <si>
    <t>kilómetros</t>
  </si>
  <si>
    <t>No aplica</t>
  </si>
  <si>
    <t>metros</t>
  </si>
  <si>
    <t>020406411</t>
  </si>
  <si>
    <t>Se han construido 6 nuevas líneas de teleférico en las ciudades de La Paz y El Alto</t>
  </si>
  <si>
    <t xml:space="preserve">Las seis líneas son: Naranja, Azul, Blanca, Celeste, Morada y Plateada. </t>
  </si>
  <si>
    <t>Área Geográfica</t>
  </si>
  <si>
    <t>Es la sumatoria de las líneas construidas que están entregando el servicio de transporte por cable en las ciudades de La Paz y El Alto</t>
  </si>
  <si>
    <t xml:space="preserve">LFLE= ∑ LCFLE
LFLE= Líneas en funcionamiento de La Paz y El Alto
LCFLE=  Líneas construidas y en funcionamiento (La Paz y El Alto)
</t>
  </si>
  <si>
    <t>Suma de las líneas construidas y en funcionamiento</t>
  </si>
  <si>
    <t>Sistema de Seguimiento de Proyectos</t>
  </si>
  <si>
    <t>NA</t>
  </si>
  <si>
    <t>2014 -2018</t>
  </si>
  <si>
    <t>SAP</t>
  </si>
  <si>
    <t>Sistema de Administracion de Proyectos</t>
  </si>
  <si>
    <t>2014 - 2018</t>
  </si>
  <si>
    <t>*Vidas transportadas
*Vidas por línea
*Promedio día de vidas transportadas
*Pases tarjetas
*Pases Tickets</t>
  </si>
  <si>
    <t>La desagregación de principales variables los maneja el sistema CMI de la EETC-MT</t>
  </si>
  <si>
    <t>Empresa Estatal de Transporte por Cable "MI TELEFÉRICO" (EETC-MT)</t>
  </si>
  <si>
    <t>Gerencia de Desarrollo de Proyectos (GDP)
Gerencia de Gestion Empresarial (GGE)</t>
  </si>
  <si>
    <t>Departamento General de Proyectos (DGP)</t>
  </si>
  <si>
    <t>22179300 (GDP)</t>
  </si>
  <si>
    <t>Es la sumatoria del total de vidas transportadas en las líneas en funcionamiento</t>
  </si>
  <si>
    <t>VT= ∑ VTLF
VT= Total de Vidas Transportadas
∑VTLF= Sumatoria de vidas transportadas en las líneas en funcionamiento (La Paz y El Alto)</t>
  </si>
  <si>
    <t>Suma de vidas transportadas por líneas en funcionamiento (La Paz y El Alto)</t>
  </si>
  <si>
    <t>Sistema Cuadro de Mando Integral</t>
  </si>
  <si>
    <t>CMI</t>
  </si>
  <si>
    <t>Cuadro de Mando Integral</t>
  </si>
  <si>
    <t>Diaria</t>
  </si>
  <si>
    <t>*Vidas transportadas por línea en funcionamiento
*Vidas transportadas de personas con discapacidad por tarjeta
*Vidas transportadas de personas de la tercera edad por tarjeta
*Vidas transportadas de estudiantes por tarjeta</t>
  </si>
  <si>
    <t xml:space="preserve">Departamento de Planificación y Gestión  (DPG)
</t>
  </si>
  <si>
    <t>22179300 (DPG)</t>
  </si>
  <si>
    <t>Kms construidos de transporte por cable</t>
  </si>
  <si>
    <t>En kilómetros</t>
  </si>
  <si>
    <t>Es la sumatoria del total de kilómetros construidos del sistema de transporte por cable (La Paz y El Alto)</t>
  </si>
  <si>
    <t>KC= ∑KCLE
KC= Total de kilómetros construidos
∑KCLE= Es la sumatoria de kilómetros construidos de transporte por cable (La Paz y El Alto)</t>
  </si>
  <si>
    <t>Suma de kilómetros construidos de transporte por cable (La Paz y El Alto)</t>
  </si>
  <si>
    <t>*Metros cuadrados construidos en infraestructura (estaciones, torres), *Metros cuadrados construidos en áreas verdes 
*Metros cuadrados construidos en vías vehiculares</t>
  </si>
  <si>
    <t>Es la suma total de estaciones construidas en La Paz y El Alto del sistema de transporte por cable</t>
  </si>
  <si>
    <t>EC= ∑ECLE
EC= Total de Estaciones construidas
∑ECLE= Sumatoria de estaciones construidas en La Paz y El Alto</t>
  </si>
  <si>
    <t>Suma de estaciones construidas en La Paz y El Alto</t>
  </si>
  <si>
    <t xml:space="preserve">Total de líneas construidas en funcionamiento en las ciudades de Oruro, Potosí y Sucre </t>
  </si>
  <si>
    <t>Es la sumatoria de las líneas construidas que están entregando el servicio de transporte por cable en las ciudades de Oruro, Potosí y Sucre</t>
  </si>
  <si>
    <t xml:space="preserve">LFLE= ∑ LCFLE
LFOPS= Líneas en funcionamiento de Oruro, Potosí y Sucre
LCFOPS=  Líneas construidas y en funcionamiento (Oruro, Potosí y Sucre)
</t>
  </si>
  <si>
    <t>VT= ∑ VTLFOPS
VT= Total de Vidas Transportadas
∑VTLFOPS= Sumatoria de vidas transportadas en las líneas en funcionamiento (Oruro, Potosí y Sucre)</t>
  </si>
  <si>
    <t>Suma de vidas transportadas por líneas en funcionamiento  (Oruro, Potosí y Sucre)</t>
  </si>
  <si>
    <t>*Vidas transportadas por línea en funcionamiento</t>
  </si>
  <si>
    <t>Es la sumatoria del total de kilómetros construidos del sistema de transporte por cable (Oruro, Potosí y Sucre)</t>
  </si>
  <si>
    <t>KC= ∑KCOPS
KC= Total de kilómetros construidos
∑KCLE= Es la sumatoria de kilómetros construidos de transporte por cable (Oruro, Potosí y Sucre)</t>
  </si>
  <si>
    <t>Suma de kilómetros construidos de transporte por cable (Oruro, Potosí y Sucre)</t>
  </si>
  <si>
    <t>Es la suma total de estaciones construidas en Oruro, Potosí y Sucre del sistema de transporte por cable</t>
  </si>
  <si>
    <t>EC= ∑ECOPS
EC= Total de Estaciones construidas
∑ECOPS= Sumatoria de estaciones construidas en Oruro, Potosí y Sucre</t>
  </si>
  <si>
    <t>Suma de estaciones construidas</t>
  </si>
  <si>
    <t>03/05/2018</t>
  </si>
  <si>
    <t>x= número de km DV construidos</t>
  </si>
  <si>
    <t>número de kilómetros doble vìa construidos a junio 2018</t>
  </si>
  <si>
    <t>x= (número de km DV construidos / número de km DV establecidos en PDES) * 100</t>
  </si>
  <si>
    <t>número de kilómetros doble vìa a construir establecidos en PDES 2016 - 2020</t>
  </si>
  <si>
    <t>x= número de km construidos</t>
  </si>
  <si>
    <t>número de kilómetros construidos a junio 2018</t>
  </si>
  <si>
    <t>x= (número de km construidos / número de km establecidos en PDES) * 100</t>
  </si>
  <si>
    <t>número de kilómetros a construir establecidos en PDES 2016 - 2020</t>
  </si>
  <si>
    <t>x= número de metros construidos</t>
  </si>
  <si>
    <t>número de metros construidos de puente a junio 2018</t>
  </si>
  <si>
    <t>x= (número de metros construidos / número de metros establecidos en PDES) * 100</t>
  </si>
  <si>
    <t>número de metros construidos a junio 2018</t>
  </si>
  <si>
    <t>número de metros a construir establecidos en PDES 2016 - 2020</t>
  </si>
  <si>
    <t>Es el número de kilómetros de doble vía construidos durante la gestión 2016-2020</t>
  </si>
  <si>
    <t>Es el porcentaje de cumplimiento de kilómetros de doble vía construidos respecto de la meta inicial establecida en el PDES 2016 - 2020</t>
  </si>
  <si>
    <t>Es el número de kilómetros de construidos durante la gestión 2016-2020</t>
  </si>
  <si>
    <t>Es el porcentaje de cumplimiento de kilómetros construidos respecto de la meta inicial establecida en el PDES 2016 - 2020</t>
  </si>
  <si>
    <t>Es el número de metros de puentes construidos durante la gestión 2016-2020</t>
  </si>
  <si>
    <t>Es el porcentaje de cumplimiento de metros de puentes construidos respecto de la meta inicial establecida en el PDES 2016 - 2020</t>
  </si>
  <si>
    <t>Departamental y municipal</t>
  </si>
  <si>
    <t>Ministerio de Obras Públicas, Servicios y Vivienda (MOPSV)</t>
  </si>
  <si>
    <t>Administradora Boliviana de Carreteras (ABC)</t>
  </si>
  <si>
    <t>1.3</t>
  </si>
  <si>
    <t>Ministerio de Obras Púbicas, Servicios y Vivienda (MOPSV)</t>
  </si>
  <si>
    <t>Dirección General de Transporte Aéreo (DGTA)
Administración de Aeropuertos y Servicios Auxiliares a la Navegación Aérea (AASANA)</t>
  </si>
  <si>
    <t>Dirección General de Transporte Aéreo (DGTA)</t>
  </si>
  <si>
    <t>04/05/2018</t>
  </si>
  <si>
    <t>14/05/2018</t>
  </si>
  <si>
    <t>Divisas por Turismo Receptivo</t>
  </si>
  <si>
    <t>Gasto medio de viaje
Gasto por nacionalidad
Días de permanencia
Flujo de turistas por nacionalidad y transporte terrestre y aéreo</t>
  </si>
  <si>
    <t>En millones de dólares americanos</t>
  </si>
  <si>
    <t>El indicador refleja el gasto realizado por los turistas extranjeros dentro del territorio Boliviano, es decir las divisas generadas por el turismo.</t>
  </si>
  <si>
    <t xml:space="preserve">                  ∑DTR=∑GMV x ∑FT.
∑DTR = Suma Divisas Turismo Receptivo
∑GMV = Suma del Gasto medio de viaje por nacionalidad y modo de transporte
∑FT = Suma del Flujo de Turistas por nacionalidad y modo de transporte
</t>
  </si>
  <si>
    <t>Divisas por turismo receptivo es el resultado de la multiplicación del gasto medio de viaje por nacionalidad y modo de transporte por el flujo de turistas por nacionalidad y medio de transporte (P*Q)</t>
  </si>
  <si>
    <t>El gasto medio de viaje se obtiene de la Encuesta Gasto de Turismo Receptivo realizado por el BCB, INE y VMT en el marco SIET.
El flujo de turistas por nacionalidad es dato de la Dirección General de Migración y de la Dirección General de Aeronáutica Civil</t>
  </si>
  <si>
    <t>2008-2017</t>
  </si>
  <si>
    <t>La Encuesta Gasto de Turismo Receptivo se realiza cada dos a tres años.</t>
  </si>
  <si>
    <t>EGT
RA</t>
  </si>
  <si>
    <t>Encuesta de Gasto de Turismo receptor y emisor
Registros administrativos</t>
  </si>
  <si>
    <t>Encuesta y Registros Administrativos</t>
  </si>
  <si>
    <t>Cobertura nacional</t>
  </si>
  <si>
    <t>N.A</t>
  </si>
  <si>
    <t>1) Instituto Nacional de Estadisticas (INE).
2) Ministerio de Gobierno (MG).
3) Ministerio de Culturas y Turismo (MCyT).
4) Banco Central de Bolivia (BCB).</t>
  </si>
  <si>
    <t xml:space="preserve">1) Instituto Nacional de Estadisticas (INE).
2) Dirección General de Migración (DIGEMIG).
3) Viceministerio de Turismo (VMT).
4) Banco Central de Bolivia (BCB).
</t>
  </si>
  <si>
    <t>1) Unidad de Estadísticas e Indicadores Económicos (UEIE).
2) Unidad de Sistemas (US).
3) Direción General de Turismo (DGT)
4) Unidad de Sector Externo</t>
  </si>
  <si>
    <t xml:space="preserve">1) 2222333 (Int 869)
2) 2110960
3) 2117898
4) 2409090
</t>
  </si>
  <si>
    <t>Flujo de turistas Extranjeros</t>
  </si>
  <si>
    <t>1) Número de turistas por nacionalidad
2) Número de turistas Mayores de Edad
3) Número de turistas Menores de Edad
4) Punto fronterizo por el que ingresaron los turistas , según modo de transporte</t>
  </si>
  <si>
    <t>Número de personas</t>
  </si>
  <si>
    <t>El flujo de turistas extranjeros son todas aquellas personas que ingresan a nuestro país por más de un día y menor a un año.</t>
  </si>
  <si>
    <t>Es la sumatoria del número de turistas extranjeros que ingresan a Bolivia por modo de transporte y nacionalidad.</t>
  </si>
  <si>
    <t>Dirección General de Migración.
Instituto Nacional de Estadísticas.
Dirección General de Aeronáutica Civil.
Empresas Ferroviarias Andina y Oriental.
Capitanías de Puerto de la Armada Boliviana</t>
  </si>
  <si>
    <t>Registros administrativos por institución</t>
  </si>
  <si>
    <t>Número de extrajeros que ingresan a territorio Boliviano, modo de transporte, nacionalidad, sexo, edad (menores y mayores)</t>
  </si>
  <si>
    <t>1) Ministerio de Gobierno (MG)
2) Instituto Nacional de Estadisticas (INE).
3) Empresa Ferroviaria Andina y Oriental.
4) Fuerza Naval Boliviana (FNB)</t>
  </si>
  <si>
    <t>1) Dirección General de Migración (DIGEMIG).
2) Instituto Nacional de Estadisticas (INE).
3) Empresa Ferroviaria Andina y Oriental.
4) Armada Boliviana</t>
  </si>
  <si>
    <t>1) Unidad de Sistemas.
2) Unidad de Estadísticas e Indicadores Económicos (UEIE).
3) Unidad Estadística
4) Capitanías de puertos</t>
  </si>
  <si>
    <t>1) 2110960
2) 2222333 (Int 869)
3) …….
4) 2751830</t>
  </si>
  <si>
    <t>Flujo de turistas nacionales dentro en territorio nacional</t>
  </si>
  <si>
    <t>Número de turistas nacionales dentro el territorio nacional</t>
  </si>
  <si>
    <t>El flujo de turistas nacionales, son todos aquellos bolivianos que viajan a un lugar distinto a su residencia habitual, dentro del territorio nacional, menor a un año y que no reciban una remuneración en el lugar visitado</t>
  </si>
  <si>
    <t xml:space="preserve">                                              FTN = ∑TNH + ∑TNFyA 
FTTN = Flujo Total de Turistas nacionales.
∑TNH = Sumatoria del flujo de turistas nacionales en establecimientos de hospedaje.
∑TNFyA = Sumatoria del flujo de turistas nacionales en casas de Familiares, amigos y propios.</t>
  </si>
  <si>
    <t>Flujo de turistas nacionales que pernoctan al menos un día en un lugar diferente a su residencia.</t>
  </si>
  <si>
    <t>Viceministerio de Turismo</t>
  </si>
  <si>
    <t>EGTI-E</t>
  </si>
  <si>
    <t>Encuesta Gasto de Turismo Interno y Excursionismo</t>
  </si>
  <si>
    <t>Encuesta</t>
  </si>
  <si>
    <t>2011-2017</t>
  </si>
  <si>
    <t>Ciudades capitales</t>
  </si>
  <si>
    <t>Sexo, edad, motivo de viaje, estadía media, turismo organizado o independiente</t>
  </si>
  <si>
    <t>Al no contar con registros administrativos del flujo de nacionales en territorio nacional se ha recurrido al porcentaje encontrado en la Encuesta de Turismo Interno y Excursionimo 2016 donde nos indica que el 55% se hospeda en establecimientos de hospedaje y el 45 en casa de familiares, amigos y casas propias u otros. (Sólo se toma en cuenta ciudades capitales)</t>
  </si>
  <si>
    <t>Ministerio de Culturas y Turismo (MCyT)</t>
  </si>
  <si>
    <t>Viceministerio de Turismo (VMT)</t>
  </si>
  <si>
    <t>Dirección General de Turismo (DGT)</t>
  </si>
  <si>
    <t>Inversión en Turismo</t>
  </si>
  <si>
    <t xml:space="preserve">Inversión en Infraestructura Turismo comunitario
</t>
  </si>
  <si>
    <t>En Millones de Bolivianos</t>
  </si>
  <si>
    <t>La inversión realizada por el sector público-comunitario para infraestructura y servicios turísticos</t>
  </si>
  <si>
    <t xml:space="preserve">                         ITC = ∑ITCC+∑ITCN 
ITC = Inversión  público-comunitario en turismo
∑ITCC = Sumatoria de las inversiones  público-comunitario complementarias hechas en turismo.
∑ITC = Sumatoria de las inversiones nuevas hechas por el sector  público-comunitario en actividades relacionadas con el turismo.</t>
  </si>
  <si>
    <t>Total de inversión  público-comunitario destinada a proyectos turisticos complementarios y nuevos</t>
  </si>
  <si>
    <t xml:space="preserve">Programa Nacional de Turismo Comunitario (PNTC)
Ministerio de Culturas y Turismo (MCyT)
</t>
  </si>
  <si>
    <t>2015-2017</t>
  </si>
  <si>
    <t>La información corresponde a la inversión realizada bajo el Programa Nacional de Turismo Comunitario que se cerro en la gestión 2017.</t>
  </si>
  <si>
    <t>PNTC
MCyT
ASFI</t>
  </si>
  <si>
    <t>Estado de cuentas del Programa Nacional de Turismo Comunitario (PNTC)
Inversión realizada por el Ministerio de Culturas y Turismo en proyectos de turismo</t>
  </si>
  <si>
    <t>Estado de Cuentas Financieras</t>
  </si>
  <si>
    <t>Inversiones del sector Público y comunitario en Turismo Comunitario</t>
  </si>
  <si>
    <t>El dato solo considera la inversión hecha por el sector publico en Turismo Comunitario queda pendiente el dato del sector privado.</t>
  </si>
  <si>
    <t xml:space="preserve">1) Programa Nacional de Turismo Comunitario
2) Ministerio de Culturas y Turismo
</t>
  </si>
  <si>
    <t>1) Programa Nacional de Turismo Comunitario
2) Ministerio de Culturas y Turismo</t>
  </si>
  <si>
    <t>1) Se ha cerrado
2) 2200910</t>
  </si>
  <si>
    <t>Inversión en Infraestructura sector privado</t>
  </si>
  <si>
    <t>La inversión realizada por el sector privado para infraestructura y servicios turísticos</t>
  </si>
  <si>
    <t xml:space="preserve">                        ITP = ∑ITPC+∑ITPN 
ITP = Inversión en turismo Privado.
∑ITPC = Sumatoria de las inversiones complementarias hechas por el sector privado en actividades relacionadas con el turismo.
∑ITPN = Sumatoria de las inversiones nuevas hechas por el sector privado en actividades relacionadas con el turismo.</t>
  </si>
  <si>
    <t>Total de inversión privada destinada a proyectos turisticos  complementarios y nuevos</t>
  </si>
  <si>
    <t>Autoridad de Supervisión del Sistema Financiero (ASFI)</t>
  </si>
  <si>
    <t>No se cuenta con la información de la ASFI en cuanto a los créditos otorgados para inversiones en hospedaje, restaurantes, etc., relacionados con el turismo.</t>
  </si>
  <si>
    <t>Reporte de los créditos otorgados para actividades relacionadas con el turismo</t>
  </si>
  <si>
    <t>Reporte de créditos otorgados</t>
  </si>
  <si>
    <t>Créditos otorgados al sector privado para emprendimientos relacionados con el turismo.</t>
  </si>
  <si>
    <t>Autoridad de Supervisión del Sistema Financiero</t>
  </si>
  <si>
    <t>Se solicitó información</t>
  </si>
  <si>
    <t>Kilómetros construidos de dobles vías</t>
  </si>
  <si>
    <t>Porcentaje de kilómetros construidos de dobles vías</t>
  </si>
  <si>
    <t>Kilómetros construidos del corredor bioceánico</t>
  </si>
  <si>
    <t>Porcentaje de kilómetros construidos del corredor bioceánico</t>
  </si>
  <si>
    <t>Kilómetros construidos del corredor Norte-Sur</t>
  </si>
  <si>
    <t>Porcentaje de kilómetros construidos del corredor Norte-Sur</t>
  </si>
  <si>
    <t>Kilómetros construidos del corredor Oeste – Norte</t>
  </si>
  <si>
    <t>Porcentaje de kilómetros construidos del corredor Oeste – Norte</t>
  </si>
  <si>
    <t>Kilómetros construidos de la Diagonal Jaime Mendoza</t>
  </si>
  <si>
    <t>Porcentaje de kilómetros construidos de la Diagonal Jaime Mendoza</t>
  </si>
  <si>
    <t>Kilómetros construidos de las Conexiones de Capitales de Departamento</t>
  </si>
  <si>
    <t>Porcentaje de kilómetros construidos de las Conexiones de Capitales de Departamento</t>
  </si>
  <si>
    <t>Kilómetros construidos de las carreteras de Integración de Regiones Productivas y la “Y” de la Integración</t>
  </si>
  <si>
    <t>Porcentaje de kilómetros construidos de las carreteras de Integración de Regiones Productivas y la “Y” de la Integración</t>
  </si>
  <si>
    <t>Metros de puente construidos</t>
  </si>
  <si>
    <t>Porcentaje de metros de puente construidos</t>
  </si>
  <si>
    <t>Vidas transportadas por teleférico</t>
  </si>
  <si>
    <t>Total estaciones construidas en el teleférico</t>
  </si>
  <si>
    <t>Total de líneas de teleférico construidas en funcionamiento en las ciudades de La Paz y El Alto</t>
  </si>
  <si>
    <t>Total estaciones de teleférico construidas</t>
  </si>
  <si>
    <t>Vidas transportadas en teleférico</t>
  </si>
  <si>
    <t>INTERNACIONAL</t>
  </si>
  <si>
    <t>Número de acuerdos firmados</t>
  </si>
  <si>
    <t>2016-2018</t>
  </si>
  <si>
    <t>Los convenios son firmados con países sin un nùmero restrictivo.</t>
  </si>
  <si>
    <t>RAUTF</t>
  </si>
  <si>
    <t xml:space="preserve">Medicion conjunta realizada entre contratista y ministerio </t>
  </si>
  <si>
    <t>Calculo de Desarrollo de avance en Campo(ejecutado) entre lo cronogramado mensualmente</t>
  </si>
  <si>
    <t>Registros de calculos realizados para pago correspondiente</t>
  </si>
  <si>
    <t>Certificados de pagos planificado durante 3 años de la construcción de la Obra</t>
  </si>
  <si>
    <t>Documentos de respaldo generados en comun y totales programado mensual para la gestion 2018</t>
  </si>
  <si>
    <t>NUMERO</t>
  </si>
  <si>
    <t>ETAPA 3</t>
  </si>
  <si>
    <t>PARCIAL</t>
  </si>
  <si>
    <t>RADGTTFL</t>
  </si>
  <si>
    <t>2119999 INT. 108</t>
  </si>
  <si>
    <t>SIN FECHA DE REGISTRO</t>
  </si>
  <si>
    <t>25/05/2018</t>
  </si>
  <si>
    <t>Número de convenios firmados para el financiamiento del CFBC</t>
  </si>
  <si>
    <t>Se considera los acuerdos suscritos para el financiamiento del corredor</t>
  </si>
  <si>
    <t>Número de Acuerdos suscritos</t>
  </si>
  <si>
    <t>Registros Administrativos</t>
  </si>
  <si>
    <t>Registro Administrativo Dirección de Transporte Terrestre Fluvial y Lacustre</t>
  </si>
  <si>
    <t>Internacional</t>
  </si>
  <si>
    <t xml:space="preserve"> Viceministerio de Transportes</t>
  </si>
  <si>
    <t>Unidad Técnica de Ferrocarriles</t>
  </si>
  <si>
    <t>No existe</t>
  </si>
  <si>
    <t>Porcentaje de avance en los tramos ferroviarios de Cochabamba y Santa Cruz</t>
  </si>
  <si>
    <t>Porcentaje de avance en el tramo ferroviario Montero  - Bulo Bulo</t>
  </si>
  <si>
    <t>Porcentaje de avance en el tramo Montero Bulo - Bulo</t>
  </si>
  <si>
    <t>No existe registro debido a que no esta en marcha el proyecto.</t>
  </si>
  <si>
    <t>%DACSCZ= (N° de Cp)/(36 CP))*100
DACSCZ= Avance en Cochabamba y Santa Cruz
CP= Certificado de Pago</t>
  </si>
  <si>
    <t>%DAMB= (N° de Cp)/(36 CP))*100
DAMB= Avance Montero - Bulo Bulo
CP= Certificado de Pago</t>
  </si>
  <si>
    <t>Se han rehabilitado vías navegables en los ríos Ichilo - Mamoré y Beni y el dragado del Canal Tamengo I Fase.</t>
  </si>
  <si>
    <t>Número de kilómetros de río navegable</t>
  </si>
  <si>
    <t>Número de puertos exportadores operando</t>
  </si>
  <si>
    <t>Número de infraestructuras portuarias internacionales</t>
  </si>
  <si>
    <t>Son los kilómetros de ríos navegables en los ríos Ichilo - Mamoré y Beni y el dragado del Canal Tamengo I Fase.</t>
  </si>
  <si>
    <t xml:space="preserve">Es la cantidad de puertos construidos en la primera fase por donde se puede exportar </t>
  </si>
  <si>
    <t>x= número de infraestructuras portuarias</t>
  </si>
  <si>
    <t xml:space="preserve">x= número de kilómetros </t>
  </si>
  <si>
    <t>Es el número de kilómetros en ríos navegables</t>
  </si>
  <si>
    <t>Es el número depuertos en operación</t>
  </si>
  <si>
    <t>x= número de puertos construidos en la primera fase</t>
  </si>
  <si>
    <t>Es el número infraestructuras portuarias</t>
  </si>
  <si>
    <t>Es el número de infraestructuras portuarias internacionales</t>
  </si>
  <si>
    <t>No existe avance en este punto por la inexistencia de presupuesto destinado al mismo</t>
  </si>
  <si>
    <t>Dirección de Transporte Terrestre Fluvial y Lacustre</t>
  </si>
  <si>
    <t xml:space="preserve">9
</t>
  </si>
  <si>
    <t>Subcomisión</t>
  </si>
  <si>
    <t>16/04/2018</t>
  </si>
  <si>
    <t xml:space="preserve">COBERTURA DEL SERVICIO BASICO DE ELECTRICIDAD A NIVEL NACIONAL </t>
  </si>
  <si>
    <t>Nacional y Departamental por área urbana y rural</t>
  </si>
  <si>
    <t xml:space="preserve">Es el porcentaje de hogares con electricidad que cuentan con servicio eléctrico frente al número total de hogares del país. </t>
  </si>
  <si>
    <t>CN =  (A/B)*100
Donde: 
CN = % de Cobertura a nivel Nacional.
A = Número de hogares que cuentan con energía eléctrica a nivel Nacional: suma de conexiones de usuarios regulados de la categoria residencial (URCR) y otras conexiones de hogares (OCH).
B = Número total de hogares a nivel nacional: proyeccion de poblacion*numero de personas por hogar.</t>
  </si>
  <si>
    <t xml:space="preserve">A = Número de hogares que cuentan con energía eléctrica a nivel Nacional.
</t>
  </si>
  <si>
    <t xml:space="preserve">URCR: Empresas Distribuidoras, 
OCH: Instituto Nacional de Estadistica (Proyecciones de poblacion), Proyectos Ejecutados por Gobernaciones, PEVD. </t>
  </si>
  <si>
    <t xml:space="preserve">B = Número total de hogares a nivel nacional.
</t>
  </si>
  <si>
    <t>Instituto Nacional de Estadistica (Proyecciones de poblacion, y numero de personas por hogar del censo 2012)</t>
  </si>
  <si>
    <t>1976-2017</t>
  </si>
  <si>
    <t xml:space="preserve">Se consideran hogares con electricidad a los que aceden a la misma a partir de red pública (Sistemas Interconectado Nacional y Sistemas Aislados) , paneles solares, motor, otro sistema.  </t>
  </si>
  <si>
    <t>VMEEA</t>
  </si>
  <si>
    <t>Viceministerio de Electricidad y Energías alternativas</t>
  </si>
  <si>
    <t>Registro Administrativo y censo</t>
  </si>
  <si>
    <t>Nacional (Urbano - Rural)</t>
  </si>
  <si>
    <t>Departamental, municipal</t>
  </si>
  <si>
    <t xml:space="preserve">Número de usuarios de la categoría residencial/ número de paneles solares instalados/ hogares con electricidad que comparten medidor/ otras conexiones.  </t>
  </si>
  <si>
    <t>Hogares conectados al SIN y Sistemas Aislados</t>
  </si>
  <si>
    <t>Ministerio de Energias</t>
  </si>
  <si>
    <t xml:space="preserve">Viceministerio de Electricidad y Energías Alternativas </t>
  </si>
  <si>
    <t>Dirección de Energías Alternativas</t>
  </si>
  <si>
    <t>(2) 2128494</t>
  </si>
  <si>
    <t>10/04/2018</t>
  </si>
  <si>
    <t>COBERTURA  DEL SERVICIO BASICO DE ELECTRICIDAD EN EL ÁREA URBANA</t>
  </si>
  <si>
    <t xml:space="preserve">Es el porcentaje de hogares urbanos con electricidad que cuentan con servicio eléctrico frente al número total de hogares urbanos del país. </t>
  </si>
  <si>
    <t>CU =  (AU/BU)*100
Donde: 
CU = % de Cobertura en el área urbana.
AU = Número de hogares que cuentan con energía eléctrica a nivel urbano: suma de conexiones de usuarios regulados de la categoria residencial (URCR) y otras conexiones de hogares (OCH).
BU = Número total de hogares en el área urbana: proyeccion de poblacion*numero de personas por hogar.</t>
  </si>
  <si>
    <t>AU = Número de hogares urbanos que cuentan con energía eléctrica a nivel Nacional.</t>
  </si>
  <si>
    <t>BU = Número total de hogares urbanos a nivel nacional</t>
  </si>
  <si>
    <t>Instituto Nacional de Estadistica (Proyecciones de poblacion)</t>
  </si>
  <si>
    <t xml:space="preserve">Se denomina Urbana una localidad que cuenta con más de 2000 habitantes.
Se consideran hogares con electricidad a los que aceden a la misma a partir de red pública (Sistemas Interconectado Nacional y Sistemas Aislados) , paneles solares, motor, otro sistema. </t>
  </si>
  <si>
    <t>COBERTURA DEL SERVICIO BASICO DE ELECTRICIDAD EN EL ÁREA RURAL</t>
  </si>
  <si>
    <t xml:space="preserve">Es el porcentaje de hogares rurales con electricidad que cuentan con servicio eléctrico frente al número total de hogares rurales del país. </t>
  </si>
  <si>
    <t>CR =  (AR/BR)*100
Donde: 
CR = % de Cobertura del área rural.
AR = Número de hogares que cuentan con energía eléctrica del área rural: suma de conexiones de usuarios regulados de la categoria residencial (URCR) y otras conexiones de hogares (OCH).
BR = Número total de hogares del área rural: proyeccion de poblacion*numero de personas por hogar del área rural.</t>
  </si>
  <si>
    <t>AR = Número de hogares rurales que cuentan con energía eléctrica a nivel Nacional</t>
  </si>
  <si>
    <t>BR = Número total de hogares rurales a nivel nacional</t>
  </si>
  <si>
    <t xml:space="preserve">Se denomina Rural una localidad que cuenta con menos de 2000 habitantes.
Se consideran hogares con electricidad a los que aceden a la misma a partir de red pública (Sistemas Interconectado Nacional y Sistemas Aislados) , paneles solares, motor, otro sistema. </t>
  </si>
  <si>
    <t>Porcentaje de potencia instalada a través de generación eléctrica.</t>
  </si>
  <si>
    <t>Nacional (Sistema Interconectado Nacional)</t>
  </si>
  <si>
    <t>El indicador mide la relación de megavatios instalados frente a los megavatios previstos al 2020, expresado en porcentaje.</t>
  </si>
  <si>
    <t xml:space="preserve">PPI =  (A/B)*100
Donde: 
PPI = % de Potencia Instalada respecto a la meta PDES año 2020
A = Suma de la potencia instalada hasta el año de la línea base y potencia instalada adicional a través de proyectos de generación.
B = Potencia total instalada Meta PDES año 2020
</t>
  </si>
  <si>
    <t>Es la potencia total instalada en cada año de evaluación.</t>
  </si>
  <si>
    <t>Empresa Nacional de Electricidad (ENDE)</t>
  </si>
  <si>
    <t>Es la potencia Meta PDES al año 2020.</t>
  </si>
  <si>
    <t>1996 - 2017</t>
  </si>
  <si>
    <t>Como proxy de la potencia efectiva, se considera la potencia instalada al tratarse de proyectos que no estan en operación comercial.</t>
  </si>
  <si>
    <t xml:space="preserve">Nacional </t>
  </si>
  <si>
    <t>Potencia instalada, potencia efectiva de las plantas en operación, tecnología y caracteristicas técnicas de las plantas generadoras.</t>
  </si>
  <si>
    <t>Se trabaja con una nueva meta sectorial al 2020 que considera la actualización de la cartera de proyectos de ENDE a diciembre de 2017, donde proyectos hidroeléctricos como Miguillas (203MW), Ivirizu (290MW), Banda Azul (93MW) y otros (560MW)  no ingresarán antes del 2020.</t>
  </si>
  <si>
    <t>Dirección General de Electricidad</t>
  </si>
  <si>
    <t>7.b De aquí a 2030, ampliar la infraestructura y mejorar la tecnología para prestar servicios energéticos modernos y sostenibles para todos en los países en desarrollo, en particular los países menos adelantados, los pequeños Estados insulares en desarrollo y los países en desarrollo sin litoral, en consonancia con sus respectivos programas de apoyo
7.2 De aquí a 2030, aumentar considerablemente la proporción de energía renovable en el conjunto de fuentes energéticas</t>
  </si>
  <si>
    <t>Porcentaje de potencia instalada con hidroeléctricas</t>
  </si>
  <si>
    <t>El indicador mide la relación de megavatios instalados con hidroeléctricas frente a los megavatios previstos al 2020, expresado en porcentaje.</t>
  </si>
  <si>
    <t>PPIHE=  (A/B)*100
Donde: 
PPIHE = % de Potencia Instalada respecto a la meta PDES 2020 con proyectos hidroeléctricos
A = Suma de la potencia instalada hasta el año de la línea base y potencia instalada adicional a través de proyectos de generación hidroeléctrica.
B = Potencia total instalada Metas PDES al año 2020 con hidroeléctricas</t>
  </si>
  <si>
    <t>Es la potencia total instalada en cada año de evaluación con hidroeléctricas</t>
  </si>
  <si>
    <t>Es la potencia Meta PDES  en hidroelétricas al año 2020.</t>
  </si>
  <si>
    <t>Se detalla la diversificación de la matriz energetica.
Como proxy de la potencia efectiva, se considera la potencia instalada al tratarse de proyectos que no estan en operación comercial.</t>
  </si>
  <si>
    <t>Porcentaje de potencia instalada con termoeléctricas</t>
  </si>
  <si>
    <t>El indicador mide la relación de megavatios instalados con termoeléctricas frente a los megavatios previstos al 2020, expresado en porcentaje.</t>
  </si>
  <si>
    <t xml:space="preserve">PPITE=  (A/B)*100
Donde: 
PPITE = % de Potencia Instalada respecto a la meta PDES 2020 con proyectos termoeléctricos
A = Suma de la potencia instalada hasta el año de la línea base y potencia instalada adicional a través de proyectos de generación termoeléctricas.
B = Potencia total instalada Meta PDES al año 2020 con termoeléctricas
</t>
  </si>
  <si>
    <t>Es la potencia total instalada en cada año de evaluación con termoeléctricas</t>
  </si>
  <si>
    <t>Es la potencia Meta PDES con termoeléctricas al año 2020.</t>
  </si>
  <si>
    <t>Porcentaje de potencia instalada con energías alternativas</t>
  </si>
  <si>
    <t>El indicador mide la relación de megavatios con energías alternativas instalados frente a los megavatios previstos al 2020, expresado en porcentaje.</t>
  </si>
  <si>
    <t xml:space="preserve">PPIEA=  (A/B)*100
Donde: 
PPIEA = % de Potencia Instalada respecto a la meta PDES 2020 con proyectos con energías alternativas
A = Suma de la potencia instalada hasta el año de la línea base y potencia instalada adicional a través de proyectos de generación con energías alternativas.
B = Potencia total instalada Meta PDES al año 2020 con energías alternativas
</t>
  </si>
  <si>
    <t>Es la potencia total instalada en cada año de evaluación con energías alternativas</t>
  </si>
  <si>
    <t>Es la potencia Meta PDES con energías alternativas al año 2020.</t>
  </si>
  <si>
    <t>Porcentaje de potencia instalada a través de generación eléctrica destinada a la exportación</t>
  </si>
  <si>
    <t>El indicador mide la relación de megavatios instalados frente a los megavatios previstos al 2020 para exportación, expresado en porcentaje.</t>
  </si>
  <si>
    <t xml:space="preserve">PPIE =  (A/B)*100
Donde: 
PPIE = % de Potencia Instalada respecto a la meta PDES 2020 destinado a exportación
A = Suma de la potencia instalada hasta el año de la línea base y potencia instalada adicional a través de proyectos de generación destinados a exportación.
B = Potencia total instalada Meta PDES año 2020 para exportación.
</t>
  </si>
  <si>
    <t>Es la potencia instalada en el periodo 2016 a 2017, acorde al PDES 2016-2020, destinados a la exportación</t>
  </si>
  <si>
    <t>Es la potencia Meta PDES al año 2020 destinados a la exportación</t>
  </si>
  <si>
    <t>Los proyectos de exportación estan sujetos a acuerdos bilaterales que definen las condiciones de compra y venta de electricidad</t>
  </si>
  <si>
    <t>Porcentaje de líneas de transmisión extendidas para robustecer el Sistema Interconectado Nacional y destinadas a exportación</t>
  </si>
  <si>
    <t>El indicador mide la relación de líneas de transmisión extendidas frente a las líneas de transmisión previstas al 2020, expresado en porcentaje</t>
  </si>
  <si>
    <t xml:space="preserve">PLT =  (A/B)*100
Donde: 
PLT= % de líneas de transmisión extendidas
A = Líneas de transmisión extendidas
B = Líneas de transmisión extendidas Meta PDES año 2020
</t>
  </si>
  <si>
    <t>Son las líneas de transmisión extendidas en cada año de evaluación</t>
  </si>
  <si>
    <t>Son las líneas de transmisión a ser extendidas en el marco de la Meta PDES al año 2020.</t>
  </si>
  <si>
    <t>1996- 2017</t>
  </si>
  <si>
    <t>De acuerdo a nueva programación a 2020 serán instaladas 2882km de líneas de transmisión, de las cuales 2055km son nuevas incorporaciones en infraestructura de transmisión, asimismo, 514km corresponden a corredores de exportación</t>
  </si>
  <si>
    <t>Longitud de línea, nivel de tensión, otras caracteristicas técnicas</t>
  </si>
  <si>
    <t>Porcentaje de Desarrollo de la Industria Minero Metalúrgica</t>
  </si>
  <si>
    <t>Departamental y por mineral</t>
  </si>
  <si>
    <t>Grado o nivel de transformación de la producción nacional de concentrados a productos con mayor valor agregado</t>
  </si>
  <si>
    <t>donde:
PDIMM    =  Porcentaje de Desarrollo de la Industria Minero Metalúrgica 
VTEVA    =  Volumen Total de Exportación con Valor Agregado 
VTME = Volumen Total de Minerales y Metálicos exportados</t>
  </si>
  <si>
    <t>Volumen Total de Exportación con Valor Agregado (en TM)</t>
  </si>
  <si>
    <t>SENARECOM y ADUANA</t>
  </si>
  <si>
    <t>Volumen Total de Minerales y Metálicos exportados</t>
  </si>
  <si>
    <t>2000-2017</t>
  </si>
  <si>
    <t>Dato preliminar de la gestión 2017</t>
  </si>
  <si>
    <t>DEX</t>
  </si>
  <si>
    <t>Declaración del Exportador</t>
  </si>
  <si>
    <t>Trimestral, Anual</t>
  </si>
  <si>
    <t>Nacional, Departamental</t>
  </si>
  <si>
    <t>Volumen, valor y mineral de las exportaciones</t>
  </si>
  <si>
    <t>Serie disponible con el factor actualizado sólo desde 2000</t>
  </si>
  <si>
    <t>Ministerio de Minería y Metalurgia (MMM)</t>
  </si>
  <si>
    <t>Viceministerio de Política Minera Regulación y Fiscalización (VPMRF)</t>
  </si>
  <si>
    <t>Unidad de Análisis de Política Minera (UAPM)</t>
  </si>
  <si>
    <t>Lic. Lorgio Justiniano
2900060</t>
  </si>
  <si>
    <t>Incremento de la Producción Minera (Empresa Minera Huanuni - EMH)</t>
  </si>
  <si>
    <t>Mineral (Estaño)</t>
  </si>
  <si>
    <t xml:space="preserve">Relación porcentual de variación de la producción anual registrada por la Empresa Minera Huanuni respecto a la producción proyectada al 2020 por la Empresa Minera Huanuni. </t>
  </si>
  <si>
    <t>Producción acumulada Año n (Periodo 2015-2020)</t>
  </si>
  <si>
    <t>Informes Tecnicos de la EMH</t>
  </si>
  <si>
    <t xml:space="preserve">Proyeccion Total acumulada de la produccion al año 2020 </t>
  </si>
  <si>
    <t xml:space="preserve">Informes Tecnicos de la EMH  </t>
  </si>
  <si>
    <t>Dato preliminar de la gestión 2017.
La proyeccion de produccion al 2020 es elaborada por la EMH</t>
  </si>
  <si>
    <t>RP</t>
  </si>
  <si>
    <t>Reporte de Producción</t>
  </si>
  <si>
    <t>Anual y trimestral</t>
  </si>
  <si>
    <t>Empresa Minera Huanuni-EMH</t>
  </si>
  <si>
    <t>Volumen y valor de la produccion de EMH</t>
  </si>
  <si>
    <t>Direccion general de planificacion (DGP)</t>
  </si>
  <si>
    <t xml:space="preserve">Incremento de la Producción Minera (Empresa Minera Colquiri - EMC) </t>
  </si>
  <si>
    <t>Mineral (Zinc)</t>
  </si>
  <si>
    <t xml:space="preserve">Relación porcentual de variación de la producción anual registrada por la Empresa Minera Colquiri respecto a la producción proyectada al 2020 por la Empresa Minera Colquiri. </t>
  </si>
  <si>
    <t>Informes Tecnicos de la EMC</t>
  </si>
  <si>
    <t>Dato preliminar de la gestión 2017.
La proyeccion de produccion al 2020 es elaborada por la EMC</t>
  </si>
  <si>
    <t>Empresa Minera Colquiri- EMC</t>
  </si>
  <si>
    <t>Empresa Minera Colquiri - EMC</t>
  </si>
  <si>
    <t>Volumen y valor de la produccion de EMC</t>
  </si>
  <si>
    <t>Incremento de la Producción Minera (Empresa Minera Corocoro - EMCC)</t>
  </si>
  <si>
    <t>Cátodos de Cobre</t>
  </si>
  <si>
    <t xml:space="preserve">Relación porcentual de variación de la producción anual registrada por la Empresa Minera Corocoro respecto a la producción proyectada al 2020 por la Empresa Minera Corocoro. </t>
  </si>
  <si>
    <t>Producción Año n (Periodo 2016-2020)</t>
  </si>
  <si>
    <t>Informes Tecnicos de la EMCC</t>
  </si>
  <si>
    <t>Dato preliminar de la gestión 2017.
La proyeccion de produccion al 2020 es elaborada por la EMCC</t>
  </si>
  <si>
    <t>Empresa Minera Corocoro- EMCC</t>
  </si>
  <si>
    <t>Volumen y valor de la produccion de EMCC</t>
  </si>
  <si>
    <t>Incremento de la Transformación Minera (Empresa Metalúrgica Karachipampa - EMK)</t>
  </si>
  <si>
    <t>Plomo Metálico</t>
  </si>
  <si>
    <t xml:space="preserve">Relación porcentual de variación de la transformación minera anual registrada por la Empresa Metalurgica Karachipampa respecto a la meta proyectada al 2020 por la Empresa Metalurgica Karachipampa. </t>
  </si>
  <si>
    <t>Informes Tecnicos de la EMK</t>
  </si>
  <si>
    <t>Dato preliminar de la gestión 2017.
La proyeccion de transformación minera al 2020 es elaborada por la EMV</t>
  </si>
  <si>
    <t>Empresa Metalurgica Karachipampa- EMK</t>
  </si>
  <si>
    <t>Volumen y valor de la transformación minera de EMK</t>
  </si>
  <si>
    <t>Plata Metálica</t>
  </si>
  <si>
    <t>Incremento de la Transformación Minera (Empresa Metalúrgica Vinto - EMV)</t>
  </si>
  <si>
    <t>Estaño metálico</t>
  </si>
  <si>
    <t xml:space="preserve">Relación porcentual de variación de la transformación minera anual registrada por la Empresa Metalurgica Vinto respecto a la meta proyectada al 2020 por la Empresa Metalurgica Vinto. </t>
  </si>
  <si>
    <t>Informes Tecnicos de la EMV</t>
  </si>
  <si>
    <t>Empresa Metalurgica Vinto- EMV</t>
  </si>
  <si>
    <t>Volumen y valor de la transformación minera de EMV</t>
  </si>
  <si>
    <t>1.4 De aquí a 2030, garantizar que todos los hombres y mujeres, en particular los pobres y los vulnerables, tengan los mismos derechos a los recursos económicos y acceso a los servicios básicos, la propiedad y el control de la tierra y otros bienes, la herencia, los recursos naturales, las nuevas tecnologías apropiadas y los servicios financieros, incluida la microfinanciación
7.1 De aqui a 2030, aumentar el acceso universal a servicios energeticos asequibles, fiables y modernos</t>
  </si>
  <si>
    <t>1.4.1* Proporción de la población que vive en hogares con acceso a servicios básicos
7.1.2 Proporcion de la poblacion cuya fuente primaria de energia son los combustibles y tecnologías limpias</t>
  </si>
  <si>
    <t>Indicador referido al servicio de gas domiciliario</t>
  </si>
  <si>
    <t>Tasa de cobertura de instalaciones</t>
  </si>
  <si>
    <t>Nacional, departamental</t>
  </si>
  <si>
    <t xml:space="preserve">La sumatoria de las instalaciones del sistema convencional y el sistema virtual entre el total de instalaciones adicionales a partir de la linea base establecidas en el PDES </t>
  </si>
  <si>
    <t>TC= ((Instalaciones convencionales + instalaciones virtuales)/Cantidad de instalaciones establecidos en el PDES)*100</t>
  </si>
  <si>
    <t>Sumatoria de las instalaciones del sistema convencional y el sistema virtual a nivel nacional y departamental</t>
  </si>
  <si>
    <t>Yacimientos Petroliferos Fiscales Bolivianos</t>
  </si>
  <si>
    <t xml:space="preserve">Total de instalaciones adicionales a partir de la linea base establecidas en el PDES </t>
  </si>
  <si>
    <t>PDES</t>
  </si>
  <si>
    <t>La meta del PDES es alcanzar 500.000 instalaciones adicionales a partir la linea base para llegar al 50% de cobertura nacional al 2020.</t>
  </si>
  <si>
    <t>MH</t>
  </si>
  <si>
    <t>Ministerio de Hidrocarburos</t>
  </si>
  <si>
    <t>1997-2017</t>
  </si>
  <si>
    <t>Nacional excepto Tarija (2016-2017 Departamental)</t>
  </si>
  <si>
    <t>Nacional excepto Tarija</t>
  </si>
  <si>
    <t>Conexiones domiciliarias de gas natural</t>
  </si>
  <si>
    <t>Viceministerio de Planificacion y Desarrollo Hidrocarburifero</t>
  </si>
  <si>
    <t>Dirección General de Planificacion y Desarrollo Hidrocarburifero</t>
  </si>
  <si>
    <t>2374050 - 402</t>
  </si>
  <si>
    <t>958 mil viviendas cuentan con gas domiciliario con Sistema Convencional de Distribución.</t>
  </si>
  <si>
    <t>Número de viviendas con Instalaciones de Gas domiciliario bajo Sistema Convencional de Distribucion</t>
  </si>
  <si>
    <t>La sumatoria de las instalaciones del sistema convencional  entre el total de instalaciones adicionales a partir de la linea base establecidas en el PDES (400 mil)</t>
  </si>
  <si>
    <t>TC= ((Instalaciones convencionales )/Cantidad de instalaciones Convencionales establecidos en el PDES)*100</t>
  </si>
  <si>
    <t>Sumatoria de las instalaciones del sistema convencional  a nivel nacional</t>
  </si>
  <si>
    <t xml:space="preserve">Yacimientos Petroliferos Fiscales Bolivianos
</t>
  </si>
  <si>
    <t xml:space="preserve">Total de instalaciones convencionales adicionales a partir de la linea base establecidas en el PDES </t>
  </si>
  <si>
    <t>La meta del PDES es alcanzar 400.000 instalaciones convencionales adicionales a la linea base para llegar a 958 mil viviendas con sistema convencional de distribucion de gas natural</t>
  </si>
  <si>
    <t>Chuquisaca, La Paz, Cochabamba, Oruro, Potosí y Santa Cruz</t>
  </si>
  <si>
    <t>Conexiones domiciliarias de gas natural (sistema convencional)</t>
  </si>
  <si>
    <t>MH
YPFB</t>
  </si>
  <si>
    <t>124 mil viviendas cuentan con gas domiciliario bajo el Sistema Virtual de Distribución o GNL</t>
  </si>
  <si>
    <t>Número de viviendas con Instalaciones de Gas domiciliario bajo Sistema Virtual de Distribucion</t>
  </si>
  <si>
    <t>La sumatoria de las instalaciones del sistema virtual  entre el total de instalaciones adicionales a partir de la linea base establecidas en el PDES (100 mil)</t>
  </si>
  <si>
    <t>TC= ((Instalaciones virtuales )/Cantidad de instalaciones virtuales establecidos en el PDES)*100</t>
  </si>
  <si>
    <t>Sumatoria de las instalaciones del sistema virtual  a nivel nacional</t>
  </si>
  <si>
    <t xml:space="preserve">Total de instalaciones virtuales adicionales a partir de la linea base establecidas en el PDES </t>
  </si>
  <si>
    <t>La meta del PDES es alcanzar 100.000 instalaciones virtuales adicionales a la linea base para llegar a 124 mil viviendas con sistema virtual de distribucion de gas natural</t>
  </si>
  <si>
    <t>2013-2017</t>
  </si>
  <si>
    <t>La Paz, Oruro, Potosí, Santa Cruz, Beni y Pando</t>
  </si>
  <si>
    <t>Conexiones domiciliarias de gas natural (sistema virtual)</t>
  </si>
  <si>
    <t>Volumen Promedio Anual de producción de gas natural al año 2020.</t>
  </si>
  <si>
    <t>Incremento en la produccion promedio anual de gas natural con respecto a la produccion establecida en el PDES para el año 2020 (73 MMmcd)</t>
  </si>
  <si>
    <t>Produccion Gas Natural= (Produccion Anual de Gas Natural/Produccion de gas Natural Establecida en el PDES) * 100</t>
  </si>
  <si>
    <t>Produccion Promedio anual en campos de Explotacion existentes y nuevos campos descubiertos</t>
  </si>
  <si>
    <t>Produccion de Gas Natural  como meta establecida en el PDES (73 MMmcd)</t>
  </si>
  <si>
    <t>YPFB</t>
  </si>
  <si>
    <t xml:space="preserve">El PDES establece como Meta a los 73 MMmcd de produccion fiscalizada de Gas Natural. </t>
  </si>
  <si>
    <t>Produccion Fiscalizada de Gas Natural</t>
  </si>
  <si>
    <t>Produccion fiscalizada de gas Natural</t>
  </si>
  <si>
    <t>Incremento de la producción de hidrocarburos líquidos</t>
  </si>
  <si>
    <t>Incremento en la produccion promedio anual de hidrocarburos liquidos con respecto a la produccion establecida en el PDES para el año 2020 (69 Mil Barriles/dia)</t>
  </si>
  <si>
    <t>Incremento de la Produccion de Hidrocarburos Liquidos= (Produccion Anual de Hidrocarburos Liquidos/Produccion d eHidrocarburos Liquidos Establecida en el PDES) * 100</t>
  </si>
  <si>
    <t>Produccion de Hidrocarburos liquidos como meta establecida en el PDES (69 Mil Barriles/dia )</t>
  </si>
  <si>
    <t>El PDES establece como Meta a los 69 Mil Barriles/dia de produccion fiscalizada de Hidrocarburos Liquidos</t>
  </si>
  <si>
    <t>Produccion Fiscalizada de Hidrocarburos Liquidos</t>
  </si>
  <si>
    <t>Produccion fiscalizada de Hidrocarburos Liquidos</t>
  </si>
  <si>
    <t>Porcentaje de cumplimiento de producción de GLP</t>
  </si>
  <si>
    <t>Incremento en la produccion anual de gas licuado de petroleo con respecto a la produccion de GLP establecida en el PDES para el año 2020 (820 Mil TMA)</t>
  </si>
  <si>
    <t>Produccion GLP= (Suma de produccion de plantas sepsaradoras de liquidos+planta en campo+refinerias)/Produccion de GLP Establecida en el PDES) * 100</t>
  </si>
  <si>
    <t>Suma total de la produccion de GLP en Plantas de Separacion de Liquidos, Refinerias y Plantas de Procesamiento</t>
  </si>
  <si>
    <t>Produccion de GLP como meta establecida en el PDES (820 000 Toneladas metricas/año)</t>
  </si>
  <si>
    <t>El PDES establece como Meta 820 Mil TMA de produccion de GLP</t>
  </si>
  <si>
    <t>Produccion Fiscalizada de Gas Licuado de petroleo</t>
  </si>
  <si>
    <t>Produccion de Gas Licuado de Petroleo</t>
  </si>
  <si>
    <t>Porcentaje de cumplimiento de producción de Diesel Oil</t>
  </si>
  <si>
    <t xml:space="preserve">Incremento en la produccion anual de diesel oil </t>
  </si>
  <si>
    <t>Produccion Diesel Oil = Produccion anual de Diesel Oil/Produccion de DO Programada en el Plan Sectorial del MH) * 100</t>
  </si>
  <si>
    <t>Produccion anual de Diesel Oil en miles de Metros cubicos</t>
  </si>
  <si>
    <t>Produccion de Diesel oil como meta establecida en el PSDI-MH para el año 2020 (2130,91 Miles metros cubicos /año)</t>
  </si>
  <si>
    <t>El PSDI establece como Meta 2130,91 Miles metros cubicos /año de produccion de Diesel Oil</t>
  </si>
  <si>
    <t>Produccion anual de Diesel Oil</t>
  </si>
  <si>
    <t>Porcentaje de cumplimiento de producción de Gasolina Especial</t>
  </si>
  <si>
    <t>Incremento en la produccion anual de Gasolina</t>
  </si>
  <si>
    <t>Produccion Gasolina = Produccion anual de Gasolina/Produccion de Gasolina Programada en el Plan Sectorial del MH) * 100</t>
  </si>
  <si>
    <t>Produccion anual de Gasolina Especial en miles de Metros cubicos</t>
  </si>
  <si>
    <t>Produccion de Gasolina Especial como meta establecida en el PSDI-MH para el año 2020 (1959,05 Miles metros cubicos /año)</t>
  </si>
  <si>
    <t>El PDES establece como Meta 1959,05 Miles metros cubicos /año de produccion de Gasolina Especial</t>
  </si>
  <si>
    <t>Produccion Anual de Gasolina especial</t>
  </si>
  <si>
    <t>20-04-2018</t>
  </si>
  <si>
    <t>9.2</t>
  </si>
  <si>
    <t>Promover una industrialización inclusiva y sostenible y, de aquí a 2030, aumentar significativamente la contribución de la industria al empleo y al producto interno bruto, de acuerdo con las circunstancias nacionales, y duplicar esa contribución en los países menos adelantados</t>
  </si>
  <si>
    <t>Valor agregado por manufactura como porcentaje del PIB y per cápita</t>
  </si>
  <si>
    <t>PIB sector agropecuario y agroindustrial (A precios corrientes)</t>
  </si>
  <si>
    <t>Nacional y departamental</t>
  </si>
  <si>
    <t>Millones de dólares</t>
  </si>
  <si>
    <t>Sumatoria del Producto Interno Bruto a precios corrientes de las actividades:
Agricultura, Silvicultura, Caza y Pesca 
     - Productos Agrícolas no Industriales
     - Productos Agrícolas Industriales
     - Coca
     - Productos Pecuarios
     - Silvicultura, Caza y Pesca
Industrias Manufactureras
     - Alimentos
     - Bebidas y Tabaco</t>
  </si>
  <si>
    <t>PIB a precios corrientes de las actividades:
Agricultura, Silvicultura, Caza y Pesca 
     - Productos Agrícolas no Industriales
     - Productos Agrícolas Industriales
     - Coca
     - Productos Pecuarios
     - Silvicultura, Caza y Pesca
Industrias Manufactureras
     - Alimentos
     - Bebidas y Tabaco</t>
  </si>
  <si>
    <t xml:space="preserve">Cuentas Nacionales </t>
  </si>
  <si>
    <t>1990-2016</t>
  </si>
  <si>
    <t>Dato Preliminar del año 2016 y 2017.</t>
  </si>
  <si>
    <t>CN</t>
  </si>
  <si>
    <t>Cuentas Nacionales</t>
  </si>
  <si>
    <t>Datos Agregados</t>
  </si>
  <si>
    <t>1990-2016(p)</t>
  </si>
  <si>
    <t>Oferta y demanda total por componente; Oferta y demanda final por componente; Producto interno bruto por actividad económica; Producto interno bruto por tipo de gasto; Valor bruto de producción por actividad económica; Valor agregado bruto por actividad económica y Formación bruta de capital fijo</t>
  </si>
  <si>
    <t>Instituto Nacional de Estadística - INE</t>
  </si>
  <si>
    <t>Dirección de Cuentas Nacionales - DCN</t>
  </si>
  <si>
    <t>Unidad de Sintesis Macroeconómica de Coyuntura - USMC</t>
  </si>
  <si>
    <t>(591 )2222333</t>
  </si>
  <si>
    <t>Porcentaje de participacion de la industria manufacturera  en el PIB (A precios corrientes)</t>
  </si>
  <si>
    <t>PIB industria manufacturera a precios corrientes</t>
  </si>
  <si>
    <t>PIB a precios corrientes</t>
  </si>
  <si>
    <t>PIB de la industria manufacturera sin considerar los productos de la refinación del petróleo, a precios corrientes</t>
  </si>
  <si>
    <t>Serie disponible actualizada desde 1990 hasta 2016</t>
  </si>
  <si>
    <t>Valor Bruto de Producción de las MyPES de la Industria Manufacturera</t>
  </si>
  <si>
    <t>Valor bruto de producción (VBP) de las MyPES de la Industria Manufacturera sin considerar productos de refinación del petróleo y minerales metálicos. 
Para determinar el VBP el INE realizó una Encuesta; en base a esta encuenta y la clasificación de unidades productivas (Resolución Ministerial MDPyEP/DESPACHO/N° 180/2016 de 01/08/2016), se determinado el porcentaje aproximado con el que contribuyen la unidades productivas a la generación del VBP: 
- 20% Micro Empresas;
- 5% Pequeñas;
- 26% Medianas; y 
- 49% Grandes</t>
  </si>
  <si>
    <t xml:space="preserve">Sumatoria del Valor bruto de producción (VBP) de las MyPES de la Industria Manufacturera sin considerar productos de refinación del petróleo y minerales metálicos. 
- Carnes frescas y elaboradas
- Productos lácteos
- Productos de molinería y panadería
- Azúcar y confitería
- Productos alimenticios diversos
- Bebidas
- Tabaco elaborado
- Textiles, prendas de vestir y prod. del cuero
- Madera y productos de madera
- Papel y productos de papel
- Substancias y productos químicos
- Productos de minerales no metálicos
- Productos metálicos, maquinaria y equipo
- Productos manufacturados diversos
</t>
  </si>
  <si>
    <t xml:space="preserve">Sumatoria del Valor bruto de producción (VBP) de las MyPES de la Industria Manufacturera sin considerar productos de refinación del petróleo y minerales metálicos. </t>
  </si>
  <si>
    <t>VBP a precios corrientes</t>
  </si>
  <si>
    <t>INE en 2018 realizará una  la encuesta anual a la industria para las mediana y grandes</t>
  </si>
  <si>
    <t>9.3</t>
  </si>
  <si>
    <t>Aumentar el acceso de las pequeñas industrias y otras empresas, particularmente en los países en desarrollo, a los servicios financieros, incluidos créditos asequibles, y su integración en las cadenas de valor y los mercados</t>
  </si>
  <si>
    <t>Porcentaje de PyMEs que accede al financiamiento</t>
  </si>
  <si>
    <t>Saldo de cartera de créditos de las  PyMEs (Persona natural y Jurídica)</t>
  </si>
  <si>
    <t>Es el saldo de cartera de créditos  de las PyMEs del año respecto al saldo de cartera de créditos de las PyMEs del año base (2015).</t>
  </si>
  <si>
    <t>ASFI</t>
  </si>
  <si>
    <t>Saldo de cartera de créditos de las PyMEs del año base (2015).</t>
  </si>
  <si>
    <t>* Las PyMEs son la Media Empresa en la clasificación de ASFI.
- No se cuenta con información del acceso a formación y acceso a tecnología.</t>
  </si>
  <si>
    <t>Saldo de cartera de créditos empresariales</t>
  </si>
  <si>
    <t>Mensual
Anual</t>
  </si>
  <si>
    <t xml:space="preserve">Saldo de cartera de créditos empresariales:
• Gran empresa
• Mediana empresa
• Pequeña empresa
• Microempresa
</t>
  </si>
  <si>
    <t>Porcentaje de MyPEs que accede al financiamiento</t>
  </si>
  <si>
    <t>Saldo de cartera de créditos de las  MyPEs (Persona natural y Jurídica)</t>
  </si>
  <si>
    <t>Es el saldo de cartera de créditos  de las MyPEs del año respecto al saldo de cartera de créditos de las MyPEs del año base (2015).</t>
  </si>
  <si>
    <t>Saldo de cartera de créditos de las MyPEs del año base (2015).</t>
  </si>
  <si>
    <t>* Las MyPEs son la Media Empresa en la clasificación de ASFI.
- No se cuenta con información del acceso a formación y acceso a tecnología.</t>
  </si>
  <si>
    <t>06012</t>
  </si>
  <si>
    <t>17.11</t>
  </si>
  <si>
    <t>Aumentar significativamente las exportaciones de los países en desarrollo, en particular con miras a duplicar la participación de los países menos adelantados en las exportaciones mundiales de aquí a 2020</t>
  </si>
  <si>
    <t>17.11.1</t>
  </si>
  <si>
    <t>Participación de los países en desarrollo y los países menos adelantados en las exportaciones mundiales</t>
  </si>
  <si>
    <t>Particpación de las exportaciones de la Industria Manufacturera</t>
  </si>
  <si>
    <t>Por producto
Por país destino
Por valor</t>
  </si>
  <si>
    <t>Exportaciones de la industria manufacturera (sin incluir minerales metálico y refinados el petróleo) en relación al total de las exportaciones.</t>
  </si>
  <si>
    <t>Valor de las exportaciones de la Industria Manifacturera*
* No se incluye productos metalicos y refinados el petroleo.</t>
  </si>
  <si>
    <t>INE -En base a registros de la Aduana Nacional</t>
  </si>
  <si>
    <t>Valor de las exportaciones totales</t>
  </si>
  <si>
    <t>1992-2018</t>
  </si>
  <si>
    <t>Para este indicador se utiliza la clasificación por actividad económica</t>
  </si>
  <si>
    <t>SIDUNEA 
SUMA</t>
  </si>
  <si>
    <t xml:space="preserve">Registros de Exportaciones de la Aduana Nacional declarados en:
Sistema Aduanero Automatizado – SIDUNEA
Sistema Único de Modernización Aduanera - SUMA
</t>
  </si>
  <si>
    <t>1992 - 2018</t>
  </si>
  <si>
    <t>Nacional 
Departamental</t>
  </si>
  <si>
    <t>Volumen y Valor de las Exportaciones Nacionales, País Destino, Clasificadores Internacionales y Nacionales de Exportaciones</t>
  </si>
  <si>
    <t xml:space="preserve">Las Exportaciones son Nacionales (No incluye reexportaciones ni efectos personales).
Datos Preliminares para los periodos 2016-2017.
</t>
  </si>
  <si>
    <t xml:space="preserve">Instituto Nacional de Estadística - INE </t>
  </si>
  <si>
    <t xml:space="preserve">Dirección de Estadísticas e Indicadores Económicos y Sociales - DEIES </t>
  </si>
  <si>
    <t xml:space="preserve">Unidad de Estadísticas e Indicadores Económicos </t>
  </si>
  <si>
    <t>Telf. 2222333 Int. 485</t>
  </si>
  <si>
    <t>Volumen de las exportaciones de productos agropecuarios.</t>
  </si>
  <si>
    <t>Por producto, por país destino, por valor</t>
  </si>
  <si>
    <t>Miles de Toneladas</t>
  </si>
  <si>
    <t>Volumen de la exportaciones en miles de toneladas brutas de productos agropecuarios</t>
  </si>
  <si>
    <t>Sumatoria del volumen de las exportaciones de productos agropecuarios (En miles de toneladas brutas)</t>
  </si>
  <si>
    <t>10012781</t>
  </si>
  <si>
    <t>Número de estrategias elaboradas e implementadas en las negociaciones de la Convención Marco de Naciones Unidas sobre Cambio Climático (CMNUCC).</t>
  </si>
  <si>
    <t>Número de estrategias anuales elaboradas conjuntamente con la APMT, MRE y VMA, a fin de negociar la posición país en la Convención Marco de Naciones Unidas sobre Cambio Climático (CMNUCC), promoviendo la incorporación de los principios de equidad y responsabilidades comunes pero diferenciadas, el fortalecimiento de medios de implementación, mecanismos no basados en el mercado, justicia climática y mecanismos de cumplimiento internacional.
* Elaboración de Estrategia de negociación.- son acciones que se llevan a cabo con el fin de cumplir los objetivos propuestos que muchas veces son plamados o descritos en documentos.</t>
  </si>
  <si>
    <t>Suma del número de estrategias de negociación elaboradas e implementadas en el proceso de negociacion de la Convención Marco de Naciones Unidas sobre Cambio Climático (CMNUCC).</t>
  </si>
  <si>
    <t>Número de estrategias de negociación elaboradas e implementadas</t>
  </si>
  <si>
    <t>MRE</t>
  </si>
  <si>
    <t>Archivo del MRE</t>
  </si>
  <si>
    <t>Decisiones
Resoluciones</t>
  </si>
  <si>
    <t>El 2015 se elaboro una estrategia de negociación de incorporación del respeto a la protección de la integridad ambiental de la Madre Tierra y justicia climática en la Convención Marco de Naciones Unidas sobre Cambio Climático (CMNUCC) en decisiones de la COP 18 y en el Acuerdo de Paris.
Del 2016 al 2020, se prevee elaborar 5 estrategias de negociación.</t>
  </si>
  <si>
    <t>Ministerio de Relaciones Exteriores (coordinando con la APMT y el VMA)</t>
  </si>
  <si>
    <t>Viceministerio de Relaciones Exteriores</t>
  </si>
  <si>
    <t>Dirección General de Relaciones Multilaterales</t>
  </si>
  <si>
    <t>10022791</t>
  </si>
  <si>
    <t>Número de reuniones para la conformación del grupo de trabajo para la elaboración de la propuesta de Declaración de los Derechos de la Madre Tierra</t>
  </si>
  <si>
    <t>Número de reuniones para la conformación del Grupo de Trabajo sobre armonía con la naturaleza que trabaja la Declaracion de los Derechos de la Madre Tierra.
*Este tipo de reuniones se desarrrolla en espacios internacionales de negociación  generados por NNUU, permitiendo a Bolivia intercambiar criterios con otros pais a fin de obtener apoyo en este caso particular la conformación del grupo de trabajo</t>
  </si>
  <si>
    <t>Suma del número de reuniones para la conformación del Grupo de Trabajo   sobre armonía con la naturaleza que trabaja la Declaracion de los Derechos de la Madre Tierra</t>
  </si>
  <si>
    <t>Número de reuniones para la conformación del Grupo de Trabajo sobre armonía con la naturaleza que trabaja la Declaracion de los Derechos de la Madre Tierra</t>
  </si>
  <si>
    <t>100227911</t>
  </si>
  <si>
    <t>Decisiones
Resoluciones, Actas</t>
  </si>
  <si>
    <t>El 2015, no se realizo ninguna renión en el marco de la conformacion del grupo de trabajo.
Del 2016 al 2020 se pretende realizar 10  reniones en el marco de la conformacion del grupo de trabajo.</t>
  </si>
  <si>
    <t>Ministerio de Relaciones Exteriores</t>
  </si>
  <si>
    <t>10022801</t>
  </si>
  <si>
    <t>Propuesta de la Declaración de los Derechos de la Madre Tierra elaborada y presentada al grupo de trabajo sobre Armonía con la naturaleza para su consideración en Naciones Unidas (NNUU)</t>
  </si>
  <si>
    <t>Propuesta elaborada y presentada sobre  la Declaración de los Derechos de la Madre Tierra  en Naciones Unidas (NNUU).</t>
  </si>
  <si>
    <t>100228011</t>
  </si>
  <si>
    <t>Propuesta elaborada y presentada</t>
  </si>
  <si>
    <t>El 2009 Naciones Unidas Reconoció el concepto y termino de Madre Tierra.
Al 2020 se presentara la propuesta de Bolivia sobre la Declaración de los Derechos de la Madre Tierra</t>
  </si>
  <si>
    <t>10032811</t>
  </si>
  <si>
    <t>- Se toma en cuenta los instrumentos internacionales celebrados en espacios de integracion: Decisiones, Resoluciones, Directivas, Declaraciones y otros instrumentos de carácter económico o comercial.
- Celebración de Instrumentos Internacionales: es el acto a través del cual los sujetos de derecho internacional manifiestan su consentimiento en un documento.</t>
  </si>
  <si>
    <t>Suma del número de instrumentos internacionales celebrados en espacios de integracion, para facilitar el comercio exterior, entre 2016-2020</t>
  </si>
  <si>
    <t>Número de instrumentos internacionales celebrados en espacios de integracion, como UNASUR, CAN, MERCOSUR Y ALADI, para facilitar el comercio exterior.</t>
  </si>
  <si>
    <t xml:space="preserve">MRE
</t>
  </si>
  <si>
    <t>2015-2018</t>
  </si>
  <si>
    <t>100328111</t>
  </si>
  <si>
    <t>Informes
Decisiones, Resoluciones, Directivas, Declaraciones y otros instrumentos de carácter económico o comercial.</t>
  </si>
  <si>
    <t>- El 2015 se celebraron 7 instrumentos internacionales: 4 corresponden a acuerdos firmados y/o ratificados. (Memorándum de Entendimiento de Aguas Profundas con la República de Uruguay, Declaración de la Isla de Esteves con Perú, Comunicado Conjunto con Paraguay y Ratificación por Brasil del Acuerdo de Concesión de un Depósito Franco a Bolivia en el Puerto de Paranaguá); y 3 corresponden a Decisiones para optimizar el comercio en países de la CAN, suscritas en la 115va Sesión Ordinaria de Comisión Económica.
- Del 2016 al 2020 se tiene como objetivo que 25 instrumentos internacionales celebrados en el marco de la UNASUR, MERCOSUR y CAN  sean en beneficio del comercio boliviano.</t>
  </si>
  <si>
    <t>Ministerio de Relaciones Exteriores - MRE</t>
  </si>
  <si>
    <t>Viceministerio de Comercio Exterior e Integracion - VCEI</t>
  </si>
  <si>
    <t>Direccion General de Integracion y Cooperacion Economica - DGICE</t>
  </si>
  <si>
    <t>10032812</t>
  </si>
  <si>
    <t>Propuestas elaboradas y  negociadas en espacios de UNASUR</t>
  </si>
  <si>
    <t>Suma del número de propuestas elaboradas y negociadas en espacios de UNASUR, entre 2016-2020.</t>
  </si>
  <si>
    <t>Número de propuestas elaboradas y negociadas en espacios de UNASUR.</t>
  </si>
  <si>
    <t>100328121</t>
  </si>
  <si>
    <t>Informes de participación en UNASUR</t>
  </si>
  <si>
    <t>- En el 2015, se elaboró una propuesta que fue negociada y considerada en el documento final de UNASUR.
- Del 2016 al 2020 se elaborarán 5 propuestas para ser negociadas en el marco de la UNASUR, desde una visión de los pueblos, sin hegemonismo imperial.
- En el primer trimestre de la gestion 2018 se reporto 1 propuesta negociada en el marco de la UNASUR.</t>
  </si>
  <si>
    <t xml:space="preserve">Viceministerio de Relaciones Exteriores - VRE </t>
  </si>
  <si>
    <t>Dirección General de Relaciones Multilaterales - DGRM</t>
  </si>
  <si>
    <t>17.6. Mejorar la cooperación regional e internacional Norte-Sur, Sur-Sur y triangular en materia de ciencia, tecnología e innovación y el acceso a estas, y aumentar el intercambio de conocimientos en condiciones mutuamente convenidas, incluso mejorando la coordinación entre los mecanismos existentes, en particular a nivel de las Naciones Unidas, y mediante un mecanismo mundial de facilitación de tecnología.</t>
  </si>
  <si>
    <t xml:space="preserve">17.6.1. Número de acuerdos y programas de cooperación en materia de ciencia y tecnología celebrados entre países, desglosado por tipo de cooperación.
</t>
  </si>
  <si>
    <t>PROXY (Número de Estados o Repúblicas con programas de cooperación en materia de ciencia o tecnología, suscritos por los países, para el caso la cooperación Sur-Sur)</t>
  </si>
  <si>
    <t>PARCIAL (Sólo se considerán el número de Estados o Repúblicas con programas en el marco de la cooperación Sur-Sur)</t>
  </si>
  <si>
    <t>10032813</t>
  </si>
  <si>
    <t>Relacionamiento del Estado Plurinacional de Bolivia con países,  para el fortalecimiento de la cooperación Sur Sur  (Para PDES al 2020, se espera llegar a 9 países y para ODS al 2030, se espera llegar a 12 países)</t>
  </si>
  <si>
    <t>(Número de Estados o Repúblicas con Programas de cooperación Sur-Sur suscritos/Meta PDES (ODS) del número de Estados o Repúblicas con Programas de cooperación Sur-Sur suscritos)*100</t>
  </si>
  <si>
    <t>El numerador hace alusión al número de Países o Estados con los cuales Bolivia ha suscrito al menos un Programa de Cooperación Sur-Sur</t>
  </si>
  <si>
    <t>Base de datos y Archivo del MPD-VIPFE en la Unidad de Negociación del Financiamiento</t>
  </si>
  <si>
    <t>Meta del número de países con los cuales Bolivia suscribirá Programas  de cooperación Sur-Sur para el 2020 (PDES) y 2030 (ODS)</t>
  </si>
  <si>
    <t>2013-2018</t>
  </si>
  <si>
    <t>Para la suscripción de cada Programa se requiere de forma previa la existencia de un Convenio Marco, y a partir del mismo se celebran Programas bienalmente, los mismos que contienen proyectos</t>
  </si>
  <si>
    <t>100328131</t>
  </si>
  <si>
    <t>MPD-VIPFE</t>
  </si>
  <si>
    <t>Acta de Reuniones de Comisión Mixtas Celebradas y suscritas</t>
  </si>
  <si>
    <t>Registros Adminsitrativos</t>
  </si>
  <si>
    <t xml:space="preserve">Anual </t>
  </si>
  <si>
    <t>- Número de Programas y Proyectos suscritos. 
- Nombre y número de Estados o Repúblicas con los que se tienen Programas suscritos.
- Sectores de los Proyectos de cooperación Sur Sur</t>
  </si>
  <si>
    <t>- Para PDES al 2020, se espera llegar a 9 países con los que se tengan Programas de cooperación Sur-Sur suscritos.
- Para los ODS al 2030, se espera llegar a 12 países con Programas de cooperación Sur-Sur suscritos.</t>
  </si>
  <si>
    <t>Ministerio de Planificación del Desarrollo - MPD</t>
  </si>
  <si>
    <t>Viceministerio de Inversión Públicas y Financiamiento Externo - VIPFE</t>
  </si>
  <si>
    <t>Unidad de Negociación del Financiamiento - UNF</t>
  </si>
  <si>
    <t>2189000 Int. 901</t>
  </si>
  <si>
    <t>10032831</t>
  </si>
  <si>
    <t>Número de reuniones asistidas en el marco del ALBA-TCP promoviendo si liderazgo politico e ideologico.</t>
  </si>
  <si>
    <t>Número de reuniones asistidas en las diferentes instancias del ALBA-TCP</t>
  </si>
  <si>
    <t>Suma del número de reuniones asistidas en las diferentes instancias del ALBA-TCP, entre 2016-2020</t>
  </si>
  <si>
    <t>100328311</t>
  </si>
  <si>
    <t>Documentos del MRE</t>
  </si>
  <si>
    <t>Informes, Declaraciones, Pronunciamientos, Recomendaciones y otros instrumentos de carácter económico, comecial, social o político emanados de las diferentes instancias del ALBA-TCP y de reuniones de Alto Nivel</t>
  </si>
  <si>
    <t>- En el año 2015 se participó en 2 reuniones en el marco del ALBA-TCP
- Para el periodo 2016-2020 se plantea concretar 12 participaciones en el marco del ALBA-TCP, lo que permite un mejor  posicionamiento  del país en este foro de integración.
- En el primer trimestre de la gestión 2018 se reporto 2 participaciones en el marco del ALBA-TCP.</t>
  </si>
  <si>
    <t>10032832</t>
  </si>
  <si>
    <t>Número de propuestas elaboradas y negociadas en la CELAC con un enfoque de libercación de los pueblos, promoviendo su liderazgo político e ideológico en la Región</t>
  </si>
  <si>
    <t xml:space="preserve">Se contabiliza el número de propuestas elaboaradas y negociadas en la CELAC con un enfoque de liberación de los pueblos, promoviendo su liderazgo político e ideológico en la Región </t>
  </si>
  <si>
    <t>Suma del número de propuestas elaboradas y negociadas en la CELAC, entre 2016-2020</t>
  </si>
  <si>
    <t>Número de propuestas elaboradas y negociadas en la CELAC con un enfoque de liberación de los pueblos, promoviendo su liderazgo político e ideológico en la Región</t>
  </si>
  <si>
    <t>100328321</t>
  </si>
  <si>
    <t>Documentos elaborados que incorporan la propuesta boliviana de liberación de los pueblos</t>
  </si>
  <si>
    <t xml:space="preserve">- En el año 2015, se elaboró una propuesta que fue negociada en el marco de la CELAC, de la cual resultó la incorporación de temas de la política Internacional boliviana, tanto en las Declaraciones Especiales, como en la Declaración de Belén y El Plan de Acción 2015 de la III Cumbre de la CELAC. 
- Para el periodo 2016-2020 se pretende negociar 8 propuestas  en la CELAC con un enfoque de liberación de los pueblos promoviendo el liderazgo político e ideológico en la Región. 
- En el primer trimestre de la gestión 2018  se negocio 1  propuestas  en la CELAC con un enfoque de liberación de los pueblos promoviendo el liderazgo político e ideológico en la Región. </t>
  </si>
  <si>
    <t>Viceministerio de Relaciones Exteriores -VCEI</t>
  </si>
  <si>
    <t>10032841</t>
  </si>
  <si>
    <t>Grado de avance del Plan de Desarrollo Integral Fronterizo Bolivia - Perú</t>
  </si>
  <si>
    <t>Se mostrará el avance en la elaboración del Plan de Desarrollo Integral Fronterizo Bolivia - Perú, el cual tiene un  enfoque integral, para el desarrollo de las comunidades y fortalecimiento de comercio en la zona de integración fronteriza Perú – Bolivia, bajo los principios de complemetariedad y solidaridad. El mismo será presentado al MPD.</t>
  </si>
  <si>
    <t>(Número de actividades realizadas para elaborar el Plan de Desarrollo Integral Fronterizo Bolivia - Perú/Número de actividades programadas para elaborar el Plan de Desarrollo Integral Fronterizo Bolivia - Perú)*100</t>
  </si>
  <si>
    <t>Número de actividades realizadas para elaborar el Plan de Desarrollo Integral Fronterizo Bolivia - Perú</t>
  </si>
  <si>
    <t>Número de actividades programadas para elaborar el Plan de Desarrollo Integral Fronterizo Bolivia - Perú</t>
  </si>
  <si>
    <t>100328411</t>
  </si>
  <si>
    <t>Informes de avance del Plan de Desarrollo Integral Fronterizo Bolivia - Perú</t>
  </si>
  <si>
    <t>- Al 2015 se cuenta 1 Plan de integración del desarrollo del sector amazónico de la zona de integración fronteriza Perú- Bolivia negociado.
'- Hasta el 2018 se remitirá al MPD, 1 Plan de integración del desarrollo del sector amazónico de la zona de integración fronteriza Perú- Bolivia, el mismo se encuentra en proceso de elaboración.</t>
  </si>
  <si>
    <t>10042851</t>
  </si>
  <si>
    <t xml:space="preserve">Número de participaciones de las organizaciones sociales en los organimos internacionales </t>
  </si>
  <si>
    <t>El indicador mostrará las participaciones de las organizaciones sociales en los organimos internacionales (OEA, UNASUR, MERCOSUR, CELAC, ALBA-TCP o NNUU), como muestra de las politicas liberadoras y soberania de nuestros pueblos</t>
  </si>
  <si>
    <t xml:space="preserve">Suma del número de participaciones de organizaciones sociales que garantizan la representacion boliviana  en los organimos internacionales, entre 2016-2020 </t>
  </si>
  <si>
    <t>Número de participaciones de organizaciones sociales en los organimos internacionales (OEA, UNASUR, MERCOSUR, CELAC, ALBA-TCP o NNUU).</t>
  </si>
  <si>
    <t>100428511</t>
  </si>
  <si>
    <t>Informes sobre las participaciones de organizaciones sociales en distintos espacios como OEA, CAN, MERCOSUR, CELAC, ALBA-TCP o NNUU</t>
  </si>
  <si>
    <t>- El 2015 se participó en 4 espacios internacionales  (ONU, OEA, UNASUR y MERCOSUR) con los delegados de las organizaciones indígena originaria campesinas y de comunidades interculturales de Bolivia.
- Entre 2016 y 2020 se concretarán 16 participaciones de organizaciones sociales ante: OEA, UNASUR, MERCOSUR, CELAC,  ALBA-TCP o NNUU.
- En el primer trimestre de la gestion 2018 se reporto 1 participación de organizaciones sociales ante NNUU.</t>
  </si>
  <si>
    <t>10042861</t>
  </si>
  <si>
    <t>Número de participaciones en  ALADI, ALBA - TCP, UNASUR, CELAC, CAN y MERCOSUR que contribuyen al fortalecimiento institucional de estos bloques de Integración</t>
  </si>
  <si>
    <t xml:space="preserve">Número </t>
  </si>
  <si>
    <t>Participación en los diferentes espacios de integración (ALADI, ALBA - TCP, UNASUR, CELAC, CAN y MERCOSUR) que contribuyen a fortalecimiento institucional</t>
  </si>
  <si>
    <t>Suma del número de participaciones realizadas en la ALADI, ALBA-TCP, UNASUR, CELAC, CAN y MERCOSUR, a fin de contribuir a su  fortalecimiento institucional, entre 2016-2020</t>
  </si>
  <si>
    <t>Número de participaciones realizadas en la ALADI, ALBA-TCP, UNASUR, CELAC, CAN y MERCOSUR, a fin de contribuir a su fortalecimiento institucional.</t>
  </si>
  <si>
    <t>100428611</t>
  </si>
  <si>
    <t>Informes de participación en ALADI, ALBA-TCP, UNASUR, CELAC, CAN y MERCOSUR</t>
  </si>
  <si>
    <t>- El 2015 se participó en 49 reuniones: 
- ALADI-1 
- ALBA-TCP-2
- UNASUR-20
- CELAC-20
- CAN-1
- MERCOSUR-5
- Entre 2016 y 2020 se tiene la meta de participar en 110 reuniones en los siguientes espacios:
- ALADI
- ALBA-TCP
- UNASUR
- CELAC
- CAN
- MERCOSUR
- En el año 2017 hubo participación extraordinaria en la ALADI, debido a la realizacion de la Expo ALADI 2017 en la ciudad de Santa Cruz de la Sierra lo cual se refleja en un avance parcial al 2017 de 46 participaciones en reuniones de organiosmo internacionales.</t>
  </si>
  <si>
    <t>10042871</t>
  </si>
  <si>
    <t>Número de propuestas a ser negociadas en las resoluciones de NNUU y OEA relativas a la cultura de la vida, de paz y elementos del modelo civilizatorio del Vivir Bien</t>
  </si>
  <si>
    <t>Se presentarán las propuestas a ser negociadas en las resoluciones de NNUU y OEA relativas a la cultura de la vida, de paz y elementos del modelo civilizatorio del Vivir Bien</t>
  </si>
  <si>
    <t>Suma del número de propuestas elaboradas y negociadas en las resoluciones de NNUU y OEA, entre 2016-2020</t>
  </si>
  <si>
    <t>Suma del número de propuestas elaboradas y negociadas en las resoluciones de NNUU y OEA</t>
  </si>
  <si>
    <t>100428711</t>
  </si>
  <si>
    <t xml:space="preserve">Propuestas elaboradas para su negociación en NNUU y OEA 
</t>
  </si>
  <si>
    <t>- En el 2015 se elaboraron 9 Propuestas que fueron negociadas en NNUU y la OEA.
- Para el periodo 2016-2020 se tiene la meta de elaborar y negociar 14 Propuestas en NNUU y la OEA.
- En el primer trimestre de la gestión 2018 se reporto 1 una propuesta negociada en e marco de NNUU.</t>
  </si>
  <si>
    <t>10042881</t>
  </si>
  <si>
    <t>Número de Visitas de Alto Nivel de carácter Bilateral</t>
  </si>
  <si>
    <t>Número de Visitas oficiales de Alto Nivel de carácter Bilateral que se realizan una vez que ambos paises deciden concertar un encuentro a nivel de Mandatarios de Estados o Ministros de Relaciones Exteriores de dos paises</t>
  </si>
  <si>
    <t>Suma del número de Visitas oficiales de Alto Nivel realizadas entre 2016 - 2020</t>
  </si>
  <si>
    <t>Número de Visitas oficiales de Alto Nivel de carácter Bilateral</t>
  </si>
  <si>
    <t>100428811</t>
  </si>
  <si>
    <t>Informes del MRE</t>
  </si>
  <si>
    <t>Informes de las Visitas de Alto Nivel oficiales</t>
  </si>
  <si>
    <t xml:space="preserve">- En el 2015 se coordinaron 11 visitas Oficiales de Alto Nivel de carácter Bilateral entre las más destacables: el Encuentro de Movimientos Sociales con el Papa Francisco en Santa Cruz y el Encuentro Presidencial y Primer Gabinete Binacional de Ministros Perú-Bolivia.
- Para el periodo 2016-2020 se realizarán 63 Visitas Oficiales,  las cuales permiten dinamizar los temas más importantes y estratégicos de la Agenda Bilateral con los diferentes países del mundo.
- En el primer trimestre de la gestión 2018 se reporto 3  Visitas oficiales de Alto Nivel. </t>
  </si>
  <si>
    <t>Direccion General de Relaciones Bilaterales - DGRB</t>
  </si>
  <si>
    <t>10042882</t>
  </si>
  <si>
    <t>Número de Instrumentos Internacionales suscritos en el marco de la Ley de Celebración de Tratados Internacionales</t>
  </si>
  <si>
    <t>Número de Instrumentos Internacionales en el marco de la Ley de Celebración de Tratados (Ley 401), como ser: Memorandum de entendimiento, Actas, Acuerdos, Convenios y Tratados</t>
  </si>
  <si>
    <t>Suma de los Instrumentos Internacionales suscritos en el marco de la Ley de Celebración de Tratados, entre 2016-2020</t>
  </si>
  <si>
    <t xml:space="preserve">Número de instrumentos internacionales suscritos en el marco de la Ley de Celebración de Tratados </t>
  </si>
  <si>
    <t>100428821</t>
  </si>
  <si>
    <t>Archivos de Tratados del MRE</t>
  </si>
  <si>
    <t>Instrumentos Internacionales suscritos de carácter político, económico - comercial, social y cultural.</t>
  </si>
  <si>
    <t>- En el 2015 se suscribieron 23 acuerdos bilaterales firmados en las áreas estratégicas para el Estado Plurinacional.
- Entre 2016-2020 se suscribirán 120 Instrumentos Internacionales bilaterales en el marco del cumplimiento de la normativa de la Ley 401. Los mismos permitirán concretar acciones y compromisos entre Bolivia y otros países, fortaleciendo las relaciones bilaterales y posicionando temas políticos, económico - comerciales, sociales y culturales.
- En el Primer trimestre de la gestión 2018 se reportó 3 instrumentos internacionales suscritos.</t>
  </si>
  <si>
    <t>10042883</t>
  </si>
  <si>
    <t>Número de reuniones de Mecanismos Bilaterales</t>
  </si>
  <si>
    <t>La realización de mecanismos de diálogo bilateral permite trabajar los diferentes temas de la Agenda Bilateral, dar seguimiento y articular al trabajo de diferentes sectores, teniendo una periodicidad y estableciendo compromisos concretos para profundizar las relaciones bilaterales.</t>
  </si>
  <si>
    <t>Suma de reuniones de Mecanismos Bilaterales (Consultas Políticas, Comisiones Mixtas, Comisiones Bilaterales Sectoriales, Mecanismos de Cooperación, Comités de Fronteras y Gabinetes Binacionales Ministeriales), entre 2016-2020</t>
  </si>
  <si>
    <t>Numero de reuniones de Mecanismos Bilaterales (Consultas Políticas, Comisiones Mixtas, Comisiones Bilaterales Sectoriales, Mecanismos de Cooperación, Comités de Fronteras y Gabinetes Binacionales Ministeriales)</t>
  </si>
  <si>
    <t>100428831</t>
  </si>
  <si>
    <t>Actas e Informes del MRE</t>
  </si>
  <si>
    <t>políticos, económico - comerciales, sociales y culturales</t>
  </si>
  <si>
    <t>- En 2015 se realizaron 16 Mecanismos Bilaterales sobre Diálogo Político, Temas Regionales, Cooperación, Seguridad y Defensa, Cooperación Económica.
- Entre 2016-2020 se realizarán 78 Mecanismos Bilaterales sobre Diálogo Político, Temas Regionales, Cooperación, Seguridad y Defensa, Cooperación Económica.
- En el primer trimestre de la gestion 2018 se reporto 2 mecanismos bilaterales.</t>
  </si>
  <si>
    <t>PROXY (No se tiene el desgloce por tipo de cooperación)</t>
  </si>
  <si>
    <t>PARCIAL (Sólo contabiliza los acuerdos de cooperación en materia de ciencia y tecnología)</t>
  </si>
  <si>
    <t>10042884</t>
  </si>
  <si>
    <t>Número de acuerdos internacionales suscritos en materia de ciencia y tecnología</t>
  </si>
  <si>
    <t>Número de instrumentos internacionales (Actas, Memorándums de Entendimiento, Acuerdos, Convenios o Tratados) suscritos en materia de ciencia y tecnología</t>
  </si>
  <si>
    <t>Suma de instrumentos internacionales suscritos en materia de ciencia y tecnología, entre 2016-2030</t>
  </si>
  <si>
    <t>Número de instrumentos internacionales suscritos en materia de ciencia y tecnología</t>
  </si>
  <si>
    <t>100428841</t>
  </si>
  <si>
    <t>Actas, Memorándums de Entendimiento, Acuerdos, Convenios o Tratados suscritos en materia de ciencia y tecnología</t>
  </si>
  <si>
    <t>- En el 2015 se suscribieron 12 instrumentos bilaterales en materia de ciencia y tecnologia.</t>
  </si>
  <si>
    <t>Viceministerio de Relaciones Exteriores - VRE</t>
  </si>
  <si>
    <t>10042891</t>
  </si>
  <si>
    <t>Número de nuevos mercados aperturados, a través de misiones diplomáticas</t>
  </si>
  <si>
    <t>Número de nuevos mercados de destino para exportación de productos</t>
  </si>
  <si>
    <t>Suma de nuevos mercados aperturados, entre 2016-2020</t>
  </si>
  <si>
    <t>Número de mercados aperturados</t>
  </si>
  <si>
    <t>100428911</t>
  </si>
  <si>
    <t>Acuerdos negociados y renegociados para exportación</t>
  </si>
  <si>
    <t>- El 2015 se aperturó un nuevo mercado Bolivia-Mexico (ENATEX- Empresa Pública Nacional Estratégica de Textiles)
- Del 2016 al 2020 se prevé aperturar 5 nuevos mercados que permiten la exportación de nuevos productos de Bolivia al exterior.</t>
  </si>
  <si>
    <t>Dirección General de Acuerdos Comerciales e Inversión - DGACI</t>
  </si>
  <si>
    <t>PROXY (Se contabiliza las exportaicones que salieron con destino a países desarrollados, para las que se emitió certificados de origen y además se cuenta con un Acuerdo Comercial con el país de destino)</t>
  </si>
  <si>
    <t>10042892</t>
  </si>
  <si>
    <t>Porcentaje de las exportaciones que gozan de una preferencia arancelaria en países desarrollados</t>
  </si>
  <si>
    <t>- Exportaciones totales
- Exportaciones con destino a países desarrollados</t>
  </si>
  <si>
    <t>Se refiere al porcentaje de las exportaciones (totales) que gozan de una preferencia arancelaria en un país desarrollado</t>
  </si>
  <si>
    <t xml:space="preserve">(Exportaciones con Certificado de Origen y Acuerdo Comercial a países desarrollados/Exportaciones totales)*100  </t>
  </si>
  <si>
    <t>Monto de exportaciones con emisiones de Certificados de Origen y Acuerdo Comercial que tuvieron como destino un país desarrollado</t>
  </si>
  <si>
    <t>INE (En base a registros administrativos de AN)</t>
  </si>
  <si>
    <t>Monto total de exportaciones</t>
  </si>
  <si>
    <t>La preferencia arancelaria se define como la emsión de los certificados de origen tipo ALADI,MERCOSURC, SGP (SISTEMA GENERAL DE PREFERENCIAS) y VENEZUELA</t>
  </si>
  <si>
    <t>100428921</t>
  </si>
  <si>
    <t>INE</t>
  </si>
  <si>
    <t>Base de datos del INE</t>
  </si>
  <si>
    <t>- Exportaciones con Certificados de Origen y cuyo país de destino tiene Acuerdo Comercial, por tanto goza de PAR
- Exportaciones totales</t>
  </si>
  <si>
    <t>Cuando existen solicitudes de emisión  de certificado de origen y se tiene un Acuerdo Comercial con el país de destino, casi siempre se beneficia la exportación de la preferencia arancelaria en el país de destino.</t>
  </si>
  <si>
    <t>Unidad de estadísticas e indicadores económicos - UEIE</t>
  </si>
  <si>
    <t>2222333 Int. 485</t>
  </si>
  <si>
    <t>10042893</t>
  </si>
  <si>
    <t>Porcentaje de las exportaciones no tradicionales que gozan de una preferencia arancelaria en países desarrollados</t>
  </si>
  <si>
    <t>- Exportaciones de productos no tradicionales
- Exportaciones con destino a países desarrollados</t>
  </si>
  <si>
    <t>Se refiere al porcentaje de las exportaciones (no tradicionales) que gozan de una preferencia arancelaria en un país desarrollado</t>
  </si>
  <si>
    <t xml:space="preserve">(Exportaciones no tradicionales con Certificado de Origen y Acuerdo Comercial a países desarrollados/Exportaciones totales)*100  </t>
  </si>
  <si>
    <t>Monto de exportaciones no tradicionales con emisiones de Certificados de Origen y Acuerdo Comercial que tuvieron como destino un país desarrollado</t>
  </si>
  <si>
    <t>100428931</t>
  </si>
  <si>
    <t>- Exportaciones no tradicionales con Certificados de Origen y cuyo país de destino tiene Acuerdo Comercial, por tanto goza de PAR
- Exportaciones totales</t>
  </si>
  <si>
    <t>10052901</t>
  </si>
  <si>
    <t>Número de Redes Subregional de Solidaridad  que busquen la creación de una organización mundial de los pueblos y de la Madre Tierra</t>
  </si>
  <si>
    <t>Comites de Solidaridad  conformados.
*Los comites de solidaridad, se conforman de manera bilateral, es decir que Bolivia realizara las gestiones necesarias con otros pais de a nivel regional o subregional que apoyen esta iniciativa a fin de crear una Red que aglutine a los comites conformados durante el periodo.</t>
  </si>
  <si>
    <t>Suma del número de  comites de solidaridad conformados.</t>
  </si>
  <si>
    <t>Número de redes de Solidaridad conformadas.</t>
  </si>
  <si>
    <t>100529011</t>
  </si>
  <si>
    <t>Acta</t>
  </si>
  <si>
    <t xml:space="preserve">Registro </t>
  </si>
  <si>
    <t>Comites internacionales</t>
  </si>
  <si>
    <t xml:space="preserve">El 2015, no se cuenta con informacion.
Desde el 2016-2020 se pretende conformar 8 comites de solidaridad
</t>
  </si>
  <si>
    <t>Viceministerio de Relaciones Multilaterales</t>
  </si>
  <si>
    <t>Direccion General de Relaciones Multilaterales</t>
  </si>
  <si>
    <t>10052911</t>
  </si>
  <si>
    <t>Grado de implentación de la Declaración de la Conferencia Mundial sobre los Pueblos Indígenas</t>
  </si>
  <si>
    <t>Espacios  que han implementado progresivamente la Declaración de la Conferencia Mundial sobre los Pueblos Indígenas</t>
  </si>
  <si>
    <t>(Número de Espacios  que han implementado progresivamente la Declaración de la Conferencia Mundial sobre los Pueblos Indígenas/5)*100</t>
  </si>
  <si>
    <t>Número de Espacios  que han implementado progresivamente la Declaración de la Conferencia Mundial sobre los Pueblos Indígenas</t>
  </si>
  <si>
    <t>100529111</t>
  </si>
  <si>
    <t>Espacios Internacionales</t>
  </si>
  <si>
    <t xml:space="preserve">El 2015, no se cuenta con informacion.
Desde el 2016-2020 se prepente dar a conocer en 5 espacios multilateralesd las buenas practicas de Bolivia sobre la aplicación de la Declaración de las NNUU sobre los derechos de los pueblos indígenas
</t>
  </si>
  <si>
    <t>10052921</t>
  </si>
  <si>
    <t>Encuentro Internacional en el marco de la Diplomacia de los Pueblos que ratifica  el horizonte civilizatorio del Vivir Bien realizado</t>
  </si>
  <si>
    <t>Encuentro Internacional en el marco de la Diplomacia de los Pueblos que ratifica  el horizonte civilizatorio del Vivir Bien.</t>
  </si>
  <si>
    <t>100529211</t>
  </si>
  <si>
    <t>Actas
Declaraciones</t>
  </si>
  <si>
    <t xml:space="preserve">El 2015, se realizo el II Encuentro Internacional de Pueblos sobre la Madre Tierra y el Cambio Climático de la cual resulto  Declaraciones sobre la Madre Tierra y Cambio Climático, que promueven soluciones a la crisis climática desde los Pueblos y del Vivir Bien. </t>
  </si>
  <si>
    <t>10062931</t>
  </si>
  <si>
    <t>Número de sistemas integrados que conforman la Red Consular Boliviana para la protección y asistencia de nuestros connacionales</t>
  </si>
  <si>
    <t>Cantidad</t>
  </si>
  <si>
    <t>Número de sistemas integrados que conforman la Red Consular.
* La Red consular hace referencia al conjunto de sistemas informaticos desarrollados y que estan integrados con otros sistema informaticos de otras instituciones del Estado.</t>
  </si>
  <si>
    <t>Suma del número de sistemas integrados que conforman la Red Consular.</t>
  </si>
  <si>
    <t>Número de sistemas integrados que conforman la Red Consular.</t>
  </si>
  <si>
    <t>Documentos</t>
  </si>
  <si>
    <t>Reportes de los sistemas integrados</t>
  </si>
  <si>
    <t xml:space="preserve">El 2015, se desarrollaron 2 sistemas informaticos en el sistema colibri  para la protección y asistencia de nuestros connacionales en el exterior.
Desde el 2016-2020 se prepente desarrollar 3 sistemas informaticos en el sistema colibri. </t>
  </si>
  <si>
    <t>Viceministerio de Gestion Institucional y Consular</t>
  </si>
  <si>
    <t>Direccion General de Asuntos Consulares</t>
  </si>
  <si>
    <t>10062941</t>
  </si>
  <si>
    <t>Número de personas atendidas en los consulados y brigadas moviles</t>
  </si>
  <si>
    <t>Numero de  personas atendidas en los consulados y brigadas  moviles realizados</t>
  </si>
  <si>
    <t>Número de peronas atendidas/ Numero de consulados  y brigadas moviles realizados</t>
  </si>
  <si>
    <t>Número de personas atendidas</t>
  </si>
  <si>
    <t>Numero de consulados moviles realizados</t>
  </si>
  <si>
    <t>100629411</t>
  </si>
  <si>
    <t>Colibri</t>
  </si>
  <si>
    <t>Sistema Colibri</t>
  </si>
  <si>
    <t>Personas atendidas</t>
  </si>
  <si>
    <t xml:space="preserve"> El 2015 se atendieron a 23.041 personas en los consulados y brigadas moviles</t>
  </si>
  <si>
    <t>10062951</t>
  </si>
  <si>
    <t>Número de oficinas consulares aperturadas</t>
  </si>
  <si>
    <t>Numero de oficinas consulares aperturadas</t>
  </si>
  <si>
    <t>Suma del número de oficinas consulares aperturadas.</t>
  </si>
  <si>
    <t>Numero de oficinas consulares programadas para su apertura</t>
  </si>
  <si>
    <t>100629511</t>
  </si>
  <si>
    <t>Oficinas</t>
  </si>
  <si>
    <t>Hasta el 2015,  Bolivia cuenta con 42 oficinas consulares en el exterior.
Del 2016 al 2020 se pretende realizar la apertura de 3 oficinas consulares  a fin de fortalecer el servicio consular boliviano, adecuandonos a las necesidades de la comunidad boliviana en el exterior.</t>
  </si>
  <si>
    <t>3.8</t>
  </si>
  <si>
    <t>3.8.1 Cobertura de servicios de salud esenciales (definida como el promedio de la cobertura de servicios esenciales sobre la base de intervenciones con trazadores, por ejemplo la salud reproductiva, materna, neonatal e infantil, las enfermedades infecciosas, las enfermedades no transmisibles y la capacidad de los servicios y el acceso a ellos, entre la población general y los más desfavorecidos)</t>
  </si>
  <si>
    <t>Proxi</t>
  </si>
  <si>
    <t xml:space="preserve">Porcentaje de Municipios con el Programa MI SALUD implementado </t>
  </si>
  <si>
    <t>Nacional, departamental y municipal</t>
  </si>
  <si>
    <t>Mide el porcentaje de municipios con implementacion del programa MI SALUD (Implementado=Convenio intergubernativo firmado con RRHH trabajando)</t>
  </si>
  <si>
    <t>Número de municipios con implementacion del Programa MI SALUD.</t>
  </si>
  <si>
    <t>Registro Administrativo - PMS</t>
  </si>
  <si>
    <t>Número total de municipios del pais</t>
  </si>
  <si>
    <t>2014-2017</t>
  </si>
  <si>
    <t>PMS</t>
  </si>
  <si>
    <t>Progama MI SALUD</t>
  </si>
  <si>
    <t>Nacional, Departamental y municipal</t>
  </si>
  <si>
    <t>Convenios Intergubernativos Municipios con el Programa MI SALUD Atención integral
Edad
Sexo
Promoción de salud
Prevención de salud</t>
  </si>
  <si>
    <t>Ministerio de Salud</t>
  </si>
  <si>
    <t>Viceministerio de Salud y Promoción (VMSP)</t>
  </si>
  <si>
    <t>Programa MI SALUD (PMS)</t>
  </si>
  <si>
    <t>Porcentaje de municipios con Programa  TELESALUD implementado</t>
  </si>
  <si>
    <t>Es el porcentaje de municipios en los que se ha implementado el programa TELESALUD  (Implementado: que cuenta con los componenetes; equipo de telemedicina; recurso humano incorporado; convenio intergubernativo  firmado; y conexión)</t>
  </si>
  <si>
    <t>Número de municipios que han implementado el Programa TELESALUD</t>
  </si>
  <si>
    <t>Registro Administrativo - PTS</t>
  </si>
  <si>
    <t>PTS</t>
  </si>
  <si>
    <t>Programa TELESAUD</t>
  </si>
  <si>
    <t>Atención por especialidad
Edad
Sexo
Telecapacitación
Telegerencia
Teleepidemiología</t>
  </si>
  <si>
    <t>Progrma TELESALUD (PTS)</t>
  </si>
  <si>
    <t>3.2</t>
  </si>
  <si>
    <t>3.2.1 Tasa de mortalidad de niños menores de 5 años</t>
  </si>
  <si>
    <t>Tasa de mortalidad infantil</t>
  </si>
  <si>
    <t>Nacional, Departamental, 
Edad, sexo</t>
  </si>
  <si>
    <t>Por 1.000 n.v.</t>
  </si>
  <si>
    <t>La TMI es el total de defunciones de niños menores de 1 año en un tiempo determinado.</t>
  </si>
  <si>
    <t xml:space="preserve">
</t>
  </si>
  <si>
    <t xml:space="preserve">Numero de defunciones  en niños menores de 1 año en un tiempo determinado </t>
  </si>
  <si>
    <t>Encuesta - ENDSA - EDSA</t>
  </si>
  <si>
    <t>Número total de nacidos vivos en un tiempo determinado</t>
  </si>
  <si>
    <t>1998, 2003, 2008, 2016</t>
  </si>
  <si>
    <t>Debido al tamaño de la muestra en la EDSA 2016, el indicador de mortalidad  sólo es representativo a nivel nacional.</t>
  </si>
  <si>
    <t>ENDSA - EDSA</t>
  </si>
  <si>
    <t>Encuesta Nacional de Demografia y Salud y Encuesta  de Demografia y Salud.</t>
  </si>
  <si>
    <t>Cada 4 a 5 años</t>
  </si>
  <si>
    <t>- Salud sexual y reproductiva
- Enfermedades transmisibles
- Fecundidad
- Nutrición</t>
  </si>
  <si>
    <t>Ministerio de Salud (MS) e Instituto Nacional de Estadística (INE)</t>
  </si>
  <si>
    <t>- Viceministerio de Salud y Promoción (VMSP)
- Direción de Estadísticas de Indicadores Económicos y Sociales (DEIES)</t>
  </si>
  <si>
    <t>- Dirección General de Planificación (DGP)
- Unidad de Estadísticas de Indicadores Sociales (UEIS)</t>
  </si>
  <si>
    <t>2440336 (MS)
2222333 (INE)</t>
  </si>
  <si>
    <t>Tasa de mortalidad de la niñez</t>
  </si>
  <si>
    <t>La TMN es el total de defunciones de niños menores de 5 años en un tiempo determinado.</t>
  </si>
  <si>
    <t xml:space="preserve">Numero de defunciones  en niños menores de 5 años en un tiempo determinado </t>
  </si>
  <si>
    <t>Cada 4 o 5 años</t>
  </si>
  <si>
    <t xml:space="preserve">3.2.2 Tasa de mortalidad neonatal </t>
  </si>
  <si>
    <t>Tasa de mortalidad neonatal</t>
  </si>
  <si>
    <t>La TMNN es el total de defunciones de niños menores de 28 dias en un tiempo determinado.</t>
  </si>
  <si>
    <t xml:space="preserve">Numero de defunciones  en niños menores de 28 dias en un tiempo determinado </t>
  </si>
  <si>
    <t>06/04/2018</t>
  </si>
  <si>
    <t>Se ha reducido en al menos 50% la razón de mortalidad materna</t>
  </si>
  <si>
    <t xml:space="preserve">3.1De aquí a 2030, reducir la tasa mundial de mortalidad materna a menos de 70 por cada 100.000 nacidos vivos </t>
  </si>
  <si>
    <t>3.1.1 Índice de mortalidad materna</t>
  </si>
  <si>
    <t>Razon de mortalidad materna</t>
  </si>
  <si>
    <t xml:space="preserve">Edad
Procedencia
Ocupacion
Escolaridad
Causa de defunción
</t>
  </si>
  <si>
    <t>Por 100.000 n.v.</t>
  </si>
  <si>
    <t>Es el número de defunciones durante el embarazo, parto y puerperio en relacion a los nacidos vivos en un tiempo determinado.</t>
  </si>
  <si>
    <t>Número de defunciones por causa materna (embarazo, parto y puerperio) en un periodo determinado</t>
  </si>
  <si>
    <t>Encuesta
Censo - ENMM</t>
  </si>
  <si>
    <t>Número de nacidos vivos en un periodo determinado</t>
  </si>
  <si>
    <t>Censo - PN</t>
  </si>
  <si>
    <t>2000 y 2011</t>
  </si>
  <si>
    <t>El Estudio Nacional de Mortalidad Materna de la gestion 2016, se basa en datos del CNPV 2012. El proximo dato correspondera a los resultados del Estudio con el Metodo Ramos, va a segundo orden y tercera etapa, porque no habrá dato disponble a diciembre de 2018.</t>
  </si>
  <si>
    <t>ENMM</t>
  </si>
  <si>
    <t>Encuesta Nacional de Demografía y Salud.
Estudio Nacional de Mortalidad Materna</t>
  </si>
  <si>
    <t>Encuesta
Censo</t>
  </si>
  <si>
    <t>Quinquenal
Decenal</t>
  </si>
  <si>
    <t>1.989 a 2.003</t>
  </si>
  <si>
    <t>Nacional, Departamental, Municipal</t>
  </si>
  <si>
    <t xml:space="preserve">Causas
Momentos de fallecimiento
Pertenencia étnica
Edad
Lugar de ocurrencia
</t>
  </si>
  <si>
    <t>Ministerio de Salud (MS)</t>
  </si>
  <si>
    <t xml:space="preserve">Dirección General de Planificción
</t>
  </si>
  <si>
    <t>PN</t>
  </si>
  <si>
    <t>Proyecciones de nacimientos</t>
  </si>
  <si>
    <t>Censo</t>
  </si>
  <si>
    <t>2012-2020</t>
  </si>
  <si>
    <t xml:space="preserve"> Direción de Estadísticas de Indicadores Económicos y Sociales (DEIES)</t>
  </si>
  <si>
    <t xml:space="preserve">  3.1.2 Proporción de partos con asistencia de personal sanitario especializado </t>
  </si>
  <si>
    <t>Directo</t>
  </si>
  <si>
    <t>Porcentaje de partos atendidos por personal calificado</t>
  </si>
  <si>
    <t xml:space="preserve">Edad
Procedencia
Ocupacion
Escolaridad
</t>
  </si>
  <si>
    <t>Es el porcentaje de partos atendidos en domicilio o establecimiento de salud por personal de salud calificado</t>
  </si>
  <si>
    <t>Número de partos atendidos en domicilio o establecimiento de salud por personal de salud calificado</t>
  </si>
  <si>
    <t>Registro Administrativo - SNIS-VE</t>
  </si>
  <si>
    <t>Número total de partos esperados en un periodo determinado</t>
  </si>
  <si>
    <t xml:space="preserve">
2006-2017 
</t>
  </si>
  <si>
    <t>SNIS-VE</t>
  </si>
  <si>
    <t xml:space="preserve">Sistema Nacional de Información en Salud - Vigilancia Epidemiológica </t>
  </si>
  <si>
    <t xml:space="preserve">
Procedencia
Residencia
Edad</t>
  </si>
  <si>
    <t>Dirección General de Planificción</t>
  </si>
  <si>
    <t>Censo - PPE</t>
  </si>
  <si>
    <t>PPE</t>
  </si>
  <si>
    <t>Proyecciones de partos esperados</t>
  </si>
  <si>
    <t xml:space="preserve">Se ha reducido la proporcion de embarazo adolescente </t>
  </si>
  <si>
    <t>EDSA 2016</t>
  </si>
  <si>
    <t>3.7.2</t>
  </si>
  <si>
    <t>3.7. De aquí a 2030, garantizar el acceso universal a los servicios de salud sexual y reproductiva, incluidos los de planificación familiar, información y educación, y la integración de la salud reproductiva en las estrategias y los programas nacionales</t>
  </si>
  <si>
    <t>Encuesta Demografica de Salud</t>
  </si>
  <si>
    <t>Tasa de embarazo en adolescentes</t>
  </si>
  <si>
    <t>Nacional, departamental y Municipal
Edad
Escolaridad
Urbano -  rural
Ocupación</t>
  </si>
  <si>
    <t xml:space="preserve">La Tasa de Embarazos en Adolescentes (TEA) es el numero de embarazos en mujeres de 15 a 19 años de edad en un tiempo  determinado </t>
  </si>
  <si>
    <t>Numero de Embarazos en mujeres de 15 a 19 años</t>
  </si>
  <si>
    <t xml:space="preserve">Numero total de mujeres de 15 a 19 años </t>
  </si>
  <si>
    <t>Dirección General de Planificación (DGP)
Unidad de Estadísticas de Indicadores Sociales (UEIS)</t>
  </si>
  <si>
    <t>No cuenta con indicadores ODS</t>
  </si>
  <si>
    <t>Porcentaje de municipios con Plan Municipal de Salud ejecutado.</t>
  </si>
  <si>
    <t xml:space="preserve">Nacional, departamental y Municipal
</t>
  </si>
  <si>
    <t>Es el porcentaje de municipios con Planes Municipales de Salud ejecutados.</t>
  </si>
  <si>
    <t>Número total de municipios con Plan Municipal de Salud ejecutado.</t>
  </si>
  <si>
    <t>Registro Administrativo - UPSyMS</t>
  </si>
  <si>
    <t>Número total de municipios</t>
  </si>
  <si>
    <t>n.d.</t>
  </si>
  <si>
    <t>La informacion requiere la sistematizacion, revision y consolidacion prevista para el segundo semestre.</t>
  </si>
  <si>
    <t>UPSyMS</t>
  </si>
  <si>
    <t>Unidad de Promoción de la Salud y Movilización Social (UPSyMS)</t>
  </si>
  <si>
    <t>A partir del 4 trimestre del 2018 se contará con el Sistema de Información.</t>
  </si>
  <si>
    <t xml:space="preserve">Ministerio de Salud (MS) </t>
  </si>
  <si>
    <t>Viceministerio de Salud y Promoción (VMSyP)</t>
  </si>
  <si>
    <t>Unidad de Promocion de la Salud y Movilizacion Social (UPSyMS)</t>
  </si>
  <si>
    <t>Se ha reducido la incidencia de casos y defunciones por enfermedadeds transmisibles</t>
  </si>
  <si>
    <t>3.3</t>
  </si>
  <si>
    <t>3.3.1 Número de nuevas infecciones por el VIH por cada 1.000 habitantes no infectados, desglosado por sexo, edad y sectores clave de la población</t>
  </si>
  <si>
    <t>Incidencia de VIH</t>
  </si>
  <si>
    <t>Geográfica
Edad
Sexo</t>
  </si>
  <si>
    <t>Tasa</t>
  </si>
  <si>
    <t>SNIS VE</t>
  </si>
  <si>
    <t>3.3. De aquí a 2030, poner fin a las epidemias del SIDA, la tuberculosis, la malaria y las enfermedades tropicales desatendidas y combatir la hepatitis, las enfermedades transmitidas por el agua y otras enfermedades transmisibles</t>
  </si>
  <si>
    <t>Sistema Nacional de Información en Salud. Vigilancia Epidemiológica</t>
  </si>
  <si>
    <t>Por 1.000.000 habitantes</t>
  </si>
  <si>
    <t>Es el número de casos nuevos de VIH diagnosticados en relacion a la poblacion total, en un tiempo determinado.</t>
  </si>
  <si>
    <t>Numero de casos nuevos de VIH en un tiempo determinado</t>
  </si>
  <si>
    <t>Registro Administrativo - PNVIHITS</t>
  </si>
  <si>
    <t>Población total en un tiempo determinado</t>
  </si>
  <si>
    <t>Censo - PP</t>
  </si>
  <si>
    <t>1990-2017</t>
  </si>
  <si>
    <t>PNVIHITS</t>
  </si>
  <si>
    <t>Programa Nacional de Infecciones de Transmisión Sexual/ VIH</t>
  </si>
  <si>
    <t xml:space="preserve">1990-2017
</t>
  </si>
  <si>
    <t>Edad
Sexo
Ocupación
Procedencia
Residencia
Orientacion Sexual
Enfermedades transmisibles
Identidad Cultural</t>
  </si>
  <si>
    <t>La meta para el 2030 es de "cero", el cual se encuentra en el marco de los compromisos de las ODS.</t>
  </si>
  <si>
    <t>Dirección General de Servicios de Salud/Unidad de Epidemiología/Programa Nacional de ITS/VIH SIDA</t>
  </si>
  <si>
    <t>Se ha reducido la incidencia de casos y defunciones por enfermedades transmisibles</t>
  </si>
  <si>
    <t>PP</t>
  </si>
  <si>
    <t>Proyecciones de Población</t>
  </si>
  <si>
    <t>2000-2020</t>
  </si>
  <si>
    <t>Edad
Sexo</t>
  </si>
  <si>
    <t>A nivel Nacional y Departamental sòlo Edad y Sexo, y a nivel Municipal la población total.</t>
  </si>
  <si>
    <t>Direción de Estadísticas de Indicadores Económicos y Sociales (DEIES)</t>
  </si>
  <si>
    <t>Unidad de Estadísticas de Indicadores Sociales</t>
  </si>
  <si>
    <t>3.3.2 Incidencia de la tuberculosis por cada 100.000 habitantes</t>
  </si>
  <si>
    <t>Incidencia de Tuberculosis</t>
  </si>
  <si>
    <t>Por 100.000 habitantes</t>
  </si>
  <si>
    <t>Es el número de casos nuevos de tuberculosis en todas sus formas (nuevos y recaidas) diagnosticados en relacion a la poblacion total, en un tiempo determinado.</t>
  </si>
  <si>
    <t>Número de casos nuevos de tuberculosis en todas sus formas (nuevos y recaidas)</t>
  </si>
  <si>
    <t>Registro Administrativo - PNCT</t>
  </si>
  <si>
    <t>PNCT</t>
  </si>
  <si>
    <t>Programa Nacional Contra la Tuberculosis</t>
  </si>
  <si>
    <t xml:space="preserve">2000-2017
</t>
  </si>
  <si>
    <t>Edad
Sexo
Ocupación
Procedencia
Residencia
Nutrición
Vacunación - BCG
Enfermedades transmisibles</t>
  </si>
  <si>
    <t>Dirección General de Servicios de Salud/Unidad de Epidemiología/Programa Nacional de Tuberculosis</t>
  </si>
  <si>
    <t>3.3.3 Incidencia de la malaria por cada 1.000 habitantes al año</t>
  </si>
  <si>
    <t>Indice Parasitario Anual (IPA)</t>
  </si>
  <si>
    <t>Por 1.000 habitantes</t>
  </si>
  <si>
    <t>Es el número de casos nuevos de malaria diagnosticados en el año de estudio.</t>
  </si>
  <si>
    <t>Número de casos confirmados de malaria.</t>
  </si>
  <si>
    <t>Registro Administrativo - PNCM</t>
  </si>
  <si>
    <t>Población en riesgo</t>
  </si>
  <si>
    <t>PNCM</t>
  </si>
  <si>
    <t>Programa Nacional de Control de la Malaria</t>
  </si>
  <si>
    <t xml:space="preserve">
2006-2017
</t>
  </si>
  <si>
    <t>Procedencia
Residencia
Edad
Sexo</t>
  </si>
  <si>
    <t>Dirección General de Servicios de Salud/Unidad de Epidemiología/Programa Nacional de Malaria (PNM)</t>
  </si>
  <si>
    <t>3.4. De aquí a 2030, reducir en un tercio la mortalidad prematura por enfermedades no transmisibles mediante su prevención y tratamiento, y promover la salud mental y el bienestar</t>
  </si>
  <si>
    <t xml:space="preserve">3.4.1 Mortalidad de las enfermedades cardiovasculares, el cáncer, la diabetes y las enfermedades respiratorias crónicas
</t>
  </si>
  <si>
    <t>Tasa de incidencia de Cáncer (todas sus formas)</t>
  </si>
  <si>
    <t>Sexo
Edad
Ocupación
Procedencia
Residencia</t>
  </si>
  <si>
    <t>Es el total de casos nuevos de Cancer en todas sus formas en un tiempo determinado.</t>
  </si>
  <si>
    <t>Número total de casos nuevos de cancer en todas sus formas en un tiempo determinado</t>
  </si>
  <si>
    <t>Registro administrativo - SNIS-VE</t>
  </si>
  <si>
    <t>Poblacion total en un tiempo determinado</t>
  </si>
  <si>
    <t>Edad, Sexo, Ocupacion, Procedencia, Residencia</t>
  </si>
  <si>
    <t>Direccción General de Planificación/Sistema Único de Información en Salud</t>
  </si>
  <si>
    <t xml:space="preserve">Tasa de incidencia de hipertension arterial  </t>
  </si>
  <si>
    <t>Mide el número total de casos nuevos con presion arterial sistolica mayor o igual a 140 mmHg y/o presion arterial diastolica mayor o igual a 90 mmHg en personas mayores de 19 años, por cada 10.000 habitantes en un tiempo determinado.</t>
  </si>
  <si>
    <t>Número total de casos nuevos diagnosticados con  hipertension arterial en un tiempo determinado</t>
  </si>
  <si>
    <t>2010-2017</t>
  </si>
  <si>
    <t>Tasa de incidencia de diabetes  (gestacional, tipo I y tipo II)</t>
  </si>
  <si>
    <t>Es el total de casos nuevos de diabetes (gestacional, tipo I y tipo II) en un tiempo determinado.</t>
  </si>
  <si>
    <t>Número total de casos nuevos diagnosicados con diabetes (gestacional, tipo I y tipo II) en un tiempo determinado</t>
  </si>
  <si>
    <t xml:space="preserve">Porcentaje de establecimientos de salud que reportan información en salud al SUIS </t>
  </si>
  <si>
    <t>Nacional, departamental y Municipal
Urbano -  rural</t>
  </si>
  <si>
    <t>Es el porcentaje de establecimientos de salud que reportan información en salud al SUIS, en un tiempo determinado.</t>
  </si>
  <si>
    <t xml:space="preserve">Número de establecimientos de salud que reportan información en salud al SUIS </t>
  </si>
  <si>
    <t>Registro Administrativo - SUIS</t>
  </si>
  <si>
    <t>Número total de establecimientos de salud en un tiempo determinado</t>
  </si>
  <si>
    <t>SUIS</t>
  </si>
  <si>
    <t>Nacional, Departamental, Municipal,
Establecimiento de Salud</t>
  </si>
  <si>
    <t>Edad, sexo, Ocupacion, Procedencia, Residencia, escolaraidad, indicadores nutricionales</t>
  </si>
  <si>
    <t>El SUIS se encuentra en etapa de elaboración de normas , protocolos y diseños de software</t>
  </si>
  <si>
    <t>Integración de la salud convencional con la ancestral</t>
  </si>
  <si>
    <t>Porcentaje de ejecución financiera del Plan de Hospitales</t>
  </si>
  <si>
    <t>nacional</t>
  </si>
  <si>
    <t>Es el porcentaje de ejecución  financiera del Plan de Hospitales</t>
  </si>
  <si>
    <t>Presupuesto Ejecutado del Plan de Hospitales</t>
  </si>
  <si>
    <t>Registro Administrativo - MS-AISEM-UPRE</t>
  </si>
  <si>
    <t>Presupuesto programado del Plan de Hospitales</t>
  </si>
  <si>
    <t>MS-AISEM-UPRE</t>
  </si>
  <si>
    <t>Ministerio de Salud (MS)-Agencia de Insfraestructura en Salud y Equipamiento Médico (AISEM)-Unidad de Proyectos Especiales (UPRE)</t>
  </si>
  <si>
    <t>n.a.</t>
  </si>
  <si>
    <t>Viceministerio de Salud
AISEM
UPRE</t>
  </si>
  <si>
    <t>Direción General de Planificación
AISEM
UPRE</t>
  </si>
  <si>
    <t>Se han construido 4 Institutos de 4to. Nivel. Se han construido y ampliado 12 hospitales de 3er. Nivel. 
Se han construido, ampliado y equipado 31 hospitales de 2do. Nivel</t>
  </si>
  <si>
    <t>4 Institutos de Cuarto Nivel de Salud en ejecución</t>
  </si>
  <si>
    <t>Mide el número de Institutos de Cuarto Nivel de Salud en ejecución</t>
  </si>
  <si>
    <t xml:space="preserve">Número de Institutos de Cuarto Nivel de Salud en ejecución </t>
  </si>
  <si>
    <t>Registro Administrativo - AISEM</t>
  </si>
  <si>
    <t>AISEM</t>
  </si>
  <si>
    <t>Agencia de Insfraestructura en Salud y Equipamiento Médico (AISEM)</t>
  </si>
  <si>
    <t>Porcentaje de ejecución financiera en Institutos de Cuarto Nivel de Salud</t>
  </si>
  <si>
    <t>Es el porcentaje de ejecución  financiera de los Institutos de Cuarto Nivel de Salud</t>
  </si>
  <si>
    <t>Presupuesto Ejecutado de los Institutos de Cuarto Nivel de Salud</t>
  </si>
  <si>
    <t>Presupuesto programado de los Institutos de Cuarto Nivel de Salud</t>
  </si>
  <si>
    <t xml:space="preserve">12 Establecimientos de Salud de Tercer Nivel en ejecución </t>
  </si>
  <si>
    <t xml:space="preserve">Mide el número de Establecimiento de Salud de Tercer Nivel en ejecución </t>
  </si>
  <si>
    <t xml:space="preserve">Número de Establecimientos de Salud de Tercer Nivel en ejecución </t>
  </si>
  <si>
    <t>Registro Administrativo - MS
AISEM
UPRE</t>
  </si>
  <si>
    <t>Se debe considerar que por DS se han incrementado 2 Hospitales de Segundo Nivel, el cual incrementa el número de hospitales de 12 a 14.</t>
  </si>
  <si>
    <t>MS
AISEM
UPRE</t>
  </si>
  <si>
    <t>Ministerio de Salud (MS)
Agencia de Insfraestructura en Salud y Equipamiento Médico (AISEM)
Unidad de Proyectos Especiales (UPRE)</t>
  </si>
  <si>
    <t>- Viceministerio de Salud y Promoción (VMPS)
- Agencia de Insfraestructura en Salud y Equipamiento Médico (AISEM)
- Unidad de Proyectos Especiales (UPRE)</t>
  </si>
  <si>
    <t>- Unidad de Gestión de Programas y Proyectos (UGESPRO)
- Agencia de Insfraestructura en Salud y Equipamiento Médico (AISEM)
- Unidad de Proyectos Especiales (UPRE)</t>
  </si>
  <si>
    <t xml:space="preserve">Porcentaje de ejecución financiera en Establecimientos de Salud de Tercer Nivel </t>
  </si>
  <si>
    <t>Es el porcentaje de ejecución  financiera de los Establecimientos de Salud de Tercer Nivel</t>
  </si>
  <si>
    <t xml:space="preserve">Presupuesto Ejecutado de los Establecimientos de Salud de Tercer Nivel </t>
  </si>
  <si>
    <t xml:space="preserve">Presupuesto programado de los Establecimientos de Salud de Tercer Nivel </t>
  </si>
  <si>
    <t xml:space="preserve">31 Establecimientos de Salud de Segundo Nivel en ejecución </t>
  </si>
  <si>
    <t xml:space="preserve">Mide el número de Establecimientos de Salud de Segundo Nivel en ejecución </t>
  </si>
  <si>
    <t xml:space="preserve">Número de Establecimientos de Salud de Segundo Nivel en ejecución </t>
  </si>
  <si>
    <t xml:space="preserve">Porcentaje de ejecución financiera en Establecimientos de Salud de Segundo Nivel </t>
  </si>
  <si>
    <t>Es el porcentaje de ejecución  financiera de los Establecimientos de Salud de Segundo Nivel</t>
  </si>
  <si>
    <t>Presupuesto Ejecutado de los Establecimientos de Salud de Segundo Nivel</t>
  </si>
  <si>
    <t xml:space="preserve">Presupuesto programado de los Establecimientos de Salud de Segundo Nivel </t>
  </si>
  <si>
    <t>Se han construido, ampliado y equipado 180 establecimientos de 1er. Nivel Se han elevado 1.430 Puestos de Salud a la categoría de Centros de Salud, con recursos de los GAM.</t>
  </si>
  <si>
    <t>180 Establecimientos de Salud de Primer Nivel contruidos, ampliados y equipados</t>
  </si>
  <si>
    <t>Mide el número de Establecimientos de Salud de Primer Nivel contruidos, ampliados y equipados</t>
  </si>
  <si>
    <t>Número de Establecimientos de Salud de Primer Nivel contruidos, ampliados y equipados</t>
  </si>
  <si>
    <t>Registro Administrativo - VIPFE</t>
  </si>
  <si>
    <t>VIPFE</t>
  </si>
  <si>
    <t>Base de datos de la Inversión Pública</t>
  </si>
  <si>
    <t>Monto de Inversión
Código SISIN
Fuente de fiananciamiento</t>
  </si>
  <si>
    <t>Viceministerio de Inversión Pública y Financiamiento Externo (VIPFE)</t>
  </si>
  <si>
    <t>1.430 Puestos de Salud, elevados a catergoría de Centros de Salud</t>
  </si>
  <si>
    <t>Mide el número de Puestos de Salud, elevados a catergoría de Centros de Salud</t>
  </si>
  <si>
    <t>Número de Puestos de Salud, elevados a catergoría de Centros de Salud</t>
  </si>
  <si>
    <t>Registro Administrativo - RUES</t>
  </si>
  <si>
    <t>RUES</t>
  </si>
  <si>
    <t>Registro Único de Establecimientos de Salud</t>
  </si>
  <si>
    <t>Dirección General de Planificación (DGP)</t>
  </si>
  <si>
    <t>Se han creado nuevos ítems para personal de salud, incluyendo especialistas y subespecialistas</t>
  </si>
  <si>
    <t>3.c.1</t>
  </si>
  <si>
    <t>3.c    Aumentar considerablemente la financiación de la salud y la contratación, el perfeccionamiento, la capacitación y la retención del personal sanitario en los países en desarrollo, especialmente en los países menos adelantados y los pequeños Estados insulares en desarrollo</t>
  </si>
  <si>
    <t>3.c.1   Densidad y distribución de los trabajadores sanitarios</t>
  </si>
  <si>
    <t>Densidad de Recursos Humanos</t>
  </si>
  <si>
    <t>Nacional y Departamental</t>
  </si>
  <si>
    <t>Por cada 10.000 habitantes</t>
  </si>
  <si>
    <t>Mide la cantidad de Recursos Humanos en salud (profesionales médicos, enfermeras y obstetrices) por cada 10.000 habitantes  en un tiempo determinado</t>
  </si>
  <si>
    <t>Número de Recursos Humanos</t>
  </si>
  <si>
    <t>Registro administrativo  - URRHH</t>
  </si>
  <si>
    <t>Población total</t>
  </si>
  <si>
    <t>2015-2016</t>
  </si>
  <si>
    <t>URRHH</t>
  </si>
  <si>
    <t>Unidad de Recursos Humanos</t>
  </si>
  <si>
    <t xml:space="preserve">Registro administrativo </t>
  </si>
  <si>
    <t>Dirección General de Asuntos Adminsitrativos (DGAA) - Unidad de RRHH</t>
  </si>
  <si>
    <t>Número de nuevas unidades de hemodialisis implementadas en el Subsector Público</t>
  </si>
  <si>
    <t>Nacional          Departamental                        Municipal</t>
  </si>
  <si>
    <t xml:space="preserve">Es el numero de unidades de hemodialisis implementadas en el Subsector Público en un tiempo determinado </t>
  </si>
  <si>
    <t xml:space="preserve">Número total de unidades de hemodialisis implementadas en el Subsector Público en un tiempo determinado  </t>
  </si>
  <si>
    <t>Registro administrativo - PNSR</t>
  </si>
  <si>
    <t>2006-2017</t>
  </si>
  <si>
    <t>PNSR</t>
  </si>
  <si>
    <t>Programa Nacional de Salud Renal</t>
  </si>
  <si>
    <t>Nacional                         Departamental               Municipal</t>
  </si>
  <si>
    <t>Nacional                            Departamental         Municiapal</t>
  </si>
  <si>
    <t xml:space="preserve">Impacto </t>
  </si>
  <si>
    <t>Número de pacientes beneficiados con trasplante renal</t>
  </si>
  <si>
    <t xml:space="preserve">Es el número de pacientes con trasplante renal en un tiempo determinado </t>
  </si>
  <si>
    <t>Se implementa el Servicio de Salud Universal.</t>
  </si>
  <si>
    <t>Lograr la cobertura sanitaria universal, incluida la protección contra los riesgos financieros, el acceso a servicios de salud esenciales de calidad y el acceso a medicamentos y vacunas inocuos, eficaces, asequibles y de calidad para todos</t>
  </si>
  <si>
    <t xml:space="preserve">3.8.1* Cobertura de las intervenciones con trazadores (por ejemplo, inmunización completa de los niños, terapia antirretroviral, tratamiento de la tuberculosis, tratamiento de la hipertensión, parto a cargo de personal sanitario especializado, etc.)
3.8.2* Fracción de la población protegida contra gastos directos catastróficos/ruinosos de atención médica
</t>
  </si>
  <si>
    <t>Porcentaje de la poblacion que accede a los Servicios de Salud Gratuitos</t>
  </si>
  <si>
    <t>Nacional, departamental y Municipal
Urbano -  rural
Edad
Sexo</t>
  </si>
  <si>
    <t xml:space="preserve">Es el porcentaje de la poblacion que acceden a servicios de salud gratuitos </t>
  </si>
  <si>
    <t>Poblacion cubierta con servicios de salud gratuitos</t>
  </si>
  <si>
    <t>Registro Administrativo - DGSS</t>
  </si>
  <si>
    <t>Lo que se pretende llegar con el indicador es al Sistema Único de Salud</t>
  </si>
  <si>
    <t>DGSS</t>
  </si>
  <si>
    <t>Direccion General de Seguros de Salud</t>
  </si>
  <si>
    <t>Edad
Sexo
Procedencia
Residencia</t>
  </si>
  <si>
    <t>3b</t>
  </si>
  <si>
    <t>Apoyar las actividades de investigación y desarrollo de vacunas y medicamentos contra las enfermedades transmisibles y no transmisibles que afectan primordialmente a los países en desarrollo y facilitar el acceso a medicamentos y vacunas esenciales asequibles de conformidad con la Declaración relativa al Acuerdo sobre los Aspectos de los Derechos de Propiedad Intelectual Relacionados con el Comercio y la Salud Pública, en la que se afirma el derecho de los países en desarrollo a utilizar al máximo las disposiciones del Acuerdo sobre los Aspectos de los Derechos de Propiedad Intelectual Relacionados con el Comercio respecto a la flexibilidad para proteger la salud pública y, en particular, proporcionar acceso a los medicamentos para todos</t>
  </si>
  <si>
    <t>Porcentaje de Municipios con acceso a medicamentos esenciales en el SIAL</t>
  </si>
  <si>
    <t xml:space="preserve">Nacional, departamental y Municipal
</t>
  </si>
  <si>
    <t>Es el porcentaje de municipíos que acceden a medicamentos esenciales seguros y de calidad  registrados en el SIAL</t>
  </si>
  <si>
    <t>Número de Municipios con acceso a medicamentos esenciales seguros y de calidad</t>
  </si>
  <si>
    <t>Sistema de Información para la administración logistica (SIAL) - AGEMED</t>
  </si>
  <si>
    <t>Las vacunas forman parte de los medicamentos esenciales, por lo que el indicador sólo menciona a medicamentos.</t>
  </si>
  <si>
    <t>AGEMED</t>
  </si>
  <si>
    <t>Agencia Estatal de Medicamentos y Tecnologías en Salud</t>
  </si>
  <si>
    <t>Sistema de Información para la administración logistica (SIAL)</t>
  </si>
  <si>
    <t>2015 - 2017</t>
  </si>
  <si>
    <t>Promedio de items de medicamentos esenciales sobreabastecidos (sobrestock) y desabastecidos (substock) por municipio.</t>
  </si>
  <si>
    <t>Agencia Estatal  de Medicamentos y Tecnologías en Salud (AGEMED)</t>
  </si>
  <si>
    <t>Unidad de Medicamentos y Tecnologias</t>
  </si>
  <si>
    <t>Soberania productiva con diversificacion</t>
  </si>
  <si>
    <t>0610186</t>
  </si>
  <si>
    <t>Población Ocupada cotizante activa</t>
  </si>
  <si>
    <t>Nacional
Departamental</t>
  </si>
  <si>
    <t>Mide el porcentaje de Población Ocupada cotizante en la Seguridad Social de Corto Plazo</t>
  </si>
  <si>
    <t>Población Ocupada Cotizante Activa en la Seguridad Social de Corto Plazo</t>
  </si>
  <si>
    <t>Registro administrativo - ASUSS</t>
  </si>
  <si>
    <t>Encuesta - EH</t>
  </si>
  <si>
    <t xml:space="preserve">INASES fue la entidad encargada de la gestión de la seguridad de corto plazo antes de la creación de ASINSA. Al derogarse el Decreto de creación de ASINSA, hay un vacio institucional quer no permite en el momento contar con información. Por ello se estima que este Resultado sea parte de la Etapa 3 </t>
  </si>
  <si>
    <t>ASUSS</t>
  </si>
  <si>
    <t>Autoridad de Supervisión de la Seguridad Social de Corto Plazo - ASUSS</t>
  </si>
  <si>
    <t>Edad
Sexo
Ocupación
Estado de salud o enfermedad</t>
  </si>
  <si>
    <t>Autoridad de Supervisión de la Seguridad Social de Corto Plazo (ASUSS)</t>
  </si>
  <si>
    <t>EH</t>
  </si>
  <si>
    <t>Encuesta de Hogares</t>
  </si>
  <si>
    <t>Edad
Sexo
Ocupación
Salud
Educación
Ingresos</t>
  </si>
  <si>
    <t>El 100% de las bolivianas y los bolivianos cuentan con servicios de comunicación telefónica e Internet</t>
  </si>
  <si>
    <t>RS = Resultado</t>
  </si>
  <si>
    <t>9.c</t>
  </si>
  <si>
    <t>Aumentar significativamente el acceso a la tecnología de la información y las comunicaciones y esforzarse por proporcionar acceso universal y asequible a Internet en los países menos adelantados de aquí a 2020</t>
  </si>
  <si>
    <t>9.c.1
Porcentaje de la población abarcado por una red móvil, desglosado por tecnología</t>
  </si>
  <si>
    <t>A nivel de Departamento, Provincia, Municipio y Localidad</t>
  </si>
  <si>
    <t>En porcentaje</t>
  </si>
  <si>
    <t>El indicador refleja en porcentaje la cantidad de localidades con población mayor a 50 habitantes que ya tienen servicio de comunicación telefónica</t>
  </si>
  <si>
    <t>Base de datos actualizada por la Unidad de Ejecución de Proyectos del PRONTIS del MOPSV</t>
  </si>
  <si>
    <t>Censo Nacional de Población y Vivienda 2012</t>
  </si>
  <si>
    <t>2012-2017</t>
  </si>
  <si>
    <t>El indicador refleja directamente el grado de avance a la fecha en el cumplimiento de la meta trazada al 2020</t>
  </si>
  <si>
    <t>Registro Administrativo de la UEPP - VMTEL</t>
  </si>
  <si>
    <t>Estado de avance en la universaliza-ción de las telecomuni-caciones</t>
  </si>
  <si>
    <t>A nivel Nacional, Departamental, Provincial, Municipal y de Localidad</t>
  </si>
  <si>
    <t>Nivel Nacional, Departamento, Provincia, Municipio y Localidad</t>
  </si>
  <si>
    <t>Tipo de tecnología
Cantidad de Poblacion
Cantidad de Localidades</t>
  </si>
  <si>
    <t>Los datos geográficos del Censo 2012 se validan o actualizan con los resultados de las inspecciones técnicas en sitio</t>
  </si>
  <si>
    <t>Ministerio de Obras Públicas, Servicios y Vivienda - MOPSV</t>
  </si>
  <si>
    <t>Viceministerio de Telecomunicaciones - VMTEL</t>
  </si>
  <si>
    <t>Unidad de Ejecución de Proyectos del PRONTIS - UEPP</t>
  </si>
  <si>
    <t>tel. 2119999
int. 660</t>
  </si>
  <si>
    <t>N/A</t>
  </si>
  <si>
    <t>Se ha ampliado el servicio de Internet en localidades con población mayor a 50 habitantes</t>
  </si>
  <si>
    <t>El indicador refleja en porcentaje la cantidad de localidades con población mayor a 50 habitantes que ya tienen servicio de Internet</t>
  </si>
  <si>
    <t>El Satélite Tupac Katari se encuentra en plena capacidad operativa.</t>
  </si>
  <si>
    <t>Porcentaje de la población abarcado por una red móvil, desglosado por tecnología</t>
  </si>
  <si>
    <t>04011201</t>
  </si>
  <si>
    <t>Porcentaje de utilización de su capacidad operativa</t>
  </si>
  <si>
    <t>Porcentaje total de su capacidad operativa</t>
  </si>
  <si>
    <t xml:space="preserve">Indicador = Porcentaje de capacidad operativa
CO = Capacidad Ocupada
CP = Capacidad Plena (25,5 Transponders)
Indicador (%) = 100 * CO/CP
</t>
  </si>
  <si>
    <t>Cantidad de transponders efectivamente ocupados en el satélite</t>
  </si>
  <si>
    <t>Agencia Boliviana Espacial</t>
  </si>
  <si>
    <t>La capacidad neta del satélite, restando de la capacidad nominal las mermas operativas, la cual es igual a 25.5 transponders</t>
  </si>
  <si>
    <t>A nivel mundial existen limitaciones físicas y técnicas que impiden ocupar el 100% de la capacidad nominal de los satélites de comunicaciones. Por lo que se plantea que la capacidad plena es igual a 25,5 transponders (85% de la capacidad nominal que es igual a 30 transponders)</t>
  </si>
  <si>
    <t>040112011</t>
  </si>
  <si>
    <t>IT</t>
  </si>
  <si>
    <t>Informe Técnico</t>
  </si>
  <si>
    <t>Cantidad de transponders efectivamente ocupados</t>
  </si>
  <si>
    <t>Los informes contendrán el valor absoluto de la cantidad de transponders ocupados</t>
  </si>
  <si>
    <t xml:space="preserve">Ministerio de Obras Públicas, Servicios y Vivienda - MOPSV
</t>
  </si>
  <si>
    <t xml:space="preserve">Viceministerio de Telecomunicaciones - VMTEL
</t>
  </si>
  <si>
    <t>Se cuenta con la Nube Soberana para Gobierno Electrónico, gestión, almacenamiento y seguridad de la información del Estado.</t>
  </si>
  <si>
    <t>9.b</t>
  </si>
  <si>
    <t>Apoyar el desarrollo de tecnologías, la investigación y la
innovación nacionales en los países en desarrollo, incluso garantizando un entorno normativo propicio a la diversificación industrial y la adición de valor a los productos básicos, entre otras cosas</t>
  </si>
  <si>
    <t>Porcentaje del valor agregado por la industria de tecnología mediana y alta del valor agregado total</t>
  </si>
  <si>
    <t>El proyecto Nube Soberana es una componente transversal para el logro de esta meta</t>
  </si>
  <si>
    <t>04011211</t>
  </si>
  <si>
    <t xml:space="preserve">Porcentaje de avance de implementación de la nube soberana </t>
  </si>
  <si>
    <t xml:space="preserve">Porcentaje de implementación de la Nube Soberana </t>
  </si>
  <si>
    <t xml:space="preserve">Indicador (%) = Avance Acumulado al 2020
</t>
  </si>
  <si>
    <t>El Avance Acumulado de toda la infraestructura civil y tecnológica del proyecto Nube Soberana</t>
  </si>
  <si>
    <t>Planilla de avance validada por el VMTEL</t>
  </si>
  <si>
    <t>El indicador presentará avances una vez que se cuenten con los recursos necesarios para la implementación del proyecto</t>
  </si>
  <si>
    <t>040112111</t>
  </si>
  <si>
    <t>Panilla de Avance</t>
  </si>
  <si>
    <t>Acumulado de la infraestructura civil y tecnológica de la  Nube Soberana</t>
  </si>
  <si>
    <t>La fuente aún no es 100% disponible ya que una vez se cuente con financiamiento y empiece el proyecto, se definirá la entidad o unidad responsable de la fuentes de datos</t>
  </si>
  <si>
    <t>Dirección General de Telecomunicaciones -DGTEL</t>
  </si>
  <si>
    <t>2119999 int. 651</t>
  </si>
  <si>
    <t>9.5</t>
  </si>
  <si>
    <t xml:space="preserve">Aumentar la investigación científica y mejorar la capacidad tecnológica de los sectores industriales de todos los países, en particular los países en desarrollo, entre otras cosas fomentando la innovación y aumentando considerablemente, de aquí a 2030, el número de personas que trabajan en investigación y desarrollo por millón de habitantes y los gastos de los sectores público y privado en investigación y desarrollo
</t>
  </si>
  <si>
    <t xml:space="preserve">Investigadores (valor equivalente a tiempo completo) por millón de habitantes
</t>
  </si>
  <si>
    <t>El proyecto de la Ciudadela del Conocimiento Científico y la Tecnología es una componente esencial t transversal para el logro de esta meta</t>
  </si>
  <si>
    <t>04011221</t>
  </si>
  <si>
    <t>Porcentaje de avance de implementación en la primera fase</t>
  </si>
  <si>
    <t xml:space="preserve">Porcentaje de implementación de la Primera Fase de la Ciudadela </t>
  </si>
  <si>
    <t>El Avance Acumulado de toda la infraestructura civil y tecnológica del proyecto Ciudadela Científica, Tecnológica e Innovación</t>
  </si>
  <si>
    <t>040112211</t>
  </si>
  <si>
    <t>Acumulado de la infraestructura civil y tecnológica de la  Ciudadela Científica, Tecnológica e Innovación</t>
  </si>
  <si>
    <t>AGETIC</t>
  </si>
  <si>
    <t>04011248</t>
  </si>
  <si>
    <t>Agencia de Gobierno Electrónico Operando</t>
  </si>
  <si>
    <t>La meta ya ha sido cumplida</t>
  </si>
  <si>
    <t>Ministerio de la Presidencia</t>
  </si>
  <si>
    <t>Agencia de Gobierno Electrónico y Tecnologías de Información y Comunicación – AGETIC</t>
  </si>
  <si>
    <t>Area de Planificación
Eliana Onis 
75864641</t>
  </si>
  <si>
    <t>Detallar</t>
  </si>
  <si>
    <t>Apoyar el desarrollo de tecnologías, la investigación y la innovación nacionales en los países en desarrollo, incluso garantizando un entorno normativo propicio a la diversificación industrial y la adición de valor a los productos básicos, entre otras cosas</t>
  </si>
  <si>
    <t>9.b.1 Porcentaje del valor agregado por la industria de tecnología mediana y alta del valor agregado total</t>
  </si>
  <si>
    <t>04011261</t>
  </si>
  <si>
    <t>Porcentaje de avance en la implementación de plantas de transmisión de Televisión Digital Terrestre</t>
  </si>
  <si>
    <t>implementación de plantas de transmisión de Televisión Digital Terrestre</t>
  </si>
  <si>
    <t xml:space="preserve">Porcentaje de implementación de la primera fase de la Televisión Digital Libre en capitales de departamento y El Alto </t>
  </si>
  <si>
    <t xml:space="preserve">Avance Acumulado de toda la infraestructura civil y tecnológica del proyecto de la primera fase de la Televisión Digital Libre en capitales de departamento y El Alto </t>
  </si>
  <si>
    <t>040112611</t>
  </si>
  <si>
    <t>La fuente aún no es disponible ya que una vez se cuente con financiamiento y se inicie la implemetación del proyecto, se definirá la entidad o unidad responsable de la fuentes de datos</t>
  </si>
  <si>
    <t>2119999 int. 605</t>
  </si>
  <si>
    <t xml:space="preserve">2.3 </t>
  </si>
  <si>
    <t>2.3.1 Volumen de producción por unidad de trabajo según el tamaño de la empresa agropecuaria/pastoral/silvícola (Medio de Verificación = 3. Reporte de producción de semilla firmada por los productores)</t>
  </si>
  <si>
    <t>040312811</t>
  </si>
  <si>
    <t>Volumen de semilla comercial, Registrada y Certificada producida por los SLAS, para abastecimiento comunitario.</t>
  </si>
  <si>
    <t>Area geografica</t>
  </si>
  <si>
    <t>Toneladas</t>
  </si>
  <si>
    <t>Mide el volumen anual de semilla comercial certificado, producido por los SLAS</t>
  </si>
  <si>
    <t>Volumen de semilla producido</t>
  </si>
  <si>
    <t>Informe anual de la Dirección Nacional de Producción de semillas</t>
  </si>
  <si>
    <t>2017-2018</t>
  </si>
  <si>
    <t>0403128111</t>
  </si>
  <si>
    <t>RAD</t>
  </si>
  <si>
    <t xml:space="preserve">Informe de seguimiento al PEI del INIAF.
</t>
  </si>
  <si>
    <t xml:space="preserve">Volumen anual de semilla por variedad </t>
  </si>
  <si>
    <t>Ministerio de Desarrollo Rural Y tierras - MDRyT</t>
  </si>
  <si>
    <t>Instituto Nacional de Innovación Agropecuaria y Forestal - INIAF</t>
  </si>
  <si>
    <t>Unidad de Planificación y Control de Gestión - UPCG</t>
  </si>
  <si>
    <t>2-441153</t>
  </si>
  <si>
    <t>2.5  </t>
  </si>
  <si>
    <t>Para 2020, mantener la diversidad genética de las semillas, las plantas cultivadas y los animales de granja y domesticados y sus especies silvestres conexas, entre otras cosas mediante una buena gestión y diversificación de los bancos de semillas y plantas a nivel nacional, regional e internacional, y promover el acceso a los beneficios que se deriven de la utilización de los recursos genéticos y los conocimientos tradicionales y su distribución justa y equitativa, como se ha convenido internacionalmente
2.a  Aumentar las inversiones, incluso mediante una mayor cooperación internacional, en la infraestructura rural, la investigación agrícola y los servicios de extensión, el desarrollo tecnológico y los bancos de genes de plantas y ganado a fin de mejorar la capacidad de producción agrícola en los países en desarrollo, en particular en los países menos adelantados</t>
  </si>
  <si>
    <t xml:space="preserve">2.5.3 Número de Centros de Innovación fortalecidos con capacidades de investigación, transferencia de tecnología, producción y prestación de servicios (en funcionamiento) 
</t>
  </si>
  <si>
    <t>Número de Centros de Innovacion fortalecidos con capacidades de investigación, transferencia de tecnología, producción y prestación de servicios anualmente.</t>
  </si>
  <si>
    <t>En número de centros</t>
  </si>
  <si>
    <t>Número de Centros de Innovación  que se encuentran en funcionamiento.</t>
  </si>
  <si>
    <t>Informes de seguimiento</t>
  </si>
  <si>
    <t>04031291</t>
  </si>
  <si>
    <t>PEI-INIAF</t>
  </si>
  <si>
    <t xml:space="preserve">Número de Centros de Innovación  </t>
  </si>
  <si>
    <t>2-2441608</t>
  </si>
  <si>
    <t>16.5.1* Porcentaje de las personas que han tenido por lo menos un contacto con un funcionario público, pagaron un soborno a un funcionario público, o tuvieron la experiencia de que un funcionario público les pidiera que lo pagaran, en los 12 meses anteriores</t>
  </si>
  <si>
    <t>11012961</t>
  </si>
  <si>
    <t>Denuncias recibidas y admitidas por hechos de corrupción</t>
  </si>
  <si>
    <t>MJTI</t>
  </si>
  <si>
    <t>Número de denuncias</t>
  </si>
  <si>
    <t>Es el número de denuncias por hechos de corrupción  recibidas y admitidas por el ex MTILCC o el MJTI</t>
  </si>
  <si>
    <t>Número de denuncias recibidas y admitidas por el ex MTILCC o el MJTI</t>
  </si>
  <si>
    <t>SD</t>
  </si>
  <si>
    <t>La fuente está compuesta por datos generados por el ex MTILCC  y el MJTI</t>
  </si>
  <si>
    <t>Sistema de Denuncias</t>
  </si>
  <si>
    <t>Cantidad de denuncias
Informacion de la denuncia (CoInfidencial)
Informacion del Denunciante (CoInfidencial)
Informacion del Denunciado
(Confidencial)
Seguimiento a la Denuncia (Confidencial)</t>
  </si>
  <si>
    <t>La fuente esta compuesta por datos generados por el ex MTILCC y el MJTI</t>
  </si>
  <si>
    <t>Ministerio de Justicia y Transparencia Institucional - MJTI</t>
  </si>
  <si>
    <t>Viceministerio de Transparencia Institucional y Lucha Contra la Corrupción - VTILCC</t>
  </si>
  <si>
    <t>Nelson Huanca, Encargado Infraestructura y Recursos Informáticos, cel 67196010</t>
  </si>
  <si>
    <t>11012971</t>
  </si>
  <si>
    <t xml:space="preserve">Monto acumulado recuperado por daño económico al Estado por delitos de corrupción y vinculados </t>
  </si>
  <si>
    <t>Millones de bolivianos</t>
  </si>
  <si>
    <t>El indicador refleja el monto acumulado desde la gestión 200'7, recuperado en procesos por daño económico al Estado por delitos de corrupción y otros. Principalmente se refiere al monto recuperado por ejecución de garantías y por monitoreo a procesos judiciales</t>
  </si>
  <si>
    <t>Monto acumulado recuperado por ejecución de boletas de garantía , por pólizas de caución y por monitoreo a procesos judiciales.</t>
  </si>
  <si>
    <t>Monto recuperado</t>
  </si>
  <si>
    <t xml:space="preserve">Informes de Recuperación de Garantías </t>
  </si>
  <si>
    <t>2007-2017</t>
  </si>
  <si>
    <t>La fuente esta compuesta por datos generados por el ex MTILCC y MJTI</t>
  </si>
  <si>
    <t>IRG</t>
  </si>
  <si>
    <t>Monto recuperado por ejecución de boletas de garantía
Monto recuperado por pólizas de caución 
Monto recuperado por monitoreo a procesos judiciales.</t>
  </si>
  <si>
    <t>A partir del 2012 se cuenta con informes de recuperación de garantías, en gestiones previas existe documentacion de respaldo variada</t>
  </si>
  <si>
    <t>Dirección General de Lucha Contra la Corrupción - DGLCC - URBIF</t>
  </si>
  <si>
    <t>Sergio Román Suxo, Profesional Ingeniero Civil 79533353</t>
  </si>
  <si>
    <t>Soberanía y transparencia en la gestión pública</t>
  </si>
  <si>
    <t>Porcentaje de entidades del nivel central del Estado vinculadas al portal de trámites del Estado</t>
  </si>
  <si>
    <t>Refleja el porcentaje de entidades que se han vinculado al portal de trámites del Estado , y registran la información de los trámites de su entidad.</t>
  </si>
  <si>
    <t>N° de entidades que registran sus trámites en el portal de trámites/N° de entidades del nivel central del Estado que cuentan con trámites orientados  a la ciudadanía</t>
  </si>
  <si>
    <t>N° de entidades que registran sus trámites en el Portal de Trámites</t>
  </si>
  <si>
    <t>Portal de trámites</t>
  </si>
  <si>
    <t>Número de entidades públicas del nivel central del Estado</t>
  </si>
  <si>
    <t>Clasificador institucional del clasificador presupuestario del MEFP</t>
  </si>
  <si>
    <t>El DS N° 3525 de 04/04/2018 establece que las entidades que presten servicios públicos deberán publicar en el Portal de Trámites cada uno de los trámites que ofrecen.
El valor del denominador sera definido por la AGETIC con base en el clasificador institucional actualizado anualmente por el MEFP.</t>
  </si>
  <si>
    <t>PT</t>
  </si>
  <si>
    <t>Portal de Trámites de Estado</t>
  </si>
  <si>
    <t>N° de entidades que registran sus trámites
N° de Trámites registrados</t>
  </si>
  <si>
    <t>Área de Planificación</t>
  </si>
  <si>
    <t>Eliana Onis 
75864641</t>
  </si>
  <si>
    <t>No corresponde</t>
  </si>
  <si>
    <t>Ods – 16,6</t>
  </si>
  <si>
    <t>Entidades públicas que registran información de transparencia al Portal de Transparencia</t>
  </si>
  <si>
    <t>Cantidad de entidades que registran información de transparencia al Portal de Transparencia</t>
  </si>
  <si>
    <t>Número de entidades públicas</t>
  </si>
  <si>
    <t xml:space="preserve">Número de entidades públicas que registran información al Portal de Transparencia, a cargo del MJTI, en alguno de los 5 componentes del Programa de transparencia: Rendicion Pública de Cuentas, Control social, Acceso a la Información, Ética Pública y Gestión de Riesgos </t>
  </si>
  <si>
    <t>Número de entidades públicas  que registran información de transparencia al Portal de Transparencia</t>
  </si>
  <si>
    <t>N° de entidades públicas que registran información de transparencia al Portal de Transparencia</t>
  </si>
  <si>
    <t>Portal de Transparencia</t>
  </si>
  <si>
    <t>2016-2017</t>
  </si>
  <si>
    <t>En la gestión 2018, el Portal de Transparencia sólo tiene habilitado el Componente de Rendición Pública de Cuentas. A partir de la gestión 2019 se espera contar con información de los 5 componentes</t>
  </si>
  <si>
    <t>5 Componentes del Programa de transparencia: Rendición Pública de Cuentas, Control social, Acceso a la Información, Gestión de Riesgos y Ética Pública</t>
  </si>
  <si>
    <t>A la fecha el Portal de Transparencia solo tiene habilitado el Componente de Rendición Pública de Cuentas. A partir de la gestión 2019 se espera contar con información de los 5 componentes.</t>
  </si>
  <si>
    <t>Dirección General de Prevención, Promoción de Ética y Transparencia - DGPPET</t>
  </si>
  <si>
    <t>Lic. Martin La Mar
Cel. 76799456</t>
  </si>
  <si>
    <t>Gestión Pública transparente, con servidores públicos  éticos, competentes y comprometidos  que luchan contra la corrupción</t>
  </si>
  <si>
    <t>Se han vinculado instituciones públicas a la Plataforma Electrónica y se ha implementado el Gobierno Electrónico para una gestión pública eficiente (trámites ágiles y mejores servicios) y transparente (acceso a la información facilitando su evaluación</t>
  </si>
  <si>
    <t>16.9 De aquí a 2030, proporcionar acceso a una identidad jurídica para todos, en particular mediante el registro de nacimientos.</t>
  </si>
  <si>
    <t>16,9,1. Proporción de niños menores de 5 años cuyo nacimiento se ha registrado ante una autoridad civil, desglosada por edad</t>
  </si>
  <si>
    <t xml:space="preserve">Porcentaje de población con Cédula de Identidad </t>
  </si>
  <si>
    <t>MG</t>
  </si>
  <si>
    <t>Sexo , departamento y grupo de edad</t>
  </si>
  <si>
    <t>Proporción de lal población que cuenta  con  Cedula de Identidad  en relación al total de la población</t>
  </si>
  <si>
    <t>(Número de personas  que cuentan con  Cédula de Identidad/Poblacion total )*100</t>
  </si>
  <si>
    <t>Número de personas que cuentan con  Cédula de Identidad</t>
  </si>
  <si>
    <t>SEGIP</t>
  </si>
  <si>
    <t xml:space="preserve">Población total </t>
  </si>
  <si>
    <t>Proyecciones poblacionales INE</t>
  </si>
  <si>
    <t>Desde la creación del SEGIP
En el cálculo del indicador no es posible excluir a las personas fallecidas</t>
  </si>
  <si>
    <t>Servicio General de Identificación Personal</t>
  </si>
  <si>
    <t xml:space="preserve">A nivel nacional </t>
  </si>
  <si>
    <t>Sexo, departamento y grupos de edad
Cédulas  de Identidad  nuevas, repuestas y renovadas</t>
  </si>
  <si>
    <t xml:space="preserve">Ministerio de Gobierno </t>
  </si>
  <si>
    <t>Servicio General de Identificación Personal-SEGIP</t>
  </si>
  <si>
    <t>Dirección Nacional de Operaciones 
Dirección de Tecnologías de la Información y Comunicación</t>
  </si>
  <si>
    <t>SEGIP
2141370-2141380
Franco Gamboa
Marco Peñaloza</t>
  </si>
  <si>
    <t>El SEGIP está remitirá esta información hasta el lunes 21 de marzo</t>
  </si>
  <si>
    <t>16.6.2 Proporción de la población que se siente satisfecha con su última experiencia de los servicios públicos</t>
  </si>
  <si>
    <t xml:space="preserve">Entidades públicas que rinden cuentas </t>
  </si>
  <si>
    <t>Número de Entidades Públicas a nivel nacional que rinden cuentascomo parte de su gestión institucional transparente, según normativa vigente</t>
  </si>
  <si>
    <t xml:space="preserve">Cantidad de entidades públicas que rinden cuentas </t>
  </si>
  <si>
    <t>Notas e informes de Rendión Pública de Cuentas de las entidades públicas</t>
  </si>
  <si>
    <t>De acuerdo a normativa vigente es obligatoria la realización de Rendiciones Públicas de Cuentas cada año</t>
  </si>
  <si>
    <t>NI-RPC</t>
  </si>
  <si>
    <t>Entidades que realizaron la Rendición Pública de Cuentas</t>
  </si>
  <si>
    <t>Hasta la gestión 2017 no se cuenta con información de Rendición Pública de Cuentas del Organo Judicial, Contraloria, Ministerio Público y Universidades Públicas</t>
  </si>
  <si>
    <t>Porcentaje de entidades del nivel central del Estado que implementan políticas de simplificación de trámites</t>
  </si>
  <si>
    <t>Refleja el porcentaje de entidades que cuentan con planes, programas y proyectos orientados a la desburocratización en sus planes de Gobierno Electrónico.</t>
  </si>
  <si>
    <t>N°de entidades del nivel central que cuentan con planes, programas y/o proyectos de simplificación de trámites en sus Planes de Gobierno Electrónico/N° de entidades del nivel central del Estado</t>
  </si>
  <si>
    <t>N°de entidades del nivel central que cuentan planes, programas y/o proyectos de simplificación de trámites en sus Planes de Gobierno Electrónico</t>
  </si>
  <si>
    <t>Registro Planes Institucionales de Gobierno Electrónico</t>
  </si>
  <si>
    <t>El valor del denominador sera definido en el marco del clasificador institucional actualizado anualmente por el MEFP</t>
  </si>
  <si>
    <t>PIGE</t>
  </si>
  <si>
    <t>Planes Institucionales de Gobierno Electrónico</t>
  </si>
  <si>
    <t>N° de entidades que cuentan con programas y/o proyectos de simplificación
N° de proyectos de simplificación de trámites</t>
  </si>
  <si>
    <t>Eliana Onis 
75864641</t>
  </si>
  <si>
    <t>Porcentaje de mandatos (conclusiones) de la Cumbre Nacional de Justicia Plural, cumplidos o en ejecución</t>
  </si>
  <si>
    <t>Es el porcentaje de mandatos (conclusiones) cumplidas o en ejecución, de la Cumbre Nacional de Justicia Plural realizada en el año 2016 en Sucre, respecto al total de mandatos (conclusiones) de dicho evento.</t>
  </si>
  <si>
    <t xml:space="preserve">Mandatos (conclusiones) cumplidas o en ejecución, de la Cumbre Nacional de Justicia Plural /  Total de mandatos (conclusiones) de la Cumbre Nacional de Justicia Plural </t>
  </si>
  <si>
    <t>Mandatos o conclusiones cumplidas o en ejecución, de las diferentes mesas de trabajo de la Cumbre Nacional de Justicia Plural, realizada en el año 2016 en Sucre.</t>
  </si>
  <si>
    <t xml:space="preserve">Total de mandatos (conclusiones) de la Cumbre Nacional de Justicia Plural </t>
  </si>
  <si>
    <t xml:space="preserve">Debido a que la Cumbre Nacional de Justicia Plural tuvo carácter nacional, no es posible desagregar los datos </t>
  </si>
  <si>
    <t>MTJI</t>
  </si>
  <si>
    <t>Ministerio de Justicia y Transparencia Institucional</t>
  </si>
  <si>
    <t xml:space="preserve">Mandatos (conclusiones) de la Cumbre Nacional de Justicia Plural </t>
  </si>
  <si>
    <t>Ministerio de Justicia y Transparencia Institucional (MJTI)</t>
  </si>
  <si>
    <t>Viceministerio de Justicia y Derechos Fundamentales (VJDF)</t>
  </si>
  <si>
    <t>Dirección General de Desarrollo Constitucional (DGDC)</t>
  </si>
  <si>
    <t>Daniel Mercado
Director General de Desarrollo Constitucional
Cel: 70605999</t>
  </si>
  <si>
    <t>Porcentaje de causas resueltas</t>
  </si>
  <si>
    <t>Materia, departamento</t>
  </si>
  <si>
    <t>Es el porcentaje de las causas resueltas en una determinada gestión, respecto al total de causas en tramitación en el mismo año.</t>
  </si>
  <si>
    <t>Causas resueltas en una determinada gestión /  Total de causas en tramitación en la misma gestión</t>
  </si>
  <si>
    <t>Causas resueltas en una determinada gestión</t>
  </si>
  <si>
    <t>Total de causas en tramitación en la misma gestión</t>
  </si>
  <si>
    <t>2005-2016</t>
  </si>
  <si>
    <t>Causas en tramitación 
Causas resueltas</t>
  </si>
  <si>
    <t>Porcentaje de privados de libertad con sentencia ejecutoriada</t>
  </si>
  <si>
    <t>Es la proporción de personas privadas de libertad que ya cuentan con sentencia ejecutoriada, respecto al total de personas de privadas de libertad en los centros penitenciarios en todo el país</t>
  </si>
  <si>
    <t>Cantidad de personas con sentencia ejecutoriada de privación de libertad / Cantidad de personas con detención preventiva+cantidad de personas con sentencia ejecutoriada de privación de libertad</t>
  </si>
  <si>
    <t>Cantidad de personas con sentencia ejecutoriada de privación de libertad</t>
  </si>
  <si>
    <t>Dirección General de Régimen Penitenciario</t>
  </si>
  <si>
    <t>Cantidad de personas con detención preventiva+cantidad de personas con sentencia ejecutoriada de privación de libertad</t>
  </si>
  <si>
    <t>A efectos del informe de medio término del PDES y el primer informe de seguimiento ODS, la DGRP proporcionará el dato, corresponde al MJTI la elaboración del informe. El MG solicita que el requerimiento de información a la DGRP se haga mediante nota oficial.</t>
  </si>
  <si>
    <t>DGRP</t>
  </si>
  <si>
    <t>Número de privados de libertad con sentencia ejecutoriada
Número de privados de libertad con detención preventiva</t>
  </si>
  <si>
    <t>Ministerio de Gobierno (MG)</t>
  </si>
  <si>
    <t>Dirección General de Régimen Penitenciario (DGRP)</t>
  </si>
  <si>
    <t>5.5.2 Proporción de mujeres en cargos directivos</t>
  </si>
  <si>
    <t>Porcentaje de magistrados y consejeros mujeres en el Órgano Judicial</t>
  </si>
  <si>
    <t>Es el porcentaje de magistrados y consejeros mujeres en las siguientes 4 instancias: Tribunal Supremo de Justicia, Tribunal Constitucional Plurinacional, Tribunal Agroambiental y Consejo de la Magistratura</t>
  </si>
  <si>
    <t>Magistrados y consejeros mujeres en el Tribunal Supremo de Justicia, Tribunal Constitucional Plurinacional, Tribunal Agroambiental y Consejo de la Magistratura / Total de magistrados y consejeros en las 4 instancias</t>
  </si>
  <si>
    <t>Magistrados y consejeros mujeres en el Tribunal Supremo de Justicia, Tribunal Constitucional Plurinacional, Tribunal Agroambiental y Consejo de la Magistratura</t>
  </si>
  <si>
    <t>MJTI, con base a información del Órgano Judicial</t>
  </si>
  <si>
    <t>Total de magistrados y consejeros en el Tribunal Supremo de Justicia, Tribunal Constitucional Plurinacional, Tribunal Agroambiental y Consejo de la Magistratura</t>
  </si>
  <si>
    <t>MJTI, con base a información del Tribunal Supremo Electoral</t>
  </si>
  <si>
    <t>2011, 2017</t>
  </si>
  <si>
    <t>El dato corresponde a la última elección de autoridades del Órgano Judicial</t>
  </si>
  <si>
    <t>En cada elección para autoridades judiciales (cada 6 años)</t>
  </si>
  <si>
    <t>Número de magistrados y consejeros</t>
  </si>
  <si>
    <t>SLB</t>
  </si>
  <si>
    <t>Percepción de confianza en la Policia Boliviana</t>
  </si>
  <si>
    <t>Ciudad capital eje troncal (La Paz, Cochabamba, Santa Cruz) más El Alto</t>
  </si>
  <si>
    <t>Moda en una escala del 1 a 7</t>
  </si>
  <si>
    <t xml:space="preserve">Valor modal reportado por la población encuestada  mayores de  18 años respecto a su percepción sobre la confianza en la  Policia Boliviana en un rango de 1 a 7 puntos;  en un periodo determinado. </t>
  </si>
  <si>
    <t>Valor más frecuente reportado en la escala de 1 a 7</t>
  </si>
  <si>
    <t xml:space="preserve">OBSCD - Encuesta de Victimización  2013 </t>
  </si>
  <si>
    <t>2015  en revisión</t>
  </si>
  <si>
    <t>OBSCD</t>
  </si>
  <si>
    <t>Oservatorio Boliviano de Seguridad Ciudadana y Lucha Contra las Drogas</t>
  </si>
  <si>
    <t xml:space="preserve">Encuesta </t>
  </si>
  <si>
    <t>Bianual</t>
  </si>
  <si>
    <t>LP , CBBA, SC y El Alto</t>
  </si>
  <si>
    <t>Percepcion de la poblacion en seguridad ciudadana</t>
  </si>
  <si>
    <t xml:space="preserve">Observatorio Boliviano de Seguridad Ciudadana y Lucha Contra las Drogas </t>
  </si>
  <si>
    <t xml:space="preserve">Observatorio Boliviano de Seguridad Ciudadana y Lucha Contra las Drogas - OBSCD </t>
  </si>
  <si>
    <t xml:space="preserve">OBSCD
2145986
Patricia Miranda 
Viceministerio de Seguridad Ciudadana 
2120003
Sandra Flores
</t>
  </si>
  <si>
    <t>No es posible estimar una meta solamente con el dato 2013</t>
  </si>
  <si>
    <t>Clima Organizacional de la Policía Boliviana</t>
  </si>
  <si>
    <t>Sexo, grado jerárquico, departamento, edad (+/- 35 años), tipo de unidad, funciones</t>
  </si>
  <si>
    <t>Indicador compuesto de clima Interno de la Policía Boliviana</t>
  </si>
  <si>
    <t xml:space="preserve">1. Porcentaje de servidoras (res) públicos policiales satisfechos con las prestaciones otorgadas por la Policía Boliviana (alimentación, material de uso personal, equipo, armamento, medios técnicos y tecnológicos e infraestructura) para el ejercicio de sus funciones
2. Porcentaje de servidoras (res) públicos policiales satisfechos con el salario que perciben por las funciones que cumplen
3. Porcentaje  de servidoras (res) públicos policiales satisfechos con el proceso de administración del talento humano
4. Porcentaje   de servidoras (res) públicos policiales satisfechos con los servicios de orden social otorgados por la Policía Boliviana
</t>
  </si>
  <si>
    <t xml:space="preserve">NSPPS = Número de servidoras (res) públicos policiales satisfechos (i)
i = 1 Indicador satisfacción de prestaciones otorgadas
i = 2 Indicador satisfacción con el salario
i = 3 Indicador satisfacción con el proceso de administración del talento humano
i = 4 Indicador satisfacción con los servicios de orden social </t>
  </si>
  <si>
    <t>Policía Boliviana - Diagnósticos Instituionales de clima interno 2005 y 2015</t>
  </si>
  <si>
    <t xml:space="preserve">NSPPE = Número de servidoras (es) públicos policiales encuestados (muestra) </t>
  </si>
  <si>
    <t>2005 y
2015</t>
  </si>
  <si>
    <t>Los diagnósticos institucionales de clima interno se realizan con base a encuestas, talleres, entrevistas y grupos focales</t>
  </si>
  <si>
    <t>DICI</t>
  </si>
  <si>
    <t xml:space="preserve">Policía Boliviana - Diagnosticos Institucionales de Clima Interno </t>
  </si>
  <si>
    <t xml:space="preserve">10 años </t>
  </si>
  <si>
    <t>9 capitales de departamento y El Alto</t>
  </si>
  <si>
    <t xml:space="preserve">
 </t>
  </si>
  <si>
    <t>1. Prestaciones otorgadas por la Policía Boliviana (alimentación, material de uso personal, equipo, armamento, medios técnicos y tecnológicos e infraestructura) para el ejercicio de la función policial
2. Salario percibido 
3. Proceso de administración del talento humano
4. Servicios de orden social otorgados por la Policía Boliviana</t>
  </si>
  <si>
    <t xml:space="preserve">Documento Policía Nacional y Seguridad Ciudadana 2005
Documento de Diagnostico de la Policía Boliviana - Diagnostico Institucional y de Clima Interno 2015, surge dentro del proceso de Transformación que se viene implementando a la cabeza del Ministerio de Gobierno </t>
  </si>
  <si>
    <t xml:space="preserve">Policía Boliviana </t>
  </si>
  <si>
    <t>Departamento Nacional de Planificación de la Dirección Nacional de Planeamiento y Operaciones.</t>
  </si>
  <si>
    <t>PB
2430555
Miguel Morales</t>
  </si>
  <si>
    <t>1. 22% del personal policial satisfecho
2. No especifica
3. No especifica
4. 18% del personal policial satisfecho</t>
  </si>
  <si>
    <t>1. 40% del personal policial satisfecho
2. 50% del personal policial satisfecho
3. 50% del personal policial satisfecho
4. 45% del personal policial satisfecho</t>
  </si>
  <si>
    <t>1. 60% del personal policial satisfecho
2. 60% del personal policial satisfecho
3. 60% del personal policial satisfecho
4. 70% del personal policial satisfecho</t>
  </si>
  <si>
    <t xml:space="preserve">Porcentaje de municipios que cuentan con tecnologia preventiva </t>
  </si>
  <si>
    <t xml:space="preserve">Porcentaje </t>
  </si>
  <si>
    <t xml:space="preserve">Proporción de  municipios en los que se ha implementado tecnología preventiva (centro de monitoreo, cámras de video vigilancia, vehiculos para patrullaje u otros similares) en relación al total de municipios </t>
  </si>
  <si>
    <t>(Número de municipios en los que se ha implementado tecnología preventiva  / Total municipios) )*100</t>
  </si>
  <si>
    <t xml:space="preserve">Numero de municipios en los que se ha implementado tecnología preventiva </t>
  </si>
  <si>
    <t>VMSC</t>
  </si>
  <si>
    <t xml:space="preserve">Total de municipios </t>
  </si>
  <si>
    <t xml:space="preserve">Viceministerio de Seguridad Ciudadana </t>
  </si>
  <si>
    <t>Registro adminstrativo</t>
  </si>
  <si>
    <t>Camaras de vigilancia 
Centros de monitoreo
Vehículos
Otros</t>
  </si>
  <si>
    <t xml:space="preserve">Dirección General de Seguridad Ciudadana y Prevención del Delito </t>
  </si>
  <si>
    <t xml:space="preserve">VMSC
2120002
Sandra Flores
</t>
  </si>
  <si>
    <t>No es posible estimar una meta debido a que la implementacion de tecnologia preventiva se encuentra sujeta a la inversion de las ETAS, aspecto que no puede ser previsto</t>
  </si>
  <si>
    <t>11033101</t>
  </si>
  <si>
    <t>Número de municipios que cuentan con Estaciones Policiales Integrales</t>
  </si>
  <si>
    <t>Departamento, municipio</t>
  </si>
  <si>
    <t>Número de municipios</t>
  </si>
  <si>
    <t>Número de municipios que cuentan con  EPI. Son iInfraestructura s en las que funcionan el Ministerio Público, los Juzgados Contravencionales y los Servicios Policiales de Seguridad Ciudadana.</t>
  </si>
  <si>
    <t>Número de municipios con EPIs</t>
  </si>
  <si>
    <t>Número de municipios con EPI</t>
  </si>
  <si>
    <t xml:space="preserve">VMSC
2120002
Jorge Cusicanqui
</t>
  </si>
  <si>
    <t>No es posible estimar una meta debido a que la construccion de EPIS se encuentra sujeta a la inversion de las ETAS, aspecto que no puede ser previsto</t>
  </si>
  <si>
    <t xml:space="preserve">Tasa de homicidios a nivel nacional  por cada 100.000 habitantes </t>
  </si>
  <si>
    <t>Es el número de homicidios  a nivel nacional  por cada 100.000 habitantes</t>
  </si>
  <si>
    <t xml:space="preserve"> (Nímero de víctimas  por asesinato, infanticidio, parricidio, feminicidio y homicidios dolosos / Población total)*100.000</t>
  </si>
  <si>
    <t>Nímero de víctimas  por asesinato, infanticidio, parricidio, feminicidio y homicidios dolosos</t>
  </si>
  <si>
    <t xml:space="preserve">Policia Boliviana </t>
  </si>
  <si>
    <t>INE - proyecciones poblacionales</t>
  </si>
  <si>
    <t>2012 - 2017</t>
  </si>
  <si>
    <t>OBSCD
PB</t>
  </si>
  <si>
    <t xml:space="preserve">Oservatorio Boliviano de Seguridad Ciudadana y Lucha Contra las Drogas
Policia Boliviana </t>
  </si>
  <si>
    <t>Asesinatos
Feminicidios
Infanticidios
Parricidios
Homicidios  dolosos</t>
  </si>
  <si>
    <t xml:space="preserve">Observatorio Boliviano de Seguridad Ciudadana y Lucha Contra las Drogas OBSCD
Policia Boliviana </t>
  </si>
  <si>
    <t>OBSCD
PB: Departamento Nacional de Estadistica de la Dirección Nacional de Planeamiento y Operaciones</t>
  </si>
  <si>
    <t>OBSCD
2120002
Patricia Miranda
PB
2430555
Miguel Morales
Sandra Flores</t>
  </si>
  <si>
    <t>Accidentes de  tránsito por cada 100.000 habitantes</t>
  </si>
  <si>
    <t xml:space="preserve">Producto </t>
  </si>
  <si>
    <t>Es el número de hechos de tránsito (colision, atropellos, choques, enucnetamientos, embarrancamientos y otros) atendidos por la Policía Boliviana referidos a hechos de tránsito por cada 100.000 habitantes</t>
  </si>
  <si>
    <t>(Número de hechos de tránsito atendidos por la Policía Boliviana / Poblacion total)*100.000</t>
  </si>
  <si>
    <t>Número de hechos de tránsito atendidos por la Policía Boliviana</t>
  </si>
  <si>
    <t xml:space="preserve">2012-2017 </t>
  </si>
  <si>
    <t>Hechos de transito: Colision, Atropellos, Choques, Enucnetamientos, Embarrancamientos y otros hechos desde 2012 al 2017</t>
  </si>
  <si>
    <t>OBSCD
2120002
Patricia Miranda
PB
2430555
Miguel Morales
Sandra Flores
Edwin Silva</t>
  </si>
  <si>
    <t>16.1.3 Proporción de la población que ha sufrido violencia física, psicológica o sexual en los últimos 12 meses</t>
  </si>
  <si>
    <t xml:space="preserve">Denuncias por violencia familiar y domestica  por cada 100.000 habitantes.
</t>
  </si>
  <si>
    <t xml:space="preserve">Es el número de denuncias atendidas por la Policía Boliviana referidos a violencia familiar y domestica (psicologica, fisca y/o sexual) por cada 100.000 habitantes.
</t>
  </si>
  <si>
    <t>(Número de denuncias de violencia familiar y domestica  atendidos por la Policía Boliviana / Poblacion total)*100.000</t>
  </si>
  <si>
    <t>Número de denuncias de violencia familiar y domestica  atendidos por la Policía Boliviana</t>
  </si>
  <si>
    <t>La ley 348 se promulgó el 2013. Desde el 2014 los tipos de  violencia se adecuaron a los los 17 tipos penales establecidos en dicha Ley.</t>
  </si>
  <si>
    <t>Denuncias de violencia familiar y domestica con tipos de violencia psicologica, fisica y sexual.</t>
  </si>
  <si>
    <t>OBSCD
PB: Departamento Nacional de Estadistica de la Dirección Nacional de Planeamiento y Operaciones recoleccion de la Fuerza de Lucha Contra la Violencia.</t>
  </si>
  <si>
    <t xml:space="preserve">OBSCD
2120002
Patricia Miranda
PB
2430555
Miguel Morales
Sandra Flores
Miguel Roman </t>
  </si>
  <si>
    <t xml:space="preserve">Número de servidores públicos policiales posgraduados, en nivel de especialidad, diplomado o maestría, en el Modelo de Policía Comunitaria </t>
  </si>
  <si>
    <t>Sexo, nivel académico, grado jerárquico</t>
  </si>
  <si>
    <t>Número de servidores públicos policiales</t>
  </si>
  <si>
    <t>Número de servidores (as) públicos policiales postgraduados en el Modelo de policía Comunitaria, en los diferentes niveles académicos (Especialidad, Diplomado o Maestría)</t>
  </si>
  <si>
    <t xml:space="preserve">Número de servidoras (es) públicos policiales Post graduados en el Modelo de Policía Comunitaria
 </t>
  </si>
  <si>
    <t>Número de servidoras (res) públicos policiales post graduados en el Modelo de Policía Comunitaria de acuerdo al nivel académico</t>
  </si>
  <si>
    <t>Policía Boliviana: Dirección Nacional de Instrucción y Enseñanza "UNIPOL"</t>
  </si>
  <si>
    <t>PB-UNIPOL</t>
  </si>
  <si>
    <t>Policía Boliviana: Dirección Nacional de Instrucción y Enseñanza de la Universidad Policial</t>
  </si>
  <si>
    <t>2015 -  2017</t>
  </si>
  <si>
    <t>Nivel académico: Diplomado, Especialidad y Maestría</t>
  </si>
  <si>
    <t>Policía Boliviana -  UNIPOL</t>
  </si>
  <si>
    <t>Dirección Nacional de Instrucción y Enseñanza "UNIPOL"</t>
  </si>
  <si>
    <t>No es factible una estimación</t>
  </si>
  <si>
    <t>16.1.4  Proporción de personas que no tienen miedo de caminar solas cerca de donde viven</t>
  </si>
  <si>
    <t xml:space="preserve">Porcentaje de la población  que percibe a la inseguridad y delincuencia como principal problema del país
</t>
  </si>
  <si>
    <t xml:space="preserve">Porcentaje de la población encuestada  mayores de  18 años que perciben que el principal problema del pais es la inseguridad y delincuencia en un periodo determinado. </t>
  </si>
  <si>
    <t>(Número de personas que responden como principal problema del pais la inseguridad y delincuencia/ población total del grupo en consideración )*100</t>
  </si>
  <si>
    <t>Número de personas que responden como principal problema del pais la inseguridad y delincuencia</t>
  </si>
  <si>
    <t xml:space="preserve">Encuesta de Victimización - 2011, 2013 </t>
  </si>
  <si>
    <t>población total del grupo en consideración</t>
  </si>
  <si>
    <t xml:space="preserve">Encuesta de Victimización </t>
  </si>
  <si>
    <t xml:space="preserve">2011, 2013 </t>
  </si>
  <si>
    <t>EVIC/OBSCD</t>
  </si>
  <si>
    <t>Encuesta de Victimización y Percepción sobre Violencia y Delito</t>
  </si>
  <si>
    <t xml:space="preserve">Bianual </t>
  </si>
  <si>
    <t xml:space="preserve">2011 - 2013
</t>
  </si>
  <si>
    <t xml:space="preserve">Ciudades capitales La Paz, Cochabamba, Santa Cruz y El Alto </t>
  </si>
  <si>
    <t xml:space="preserve">Ciudades </t>
  </si>
  <si>
    <t xml:space="preserve">Percepcion de seguridad e inseguridad </t>
  </si>
  <si>
    <t>Observatorio Boliviano de Seguridad Ciudadana y Lucha Contra las Drogas</t>
  </si>
  <si>
    <t>16.1.1 Número de víctimas de homicidios intencionales por cada 100.000 habitantes, desglosado por sexo y edad</t>
  </si>
  <si>
    <t xml:space="preserve">Número de víctimas de homicidios  a nivel nacional  corroborados por la Policía Boliviana con base en denuncias recibidas, por cada 100.00 habitantes </t>
  </si>
  <si>
    <t>16.1.2 Muertes causadas por conflictos por cada 100.000 habitantes (desglosadas por grupo de edad, sexo y causa)
16.1.3 Porcentaje de la población sometida a violencia física, psicológica o sexual en los últimos 12 meses</t>
  </si>
  <si>
    <t>Porcentaje de población de 15 años o más de edad que en los últimos 12 meses ha sido víctima de algún hecho delictivo.</t>
  </si>
  <si>
    <t>Sexo, grupo de edad, area, departamento</t>
  </si>
  <si>
    <t>Es el número de personas de 15 años o más de edad que en los últimos 12 meses ha sido víctima de Atraco (robo) en la vía pública, robo en su vivienda o negocio, robo de vehículo o accesorios, lesionesgraves o gravísimas ocasionadas por otra persona, violación o abuso sexual, estafa o abuso de confianza, despojo de su inmueble, trata de personas, extorsión, secuestro y otros hechos delictivos</t>
  </si>
  <si>
    <t>Porcentaje de población de 15 años o más de edad que en los últimos 12 meses ha sido víctima de algún hecho delictivo=número de 15 años o más de edad que en los últimos 12 meses ha sido víctima de algún hecho delictivo/Total de personsa de 15 años o más de edad.</t>
  </si>
  <si>
    <t>número de personas de 15 años o más de edad que en los últimos 12 meses ha sido víctima de algún hecho delictivo</t>
  </si>
  <si>
    <t>Instituto Nacional de Estadística -  Encuesta de hogares</t>
  </si>
  <si>
    <t>Total de personsa de 15 años o más de edad.</t>
  </si>
  <si>
    <t>Las preguntas de seguridad ciudadana fueron incorporados a las encuestas de hogares reicien a partir del año 2016. Por otra parte no se cuenta con información sobre homicidios.</t>
  </si>
  <si>
    <t>INE-EH</t>
  </si>
  <si>
    <t>Nacional, area, departamento</t>
  </si>
  <si>
    <t>Características sociodemográficas, vivienda, migración, salud, educación, empleo, ingresos, gastos del hogar, equipamiento del hogar</t>
  </si>
  <si>
    <t>Insituto Nacional de Estadística</t>
  </si>
  <si>
    <t>Direción de Estadadísticas e Indicadores Económicos y Sociales</t>
  </si>
  <si>
    <t xml:space="preserve">Unidad de Estadísticas e Indicadores Sociales </t>
  </si>
  <si>
    <t>Ivan Marquez Callisaya
telef: 2222333 int 165</t>
  </si>
  <si>
    <t>16.1.4 Proporción de personas que no tienen miedo de caminar solas cerca de donde viven</t>
  </si>
  <si>
    <t>Porcentaje de población de 15 años o más de edad que se siente seguro caminando sola(o) cerca de su vivienda cuando es de noche</t>
  </si>
  <si>
    <t>Es el número de personas de 15 años o más de edad que en los últimos 12 meses que se sienten seguros (algo seguro o muy seguro) caminando sola(o) cercad de su vivienda cuando es de noche</t>
  </si>
  <si>
    <t>número de personas de 15 años o más de edad que se siente seguro caminando sola(o) cerca de su vivienda cuando es de noche</t>
  </si>
  <si>
    <t>Se trata de un indicador subjetivo, que necesariamente no guarda una relación directa con la dimensión objetiva de la seguridad ciudadana. Se trata de una construcción social en el que intervienen muchos factores. Las preguntas de seguridad ciudadana fueron recien incorporados a partir del año 2016</t>
  </si>
  <si>
    <t>16.4 De aquí a 2030, reducir significativamente las corrientes financieras y de armas ilícitas, fortalecer la recuperación y devolución de los activos robados y luchar contra todas las formas de delincuencia organizada</t>
  </si>
  <si>
    <t>16.4.2. Proporción de armas pequeñas y armas ligeras incautadas que se registran y localizan, de conformidad con las normas internacionales y los instrumentos jurídicos</t>
  </si>
  <si>
    <t xml:space="preserve">Número  de operativos  de interdicción  a nivel nacional </t>
  </si>
  <si>
    <t>Número  de operativos</t>
  </si>
  <si>
    <t xml:space="preserve">Número  de operativos  de interdicción  a nivel nacional. Estos están referidos a Secuestro de sustancias controladas, fabricas destruidas, secuestro de sustancias quimicas solidas y liquidas, personas aprehendidas </t>
  </si>
  <si>
    <t>VDS-SC - DGFELCN</t>
  </si>
  <si>
    <t>1998-2017</t>
  </si>
  <si>
    <t>VDS-SC</t>
  </si>
  <si>
    <t xml:space="preserve">Viceministerio de Defensa Social y Sustancias Controladas
Dirección General de la Fuerza Especial de Lucha contra el Narcotrafico </t>
  </si>
  <si>
    <t xml:space="preserve">Secuestro de cocaína, secuestro de marihuana, fabricas destruidas, secuestro de sustancias quimicas controladas solidas y liquidas, personas aprehendidas </t>
  </si>
  <si>
    <t>En el marco de la Estrategia de Lucha contra el Narcotrafico y control de Cultivos Excedentarios de Coca 2016-2020, Pilar 1 "Reducción de la Oferta".</t>
  </si>
  <si>
    <t>Viceministerio de Defensa Social y Sustancias Controladas</t>
  </si>
  <si>
    <t xml:space="preserve">Dirección General de  la Fuerza de Lucha Contra el Narcotrafico </t>
  </si>
  <si>
    <t>VDS-SC
2415583- 2415906
Luis Torrez</t>
  </si>
  <si>
    <t>Superficie de cultivos excedentarios de coca racionalizadas y erradicadas</t>
  </si>
  <si>
    <t>Superficie racionalizada (zonas autorizadas) y superficie erradicada (zona no autorizadas)</t>
  </si>
  <si>
    <t>Héctareas</t>
  </si>
  <si>
    <t xml:space="preserve">Superficie de cultivos excedentarios de coca  racionalizadas y erradicadas </t>
  </si>
  <si>
    <t>Este datos reporta anualmente el VDS-SC</t>
  </si>
  <si>
    <t>Zonas autorizadas de cultivo de coca y zonas no autorizadas</t>
  </si>
  <si>
    <t>En el marco de la Estrategia de Lucha Contra el Narcotrafico y Control de Cultivos Excedentarios de Coca 2016-2020,  Pilar 3: Control de Cultivos Excedentarios de Coca.</t>
  </si>
  <si>
    <t xml:space="preserve">Viceministerio de Defensa Social y Sustancias Controladas-Dirección General de Defensa Social </t>
  </si>
  <si>
    <t>VDS-SC
2415583
Luis Torrez</t>
  </si>
  <si>
    <t xml:space="preserve">3.5.1 Cobertura de las intervenciones de tratamiento (farmacológico, psicosocial y servicios de rehabilitación y postratamiento) por trastornos de uso indebido de drogas
</t>
  </si>
  <si>
    <t>Prevalencia de consumo de drogas en la población universitaria</t>
  </si>
  <si>
    <t xml:space="preserve">Sexo, tipo de droga (lícita e ilícita)  </t>
  </si>
  <si>
    <t xml:space="preserve">Proporción de estudiantes universitarios que consume algun tipo de droga en el último año. 
</t>
  </si>
  <si>
    <t>(Número de estudiantes universitarios que consumen algun tipo de droga en el último año /  población universitaria total)*100</t>
  </si>
  <si>
    <t>Número de estudiantes universitarios que consumen algun tipo de droga</t>
  </si>
  <si>
    <t>III Estudio Epidemiologico Andino sobre Consumo de Drogas en la Población universitaria de Bolivia</t>
  </si>
  <si>
    <t>Población universitaria total</t>
  </si>
  <si>
    <t>El indicador abarca a la edades de 18 a 25 años, y son comparables a nivel regional.</t>
  </si>
  <si>
    <t>UNODC/OBSCD</t>
  </si>
  <si>
    <t xml:space="preserve">Oficina de Naciones Unidas contra la Droga y el Delito/ Observatorio Boliviano de Seguridad Ciudadana y lucha contra las Drogas </t>
  </si>
  <si>
    <t xml:space="preserve">Encuesta en linea  en 2 Universidades Públicas( (Cochabamba, Santa Cruz y Chuquisaca) y 5 Privadas </t>
  </si>
  <si>
    <t xml:space="preserve">Cada 4 años </t>
  </si>
  <si>
    <t>2009, 2012, 2016</t>
  </si>
  <si>
    <t>Universidad Mayor de San Simón
Universidad Autónoma Gabriel René Moreno
Universidad Mayor, Real y Pontificia de San Francisco Xavier
Universidad Privada del Valle
Universidad Privada Abierta Latinoamericana
Universidad de Aquino Bolivia
Universidad Tecnológica Privada de Santa Cruz
Universidad Privada de Santa Cruz de la Sierra</t>
  </si>
  <si>
    <t xml:space="preserve">Universidad </t>
  </si>
  <si>
    <t xml:space="preserve">Consumo de drogas </t>
  </si>
  <si>
    <t>Estudios realizados en el marco de la Estrategia de Lucha contra el Narcotrafico y control de Cultivos Excedentarios de Coca 2016-2020, pilar 2 "Reducción de la demanda"</t>
  </si>
  <si>
    <t xml:space="preserve"> Ministerio de Gobierno </t>
  </si>
  <si>
    <t xml:space="preserve">Oficina de Naciones Unidas contra la Droga y el Delito/Ministerio de Gobierno/ Observatorio Boliviano de Seguridad Ciudadana y lucha contra las Drogas - OBSCD </t>
  </si>
  <si>
    <t xml:space="preserve">Observatorio Boliviano de Seguridad Ciudadana y lucha contra las Drogas - OBSCD </t>
  </si>
  <si>
    <t>OBSCD
2145986
Roberto Ríos
Carlos Oyola</t>
  </si>
  <si>
    <t>Porcentaje de Centros Penitenciarios que han sido construidos y/o refaccionados  total o parcialmente</t>
  </si>
  <si>
    <t>Número de Centros Penitenciarios que   han sido construídos  y/o refaccionados  total o parcialmente en relación al total de Centros Penitenciarios existentes en el año base</t>
  </si>
  <si>
    <t>(Número de Centros Penitenciarios que  han sido construídos y/o refaccionados total o parcialmente / total de Centros Penitenciarios existentes en el año base)*100</t>
  </si>
  <si>
    <t>Número de Centros Penitenciarios que que  han sido construídos y/o refaccionados  total o parcialmente</t>
  </si>
  <si>
    <t>Total de Centros Penitenciarios existentes en el año base</t>
  </si>
  <si>
    <t xml:space="preserve">El indicador abarca Centros Penitenciarios Urbanos y Carceletas Provinciales.
Se considera infraestructura y/o equipamiento </t>
  </si>
  <si>
    <t xml:space="preserve">DGRP </t>
  </si>
  <si>
    <t>Ministerio de Gobierno</t>
  </si>
  <si>
    <t xml:space="preserve">Dirección General de Régimen Penitenciario </t>
  </si>
  <si>
    <t xml:space="preserve">Responsable  Administrativo </t>
  </si>
  <si>
    <t>DGRP
2118043
Juan Carlos Limpias Esprella</t>
  </si>
  <si>
    <t>Personas privadas de libertad beneficiadas con programas  de reinserción social en 5 componentes: salud, educación, trabajo, cultura y deportes</t>
  </si>
  <si>
    <t>Sexo, edad,departamento  y componente de reinserción social</t>
  </si>
  <si>
    <t xml:space="preserve">2015-2017
</t>
  </si>
  <si>
    <t xml:space="preserve">El indicador engloba los 5 componentes de reinserción social </t>
  </si>
  <si>
    <t xml:space="preserve">2015 - 2017 </t>
  </si>
  <si>
    <t>Salud, educación, trabajo, cultura y deportes</t>
  </si>
  <si>
    <t xml:space="preserve">Responsable de Reinserción Social </t>
  </si>
  <si>
    <t>DGRP
2118043
Angélica Salcedo Meneses</t>
  </si>
  <si>
    <t>La mayoría de las personas en tránsito y hacía el país son registradas en el  sistema integral de control migratotio en línea y en tiempo real.</t>
  </si>
  <si>
    <t>10.7  Facilitar la migración y la movilidad ordenadas, seguras, regulares y responsables de las personas, incluso mediante la aplicación de políticas migratorias planificadas y bien gestionadas</t>
  </si>
  <si>
    <t>10.7.2 Número de países que han aplicado políticas migratorias bien gestionadas</t>
  </si>
  <si>
    <t xml:space="preserve">Parcial </t>
  </si>
  <si>
    <t>Porcentaje de puestos de control migratorio fjo que cuentan con nuevo sistema de control de fronteras</t>
  </si>
  <si>
    <t>Portcentaje</t>
  </si>
  <si>
    <t xml:space="preserve">Proporción de puestos  de control migratorio fijo que cuentan con nuevo sistema de control de fronteras en relación a los puestos de control migratorio fijos </t>
  </si>
  <si>
    <t>(Número de puestos de control migratorio fijo  que cuentan con el nuevo sistema de control de fronteras / Número de puestos de control migratorio fijos)*100</t>
  </si>
  <si>
    <t>Número de puestos de control migratorio fijo  que cuentan con el nuevo sistema de control de fronteras</t>
  </si>
  <si>
    <t>DIGEMIG</t>
  </si>
  <si>
    <t>Numero de puestos de control migratorio fijos</t>
  </si>
  <si>
    <t xml:space="preserve">El sistema de control de fronteras  será implementado el 2018 </t>
  </si>
  <si>
    <t>Dirección General de Migración</t>
  </si>
  <si>
    <t xml:space="preserve">Registro Administrativo </t>
  </si>
  <si>
    <t>Puestos de control migratorio</t>
  </si>
  <si>
    <t xml:space="preserve">Ministrio de Gobierno </t>
  </si>
  <si>
    <t>Dirección General de Migración -DIGEMIG</t>
  </si>
  <si>
    <t>DIGEMIG
2110960
Miroslava Peña</t>
  </si>
  <si>
    <t xml:space="preserve">Porcentaje de avance en la implementación del Sistema Integrado de Vigilancia,  Control y Defensa del Espacio Aéreo </t>
  </si>
  <si>
    <t>MD</t>
  </si>
  <si>
    <t>El % de avance físico de la implementación del Sistema Integrado de Vigilancia, Control y Defensa del Espacio Aéreo representa la comparación entre los volúmenes de obra real ejecutados contra lo programado</t>
  </si>
  <si>
    <t xml:space="preserve">(avance ejecutado / avance programado)*100 </t>
  </si>
  <si>
    <t>Avance ejecutado</t>
  </si>
  <si>
    <t>Planillas de avance de obra</t>
  </si>
  <si>
    <t>Avance programado</t>
  </si>
  <si>
    <t>Dato actualizado hasta marzo 2018</t>
  </si>
  <si>
    <t>PAO</t>
  </si>
  <si>
    <t>2017 - 2018</t>
  </si>
  <si>
    <t>Avance físico de obra</t>
  </si>
  <si>
    <t>Ministerio de Defensa (MD)</t>
  </si>
  <si>
    <t>Comando de Seguridad y Defensa del Espacio Aéreo (COSDEA)</t>
  </si>
  <si>
    <t>Fuerza Aérea Boliviana (FAB)</t>
  </si>
  <si>
    <t>Gral. Div. Aé. Jorge Elmer Toranzo 71554225</t>
  </si>
  <si>
    <t>90,5% de la población boliviana cuentan con servicios sostenibles de agua segura.</t>
  </si>
  <si>
    <t>No se tiene definido en concreto el concepto de "gestionados de manera segura"</t>
  </si>
  <si>
    <t>Cobertura de acceso a fuentes mejoradas de agua (total)</t>
  </si>
  <si>
    <t>La población servida total que tiene acceso a fuentes mejoradas de agua, es la suma de la población servida del área urbana más la población servida del área rural, todo dividido entre la población total proyectada.</t>
  </si>
  <si>
    <t>La cobertura de acceso a fuentes mejoradas de agua (total), es el promedio ponderado de la cobertura de acceso a fuentes mejoradas de agua (urbana) y la cobertura de acceso a fuentes mejoradas de agua (rural). Los coeficientes de ponderación son las participaciones de la población urbana y rural respecto del total, respectivamente.</t>
  </si>
  <si>
    <t>Población servida total: es la suma de la población servida del área urbana más la población servida del área rural.</t>
  </si>
  <si>
    <t>Registros Administrativo con base al CNPV2012</t>
  </si>
  <si>
    <t>Población total proyectada</t>
  </si>
  <si>
    <t>Proyecciones de Poblacion INE
Proyecciones de población a nivel comunidad y municipal (área urbana y rural) por el VAPSB</t>
  </si>
  <si>
    <t>2012-2016</t>
  </si>
  <si>
    <t>Se toma en cuenta las observaciones de los indicadores de cobertura del área urbana y rural.</t>
  </si>
  <si>
    <t>Sistema de Informacion de Agua en Bolivia (SIAB)
*Otras fuentes (AAPS, AEVIVIENDA, ONGs y GAMs)</t>
  </si>
  <si>
    <t xml:space="preserve">Departamental y municipal
</t>
  </si>
  <si>
    <t xml:space="preserve">Población Servida 
Población total
Tipo de proyecto
Fuente de financiamiento
Monto programado
Monto ejecutado
Ubicación
</t>
  </si>
  <si>
    <t xml:space="preserve">Además del SIAB, se recoge información de nuevas conexiones de otras fuentes de información: AAPS, AEVIVIENDA, ONGs y GAMs. </t>
  </si>
  <si>
    <t>Ministerio de Medio Ambiente y Agua - MMAyA</t>
  </si>
  <si>
    <t>Viceministerio de Agua Potable y Saneamiento Básico (VAPSB)</t>
  </si>
  <si>
    <t>Dirección General de Agua Potable y Alcantarillado Sanitario (DGAPAS)</t>
  </si>
  <si>
    <t>2115571 int 1202</t>
  </si>
  <si>
    <t>En los registros administrativos no se registra si la vivienda cuenta con instalación para lavarse las manos. En la encuesta de hogares 2016 se incluyó la pregunta pero no se analizó el método de cálculo del indicador.</t>
  </si>
  <si>
    <t>Cobertura de saneamiento (urbana)</t>
  </si>
  <si>
    <t>La población urbana que dispone de servicio de saneamiento, es aquella que accede a este servicio mediante conexión a la red de alcantarillado o baño ecológico. El indicador representa la relación porcentual de la población servida respecto a la población total urbana proyectada.</t>
  </si>
  <si>
    <t>La cobertura de saneamiento (urbana), es el cociente entre la población servida estimada para el año "t" y la población urbana proyectada para el mismo año, multiplicado por 100. La población servida para el año "t" está definida como la suma de la población servida del año anterior, más el crecimiento natural de la población servida del último año, más el incremento neto de la población servida del área urbana en el año "t".</t>
  </si>
  <si>
    <t>Población servida urbana: es la población que accede a este servicio mediante conexión a la red de alcantarillado o baño ecológico.</t>
  </si>
  <si>
    <t>Población total urbana proyectada</t>
  </si>
  <si>
    <t>Hasta la gestión 2015, en el area urbana se ha considerado como población servida con saneamiento a la conexión de alcantarillado, a partir de la gestión 2015, el dato contempla conexión a la red de alcantarillado o baño ecológico y se registra a nivel de comunidad, en ese sentido , la formula es aplicada a este nivel. Por otro lado , se considera el supuesto de que la tasa de crecimiento de la población servida es igual a la tasa de crecimiento de la población.</t>
  </si>
  <si>
    <t>Cobertura de saneamiento (rural)</t>
  </si>
  <si>
    <t>La población rural que dispone de servicio de saneamiento, es aquella que accede a este servicio mediante conexión a la red de alcantarillado, conexión a cámara séptica, baño ecológico, Letrina con descarga a pozo de absorción o letrina de pozo con loza (tapa). El indicador representa la relación porcentual de la población servida respecto a la población total rural proyectada.</t>
  </si>
  <si>
    <t>La cobertura de saneamiento (rural), es el cociente entre la población servida estimada para el año "t" y la población rural proyectada para el mismo año, multiplicado por 100. La población servida para el año "t" está definida como la suma de la población servida del año anterior, más el crecimiento natural de la población servida del último año, más el incremento neto de la población servida del área rural en el año "t".</t>
  </si>
  <si>
    <t>Población servida rural: es la población que accede a este servicio mediante conexión a la red de alcantarillado, conexión a cámara séptica, baño ecológico, Letrina con descarga a pozo de absorción o letrina de pozo con loza (tapa).</t>
  </si>
  <si>
    <t>Población total rural proyectada</t>
  </si>
  <si>
    <t>En el area rual se ha considerado como población servida con saneamiento a la conexión de alcantarillado, letrina con descarga a camara septica o letrina de pozo ciego. A partir del 2015, se registra a nivel de comunidad en ese sentido, la formula es aplicada a este nivel. Por lo tanto, se tiene el supuesto de que la tasa de crecimiento de la población servida es igual a la tasa de crecimiento de la población.</t>
  </si>
  <si>
    <t xml:space="preserve">Además del SIAB, se recoge información de nuevas conexiones de otras fuentes de información: AEVIVIENDA, ONGs y GAMs. </t>
  </si>
  <si>
    <t>67% de la población boliviana cuenta con servicios de alcantarillado y saneamiento.</t>
  </si>
  <si>
    <t>Cobertura de saneamiento (total)</t>
  </si>
  <si>
    <t>La población servida total que tiene acceso a saneamiento, es la suma de la población servida del área urbana más la población servida del área rural, todo dividido entre la población total proyectada.</t>
  </si>
  <si>
    <t>La cobertura saneamiento (total), es el promedio ponderado de la cobertura de saneamiento (urbana) y la cobertura de saneamiento (rural). Los coeficientes de ponderación son las participaciones de la población urbana y rural respecto del total, respectivamente.</t>
  </si>
  <si>
    <t>Cobertura de acceso a fuentes mejoradas de agua (urbana)</t>
  </si>
  <si>
    <t>La población urbana que tiene acceso a fuentes mejoradas de agua, es aquella que accede a este recurso mediante conexión domiciliaria, pileta pública, pozo perforado con bomba o cosecha de agua. El indicador representa la relación porcentual de la población servida respecto a la población total urbana proyectada.</t>
  </si>
  <si>
    <t>La cobertura de acceso a fuentes mejoradas de agua (urbana), es el cociente entre la población servida estimada para el año "t" y la población urbana proyectada para el mismo año, multiplicado por 100. La población servida para el año "t" está definida como la suma de la población servida del año anterior, más el crecimiento natural de la población servida del último año, más el incremento neto de la población servida del área urbana en el año "t".</t>
  </si>
  <si>
    <t>Población servida urbana: es la población que accede a este recurso mediante conexión domiciliaria, pileta pública, pozo perforado con bomba o cosecha de agua.</t>
  </si>
  <si>
    <t>Hasta la gestión 2015, en el área urbana se ha considerado como población servida a aquella que tiene acceso al agua mediante cañería de red o pileta pública. A partir de la gestión 2015, el dato considera conexión domiciliaria, pileta pública, pozo perforado con bomba o cosecha de agua que se registra a nivel de comunidad, en ese sentido, la fórmula es aplicada a este nivel. Por otro lado, se considera el supuesto de que la tasa de crecimiento de la población servida es igual a la tasa de crecimiento de la población.</t>
  </si>
  <si>
    <t>Cobertura de acceso a fuentes mejoradas de agua (rural)</t>
  </si>
  <si>
    <t>La población rural que tiene acceso a fuentes mejoradas de agua, es aquella que accede a este recurso mediante conexión domiciliaria, pileta pública, pozo perforado con bomba, Pozo excavado protegido con bomba, manantial protegido o cosecha de agua. El indicador representa la relación porcentual de la población servida respecto a la población total rural proyectada.</t>
  </si>
  <si>
    <t>La cobertura de acceso a fuentes mejoradas de agua (rural), es el cociente entre la población servida estimada para el año "t" y la población rural proyectada para el mismo año, multiplicado por 100. La población servida para el año "t" está definida como la suma de la población servida del año anterior, más el crecimiento natural de la población servida del último año, más el incremento neto de la población servida del área rural en el año "t".</t>
  </si>
  <si>
    <t>Población servida rural: es la población que accede a este recurso mediante conexión domiciliaria, pileta pública, pozo perforado con bomba, pozo excavado protegido con bomba, manatial protegido o cosecha de agua.</t>
  </si>
  <si>
    <t>Hasta la gestión 2015, en el área rural se ha considerado como población servida a aquella que tiene acceso al agua mediante cañería de red, pileta pública o  pozo con bomba. A partir de la gestión 2015, el dato contempla conexión domiciliaria, pileta pública, pozo perforado con bomba, pozo excavado protegido con bomba, manatial protegido o cosecha de agua y se registra a nivel de comunidad, en ese sentido, la fórmula es aplicada a este nivel. Por otro lado, se considera el supuesto de que la tasa de crecimiento de la población servida es igual a la tasa de crecimiento de la población.</t>
  </si>
  <si>
    <t>Número de piezas de Patrimonio Cultural recuperado.</t>
  </si>
  <si>
    <t>Es el número total de piezas de Patrimonio Cultural Material recuperado, en un periodo dado a través de acciones contra el tráfico ilícito.</t>
  </si>
  <si>
    <t>Es el número de piezas de Patrimonio Cultural Material recuperado.</t>
  </si>
  <si>
    <t>Registros administrativos</t>
  </si>
  <si>
    <t>2016 - 2017</t>
  </si>
  <si>
    <t>MDCyT - VI</t>
  </si>
  <si>
    <t>Viceministerio de Interculturalidad</t>
  </si>
  <si>
    <t>Denuncias internacionales de tráfico o posesión ilícita reportadas por cancillería, denuncias de tráfico o posesión ilícita nacional reportadas por personas naturales o jurídicas, reportes de denuncias de Ministerios de Cultura de Perú, Ecuador y Uruguay.</t>
  </si>
  <si>
    <t>Ministerio de Culturas y Turismo - MDCyT</t>
  </si>
  <si>
    <t>Viceministerio de Interculturalidad - VI</t>
  </si>
  <si>
    <t>Dirección General de Patrimonio Cultural - DGPC</t>
  </si>
  <si>
    <t>2200910 int. 2101</t>
  </si>
  <si>
    <t>Número de manifestaciones culturales que cuentan con Declaratoria Nacional de Patrimonio Cultural Inmaterial</t>
  </si>
  <si>
    <t>Es el número de manifestaciones culturales que cuentan con Declaratoria Nacional de Patrimonio Cultural Inmaterial.</t>
  </si>
  <si>
    <t>1968 - 2017</t>
  </si>
  <si>
    <t>Viceministerio de Interculturalidad - Dirección General de Patrimonio Cultural</t>
  </si>
  <si>
    <t>1968-2017</t>
  </si>
  <si>
    <t>Leyes de aprobación de Declaratorias Nacionales de Patrimonio Cultural Inmaterial.</t>
  </si>
  <si>
    <t>Número de formas de organización laboral fortalecidas mediante su inscripción en la Lista Representativa de Patrimonio Cultural Inmaterial de UNESCO.</t>
  </si>
  <si>
    <t>Es el número de formas de organización laboral que han sido fortalecidas mediante su inscripción en la Lista Representativa de Patrimonio Cultural Inmaterial de UNESCO.</t>
  </si>
  <si>
    <t>Formas de organización social que han sido fortalecidas mediante su inscripción en la Lista Representativa de Patrimonio Cultural Inmaterial de UNESCO.</t>
  </si>
  <si>
    <t>Diploma de Inscripción en la Lista Representativa an la UNESCO</t>
  </si>
  <si>
    <t>2008 - 2017</t>
  </si>
  <si>
    <t>El Ministerio de Culturas y Turismo elabora la carpeta de postulación y realiza la gestión ante UNESCO. Pasado un periodo de evaluación de la misma, UNESCO publica la Inscripción en la Lista Representativa de Patrimonio Cultural Inmaterial disponible en su página web oficial.</t>
  </si>
  <si>
    <t>Organización de Naciones Unidas - ONU</t>
  </si>
  <si>
    <t>Organización de  las Naciones Unidades para la Educación, la Ciencia y la Cultura - UNESCO</t>
  </si>
  <si>
    <t>∑PPCR = Sumatoria del número de piezas de Patrimonio Cultural Material recuperado.</t>
  </si>
  <si>
    <t>∑MCPI= Sumatoria del número de manifestaciones culturales con Declaratoria Nacional de Patrimonio Cultural Inmaterial.</t>
  </si>
  <si>
    <t>∑OFDPI = Sumatoria de organizaciones laborales fortalecidas, valoradas y enriquecidas mediante su inscripción en la Lista Representativa de Patrimonio Cultural Inmaterial de UNESCO.</t>
  </si>
  <si>
    <t>FTE = ∑TE (aéreo) + ∑FT (Terrestre) + ∑FT (ferroviario) + ∑FT (fluvial)
FTE = Flujo de turistas Extranjeros Total
∑TE (aéreo) = Flujo de turistas extranjeros que ingresan vía aérea, según nacionalidad
 ∑FT (Terrestre) = Flujo de turistas extranjeros que ingresan vía terrestre, según nacionalidad
∑FT (ferroviario) = Flujo de turistas extranjeros que ingresan vía férrea, según nacionalidad
∑FT (fluvial-lacustre) = Flujo de turistas extranjeros que ingresan vía fluvial-lacustre, según nacionalidad</t>
  </si>
  <si>
    <r>
      <t>Eficacia</t>
    </r>
    <r>
      <rPr>
        <sz val="11"/>
        <rFont val="Arial"/>
        <family val="2"/>
      </rPr>
      <t xml:space="preserve">: Miden nivel de cumplimiento de los objetivos
</t>
    </r>
    <r>
      <rPr>
        <u/>
        <sz val="11"/>
        <rFont val="Arial"/>
        <family val="2"/>
      </rPr>
      <t>Calidad</t>
    </r>
    <r>
      <rPr>
        <sz val="11"/>
        <rFont val="Arial"/>
        <family val="2"/>
      </rPr>
      <t>:  Evalúan atributos respecto a normas, referenias externas o satisfacción de los beneficiarios (usuarios)</t>
    </r>
  </si>
  <si>
    <r>
      <t xml:space="preserve">* 17.10.1 Promedio arancelario ponderado en todo el mundo
</t>
    </r>
    <r>
      <rPr>
        <i/>
        <sz val="11"/>
        <rFont val="Arial"/>
        <family val="2"/>
      </rPr>
      <t>* ODM Porcentaje de las exportaciones libres de aranceles admitidas por países desarrollados</t>
    </r>
  </si>
  <si>
    <r>
      <t xml:space="preserve">
donde:
PCPM</t>
    </r>
    <r>
      <rPr>
        <vertAlign val="subscript"/>
        <sz val="11"/>
        <rFont val="Arial"/>
        <family val="2"/>
      </rPr>
      <t>EMH</t>
    </r>
    <r>
      <rPr>
        <sz val="11"/>
        <rFont val="Arial"/>
        <family val="2"/>
      </rPr>
      <t xml:space="preserve">    = Porcentaje de Cumplimiento de la Producción Minera 
PAn              =  Producción acumulada al año n (Periodo 2015-2020)
PP2020         =  Producción total acumulada y proyectada al 2020.
</t>
    </r>
  </si>
  <si>
    <r>
      <t xml:space="preserve">
donde:
PCPM</t>
    </r>
    <r>
      <rPr>
        <vertAlign val="subscript"/>
        <sz val="11"/>
        <rFont val="Arial"/>
        <family val="2"/>
      </rPr>
      <t>EMC</t>
    </r>
    <r>
      <rPr>
        <sz val="11"/>
        <rFont val="Arial"/>
        <family val="2"/>
      </rPr>
      <t xml:space="preserve">    = Porcentaje de Cumplimiento de la Producción Minera 
PAn              =  Producción acumulada al año n (Periodo 2015-2020)
PP2020         =  Producción total acumulada y proyectada al 2020.
</t>
    </r>
  </si>
  <si>
    <r>
      <t xml:space="preserve">
donde:
PCPM</t>
    </r>
    <r>
      <rPr>
        <vertAlign val="subscript"/>
        <sz val="11"/>
        <rFont val="Arial"/>
        <family val="2"/>
      </rPr>
      <t>EMCC</t>
    </r>
    <r>
      <rPr>
        <sz val="11"/>
        <rFont val="Arial"/>
        <family val="2"/>
      </rPr>
      <t xml:space="preserve">    = Porcentaje de Cumplimiento de la Producción Minera 
PAn              =  Producción acumulada al año n (Periodo 2015-2020)
PP2020         =  Producción total acumulada y proyectada al 2020.
</t>
    </r>
  </si>
  <si>
    <r>
      <t xml:space="preserve">
donde:
PCPM</t>
    </r>
    <r>
      <rPr>
        <vertAlign val="subscript"/>
        <sz val="11"/>
        <rFont val="Arial"/>
        <family val="2"/>
      </rPr>
      <t>EMCC</t>
    </r>
    <r>
      <rPr>
        <sz val="11"/>
        <rFont val="Arial"/>
        <family val="2"/>
      </rPr>
      <t xml:space="preserve">    = Porcentaje de Cumplimiento de la Transformación Minera 
PAn              =  Producción acumulada al año n (Periodo 2015-2020)
PP2020         =  Producción total acumulada y proyectada al 2020.
</t>
    </r>
  </si>
  <si>
    <t>Se ha ampliado el servicio de comunicación telefónica en localidades con población mayor a 50 habitantes</t>
  </si>
  <si>
    <t xml:space="preserve">Volumen anual de semilla por variedad (año actual) </t>
  </si>
  <si>
    <t xml:space="preserve">2.2.1 Prevalencia del retraso en el crecimiento (estatura para la edad, desviación típica &lt; -2 de la mediana de los patrones de crecimiento infantil de la Organización Mundial de la Salud (OMS)) entre los niños menores de 5 años
</t>
  </si>
  <si>
    <t>Es aplicable directamente al indicador, sin embargo el reporte oficial pais se lo realiza quinquenalmente</t>
  </si>
  <si>
    <t>08012211</t>
  </si>
  <si>
    <t>Por Sexo, edad, departamento, area urbana y rural</t>
  </si>
  <si>
    <t>Mide la cantidad de niñas y niños menores de 5 años con desnutrición crónica o talla baja (de acuerdo a norma talla baja es cuando el indicador T/E se encuentra por debajo de 2 Desviaciones Estandar)</t>
  </si>
  <si>
    <t>PDC&lt;5años = Nº de niñas/os menores de5 años con talla baja/Poblacion total de niñas/osmenores de 5 años por 100</t>
  </si>
  <si>
    <t>Número de niñas/os menores de 5 años con talla baja</t>
  </si>
  <si>
    <t xml:space="preserve">Institución: INE
Dirección: Estadísticas e Indicadores Económicos y Sociales
Institución: Ministerio de Salud- Encuesta Nacional de Demografía y Salud-ENDSA
</t>
  </si>
  <si>
    <t xml:space="preserve">Poblacion total de niñas/os menores de 5 años </t>
  </si>
  <si>
    <t xml:space="preserve">Institución: INE
Dirección: Estadísticas e Indicadores Económicos y Sociales
</t>
  </si>
  <si>
    <t>Disponible de 2008 (ENDSA)</t>
  </si>
  <si>
    <t>Periodicidad de la informacion es quinquenal
(es importante plantear la realización de otra encuesta poblacional antes del 2020 para medir los avances)</t>
  </si>
  <si>
    <t>080122111</t>
  </si>
  <si>
    <t xml:space="preserve">INE
</t>
  </si>
  <si>
    <t xml:space="preserve">INSTITUTO NACIONAL DE ESTADISTICA
</t>
  </si>
  <si>
    <t xml:space="preserve">ENCUESTA </t>
  </si>
  <si>
    <t>QUINQUENAL</t>
  </si>
  <si>
    <t>DESDE 2008</t>
  </si>
  <si>
    <t xml:space="preserve">NACIONAL
</t>
  </si>
  <si>
    <t>NACIONAL</t>
  </si>
  <si>
    <t>Salud sexual y reproductiva
Violencia
Nutrición
Mortalidad de la niñez
Mortalidad neonatal</t>
  </si>
  <si>
    <t xml:space="preserve">Serie disponible con el factor desde 2008
</t>
  </si>
  <si>
    <t>MINISTERIO DE SALUD - MS
UC CT CONAN</t>
  </si>
  <si>
    <t>VICEMINISTERIO DE PROMOCION DE LA SALUD - VPS</t>
  </si>
  <si>
    <t xml:space="preserve">UC CT-CONAN
DIRECCION GENERAL DE PROMOCION DE LA SALUD - UNIDAD DE ALIMENTACION Y NUTRICION
DGPS - UAN
</t>
  </si>
  <si>
    <t>UC CT_CONAN: 2117997 - 2118890
UAN: 2443957</t>
  </si>
  <si>
    <t>PENDIENTE</t>
  </si>
  <si>
    <t>Prevalencia de anemia en niños menores de 5 años</t>
  </si>
  <si>
    <t>08012231</t>
  </si>
  <si>
    <t>Mide la cantidad de niñas y niños menores de 5 años con anemia (nivel de hemoglobina bajo)</t>
  </si>
  <si>
    <t>PA&lt;5años = Nº de niñas/os menores de5 años con anemia/Poblacion total de niñas/osmenores de 5 años por 100</t>
  </si>
  <si>
    <t>Número de niñas/os menores de 5 años con anemia</t>
  </si>
  <si>
    <t>080122311</t>
  </si>
  <si>
    <t>ENCUESTA POBLACIONAL</t>
  </si>
  <si>
    <t xml:space="preserve">
2.2.2 Prevalencia de la malnutrición (peso para la estatura, desviación típica &gt; +2 o &lt; -2 de la mediana de los patrones de crecimiento infantil de la OMS) entre los niños menores de 5 años, desglosada por tipo (emaciación y peso excesivo)</t>
  </si>
  <si>
    <t>08012241</t>
  </si>
  <si>
    <t>Mide la cantidad de niñas y niños menores de 5 años con sobrepeso y obesidad (de acuerdo a norma se determina sobrepeso  cuando el indicador P/T se encuentra por encima de 2 Desviaciones Estandar, y obesidad cuando se encuentra por encima de 3 Desviaciones Estandar)</t>
  </si>
  <si>
    <t>PSP-OB&lt;5años = Nº de niñas/os menores de 5 años con sobrepeso+obesidad/Poblacion total de niñas/osmenores de 5 años por 100</t>
  </si>
  <si>
    <t>Número de niñas/os menores de 5 años con sobrepeso u obesidad</t>
  </si>
  <si>
    <t>080122411</t>
  </si>
  <si>
    <t>Prevalencia de sobrepeso y obesidad en mujeres en edad fértil</t>
  </si>
  <si>
    <t>08012251</t>
  </si>
  <si>
    <t>Por edad, departamento, area urbana y rural</t>
  </si>
  <si>
    <t>Mide la cantidad de mujeres con sobrepeso u obesidad (de acuerdo a norma cuando el valor del IMC se encuentra por encima de 24 se considera sobrepeso, y cuando es superior a 30 obesidad)</t>
  </si>
  <si>
    <t>PSP-OB M = Nº de mujeres en edad fertil con sobrepeso + obesidad / Poblacion total de mujeres en edad fértil por 100</t>
  </si>
  <si>
    <t>Número de mujeres en edad fertil con sobrepeso y obesidad</t>
  </si>
  <si>
    <t>Poblacion total de mujeres en edad fértil</t>
  </si>
  <si>
    <t>080122511</t>
  </si>
  <si>
    <t xml:space="preserve">Serie disponible con el factor desde 1998
</t>
  </si>
  <si>
    <t>Prevalencia de lactancia materna exclusiva</t>
  </si>
  <si>
    <t>08012261</t>
  </si>
  <si>
    <t>Área Geografica
Sexo
Edad</t>
  </si>
  <si>
    <t>Mide el porcentaje de niñas/os de 6 meses de edad que recibieron lactancia exclusiva (de acuerdo a norma se considera lactancia materna exclusiva hasta los 6 meses de vida).</t>
  </si>
  <si>
    <t>PN&lt;6LME = Nº de niñas/os menores de 6 meses con lactancia materna exclusiva/Poblacion total de niñas/os menores de 1 año por 100</t>
  </si>
  <si>
    <t>Número de niñas/os  menores de 6 meses con lactancia materna exclusiva</t>
  </si>
  <si>
    <t>Institución: INE
Dirección: Estadísticas e Indicadores Económicos y Sociales
Institución: Ministerio de Salud- Encuesta Nacional de Demografía y Salud-ENDSA</t>
  </si>
  <si>
    <t>Poblacion total de niñas/os menores de 1 año</t>
  </si>
  <si>
    <t>1998
(ENDSA)</t>
  </si>
  <si>
    <t>Periodicidad de la informacion es quinquenal
(es importante plantear la realización de otra encuesta poblacional antes del 2020 para medir los avances, se sugiere replantear la meta)</t>
  </si>
  <si>
    <t>080122611</t>
  </si>
  <si>
    <t>Prevalencia de Inseguridad Alimentaria Severa o Moderada en el hogar</t>
  </si>
  <si>
    <t>Urbano-Rural, Departamento,Pobreza, Quintil de Ingresos, nivel de ingresos del jefe de hogar, tipología del hogar</t>
  </si>
  <si>
    <t>Hogares con Inseguridad Alimentaria Severa o Moderada</t>
  </si>
  <si>
    <t xml:space="preserve">Total hogares en Viviendas Particulares </t>
  </si>
  <si>
    <t>2017 (Dato Preliminar)</t>
  </si>
  <si>
    <t>1</t>
  </si>
  <si>
    <t>2005-2017</t>
  </si>
  <si>
    <t>Pobreza por ingresos, Tasa de Desempleo, Analfabetismo. 
Secciones: Empleo, Ingresos, Salud, Educación, Caracterización sociodemográfica, TIC</t>
  </si>
  <si>
    <t>Serie disponible con el factor actualizado sólo desde 2011
Representatividad departamental de los datos desde 2011</t>
  </si>
  <si>
    <t xml:space="preserve">Instituto Nacional de Estadística (INE); </t>
  </si>
  <si>
    <t>Dirección de Estadísticas e Indicadores Económicos y Sociales (DEIES)</t>
  </si>
  <si>
    <t>Unidad de Estadísticas e Indicadores Sociales (UEIS)</t>
  </si>
  <si>
    <t>(591) 2222333</t>
  </si>
  <si>
    <t>El sector no colocó meta al 2020</t>
  </si>
  <si>
    <t>ODS</t>
  </si>
  <si>
    <t>19/04/2018</t>
  </si>
  <si>
    <t>Porcentaje de Unidades Educativas que implementan acciones de recuperación de las prácticas comunitarias y conocimientos ancestrales.</t>
  </si>
  <si>
    <t>Es la proporción de Unidades Educativas que implementan acciones de recuperación de las prácticas comunitarias y conocimientos ancestrales.</t>
  </si>
  <si>
    <t>%UEIRPCCA = ∑UEIRPCCA/∑TUE
%UEIRPCCA =  Porcentaje de Unidades Educativas que implementan acciones de recuperación de las prácticas comunitarias y conocimientos ancestrales.
∑UEIRPCCA = Sumatoria del número de Unidades Educativas que implementan acciones de recuperación de las prácticas comunitarias y conocimientos ancestrales.
∑TUE = Sumatoria total de Unidades Educativas a nivel nacional.</t>
  </si>
  <si>
    <t>Es el número de Unidades Educativas que implementan acciones de recuperación de las prácticas comunitarias y conocimientos ancestrales.</t>
  </si>
  <si>
    <t>Total de Unidades Educativas a nivel nacional.</t>
  </si>
  <si>
    <t>Ministerio de Educación</t>
  </si>
  <si>
    <t>MDCyT - VD</t>
  </si>
  <si>
    <t>Viceministerio de Descolonizacion</t>
  </si>
  <si>
    <t>Registro de entrega de libro "La Revolución India" a estudiantes de 6to. de secundaria, seguimiento de lectura y debate.</t>
  </si>
  <si>
    <t>La información se encuentra en proceso de informatización .</t>
  </si>
  <si>
    <t>Viceministerio de Descolonizacion - VD</t>
  </si>
  <si>
    <t>Direccion General de Administración Pública Plurinacional - DGAPP</t>
  </si>
  <si>
    <t>Sandro Canqui 2118644</t>
  </si>
  <si>
    <t xml:space="preserve"> </t>
  </si>
  <si>
    <t>27/04/2018</t>
  </si>
  <si>
    <t>Porcentaje de municipios que emplean sitios sagrados para el fortalecimiento de sus identidades culturales.</t>
  </si>
  <si>
    <t>Es la proporción de municipios que emplean sitios sagrados para el fortalecimiento de sus identidades culturales.</t>
  </si>
  <si>
    <t xml:space="preserve">%MESS = ∑SMESS/∑TM
%MESS = Porcentaje de municipios que emplean sitios sagrados para el fortalecimiento de sus identidades culturales.
∑SMESS= Sumatoria de municipios que emplean sitios sagrados donde las personas participan con acciones para el fortalecimiento de la identidad plurinacional.
∑TM = Sumatoria total de Municipios a nivel nacional.
</t>
  </si>
  <si>
    <t>Es el número de municipios que emplean sitios sagrados donde las personas participan con acciones para el fortalecimiento de la identidad plurinacional.</t>
  </si>
  <si>
    <t>Número total de municipios a nivel nacional.</t>
  </si>
  <si>
    <t>Instituto Nacional de Estadistica (INE)</t>
  </si>
  <si>
    <t>Registro de sitios sagrados identificados por municipio.</t>
  </si>
  <si>
    <t>Sandro Canqui 2118645</t>
  </si>
  <si>
    <t>Porcentaje de servidores públicos capacitados en la Ley Nº 045.</t>
  </si>
  <si>
    <t>Es la proporción de servidores públicos capacitados en la Ley Nº 045.</t>
  </si>
  <si>
    <t>%SPCL = ∑PIPL/∑PTSPC
donde:
%SPCL = Porcentaje de servidores públicos capacitados en la Ley Nº 045.
∑PIPL= Sumatoria del número total de servidores publicos capacitados en instituciones públicas en la Ley Nº 045.
∑PTSPC= Sumatoria total de servidores públicos a nivel nacional.</t>
  </si>
  <si>
    <t>Número total de servidores públicos capacitados en la Ley Nº 045.</t>
  </si>
  <si>
    <t>Número total de servidores públicos a nivel nacional.</t>
  </si>
  <si>
    <t>Ministerio de Economia y Finanzas (MEF)</t>
  </si>
  <si>
    <t>Informe sobre el registro de servidores públicos a nivel nacional expedido por el Instituto Nacional de Estadistica (INE)</t>
  </si>
  <si>
    <t>Direccion General de Lucha Contra el Racismo - DGLCR</t>
  </si>
  <si>
    <t>Leoncio Gutierrez  
2116793</t>
  </si>
  <si>
    <t xml:space="preserve">Porcentaje de estudiantes  de nivel secundario capacitados en la Ley Nº 045. </t>
  </si>
  <si>
    <t>Estudiante</t>
  </si>
  <si>
    <t xml:space="preserve">Porcentaje de estudiantes de nivel secundario que conocen la Ley Nº 045. </t>
  </si>
  <si>
    <t>%EDEL= ∑NEL/∑NTENN
donde:
%EDEL= Es el porcentaje de estudiantes de nivel secundario que conocen la Ley Nº 045. 
∑NEL= Sumatoria del número de estudiantes de nivel secundario capacitados en la Ley 045 
∑NTENN= Sumatoria del número total de estudiantes de nivel secundario a nivel nacional.</t>
  </si>
  <si>
    <t>Número de estudiantes de nivel secundario que conocen la Ley N° 045.</t>
  </si>
  <si>
    <t>Es el número total de estudiantes de nivel secundario a nivel nacional.</t>
  </si>
  <si>
    <t>Planillas de registro de estudiantes capacitados, informes de capacitación.</t>
  </si>
  <si>
    <t>Leoncio Gutierrez 
2116793</t>
  </si>
  <si>
    <t>Porcentaje de denuncias por casos de racismo y discrimimación que concluyeron con sanción.</t>
  </si>
  <si>
    <t>Porcentaje de denuncias por casos de racismo y discrimimacion que concluyeron con sanción.</t>
  </si>
  <si>
    <t>%DCRDS = ∑DCCRD/∑TDCRD
%DCRDS = Porcentaje de denuncias por casos de racismo y discrimimacion que concluyeron con sanción.
∑MCPEP = Sumatoria de denuncias por casos de racismo y discriminacion que concluyeron con sanción
∑TDCRD = Sumatoria total de denuncias por casos de racismo y discrimacion.</t>
  </si>
  <si>
    <t>Número de denuncias por casos de racismo y discrimimacion que concluyeron con sanción.</t>
  </si>
  <si>
    <t>Registros Administrativos del Ministerio Público (Delitos Penales).
Registros Administrativos del 
Comité Nacional de Lucha contra el Racismo y toda forma de Discriminación (Faltas Administrativas).</t>
  </si>
  <si>
    <t>Número total de denuncias por casos de racismo y discrimacion.</t>
  </si>
  <si>
    <t>Registros Administrativos del Ministerio Público (Delitos Penales).
Registros Administrativos del 
Comité Nacional de Lucha contra el Racismo y toda forma de Discriminación (Faltas Administrativas)</t>
  </si>
  <si>
    <t>Notas de denuncias con fotocopias de CI del denunciante, formularios de recepción de denuncias.</t>
  </si>
  <si>
    <t>Leoncio Gutierrez
2118644</t>
  </si>
  <si>
    <t>01030221</t>
  </si>
  <si>
    <t xml:space="preserve">Denuncias de trata de personas por cada 100 mil habitantes </t>
  </si>
  <si>
    <t xml:space="preserve"> Edad, sexo, lugar de denuncia, mes de denuncia, tipo de delito (trata, tráfico, pornografía y proxenetismo)  y departamento</t>
  </si>
  <si>
    <t xml:space="preserve">Denuncias  de trata   de personas  por cada 100 mil habitantes </t>
  </si>
  <si>
    <t>(numero de Denuncias  de  trata  de personas )/(Población total)*100.000</t>
  </si>
  <si>
    <t xml:space="preserve">Número de denuncias de trata de personas </t>
  </si>
  <si>
    <t>OBDSCD 
Departamento Nacional de Estadistica de  Policia Boliviana</t>
  </si>
  <si>
    <t>INE-Proyecciones de poblacion</t>
  </si>
  <si>
    <t>Existencia de información sistematizada  anual</t>
  </si>
  <si>
    <t xml:space="preserve">Semestral </t>
  </si>
  <si>
    <t xml:space="preserve">Denuncias de trata de personas registradas en la Policia Boliviana
</t>
  </si>
  <si>
    <t>Observatorio Boliviano de Seguridad Ciudadana y Lucha Contra las Drogas - OBSCD
Viceministerio de Seguridad Ciudadana - VMSC</t>
  </si>
  <si>
    <t>Observatorio Boliviano de Seguridad Ciudadana y Lucha Contra las Drogas 
Viceministerio de Seguridad Ciudadana - Dirección General de Trata y Tráfico de Personas 
Policía Boliviana - Departamento Nacional de Estadistica</t>
  </si>
  <si>
    <t>PRECAUCIÓN META: El indicador tiende a aumentar porque existe mayor acceso a la información, sin embargo para reflejar una mejor condición, se esperaria que disminuya</t>
  </si>
  <si>
    <t>Pobreza y Desigualdad</t>
  </si>
  <si>
    <t>Poblaciones Vulnerables</t>
  </si>
  <si>
    <t xml:space="preserve">Denuncias de tráfico de personas y delitos conexos: pornografía,  proxenetismo y violencia sexual comercial  por cada 100.000  habitantes </t>
  </si>
  <si>
    <t xml:space="preserve">Denuncias  de  tráfico de personas, pornografía, proxenetismo y violencia sexual comercial  por cada 100 mil habitantes </t>
  </si>
  <si>
    <t>Numero de denuncias  de  tráfico de personas, pornografía, proxenetismo y delitos conexos )/(Población total)*100.000</t>
  </si>
  <si>
    <t xml:space="preserve">Numero de denuncias  de  tráfico de personas, pornografía, proxenetismo y delitos conexos </t>
  </si>
  <si>
    <t xml:space="preserve">Denuncias de tráfico de personas, pornografía,  proxenetismo y violencia sexual comercial.
</t>
  </si>
  <si>
    <t>Observatorio Boliviano de Seguridad Ciudadana y Lucha Contra las Drogas - OBSCD</t>
  </si>
  <si>
    <t>Observatorio Boliviano de Seguridad Ciudadana y Lucha Contra las Drogas  
Policía Boliviana - Departamento Nacional de Estadistica</t>
  </si>
  <si>
    <t xml:space="preserve">OBSCD 
2145986
Patricia Miranda
Viceministerio de Seguridad Ciudadana 2120003
Marlene Calvo
Policia Boliviana  2430555
Miguel Morales </t>
  </si>
  <si>
    <t>01050311</t>
  </si>
  <si>
    <t xml:space="preserve">Prevalencia de consumo de alcohol de la población en general </t>
  </si>
  <si>
    <t>Sexo y ciudad</t>
  </si>
  <si>
    <t>Proporción de la población de 12 a 65 años que consume alcohol en los ultimos 12 meses.</t>
  </si>
  <si>
    <t>(Número de personas que consumen alcohol durante los ultimos 12 meses/ Población total del grupo en consideración)*100</t>
  </si>
  <si>
    <t>Número de personas que consumen alcohol en los ultimos 12 meses</t>
  </si>
  <si>
    <t xml:space="preserve">OBDSCD 
</t>
  </si>
  <si>
    <t>Población total del grupo en consideración</t>
  </si>
  <si>
    <t>El indicador abarca a la edades de 12 a 65 años, y son comparables a nivel regional (paises andinos).</t>
  </si>
  <si>
    <t>Encuesta a Hogares sobre consumo de drogas</t>
  </si>
  <si>
    <t>2007- 2014</t>
  </si>
  <si>
    <t>A nivel nacional en ciudades capitales mas El Alto</t>
  </si>
  <si>
    <t>Ciudades capitales y El Alto</t>
  </si>
  <si>
    <t>Frecuencia de consumo, tipos de bebidas, temporalidad (mes, año y vida), edad promedio de inicio, familiares que consumen y grado de dependencia. Otras variables de Consumo de drogas</t>
  </si>
  <si>
    <t>Los estudios son realizados en el marco de la Estrategia de Lucha contra el Narcotrafico y C ontrol de Cultivos Excedentarios de Coca 2016-2020, Pilar 2 "Reducción de la Demanda"</t>
  </si>
  <si>
    <t>OBSCD 
2145986
 Roberto Ríos
 Carlos Oyola
Viceministerio de Seguridad Ciudadana 
2120003
Jorge Cusicanqui
Fernando Fuentes</t>
  </si>
  <si>
    <t xml:space="preserve">48,5% 
</t>
  </si>
  <si>
    <t>Proyectar en base a los datos 2007 Y 2014  y las acciones a realizar  VMSC</t>
  </si>
  <si>
    <t>Prevalencia de consumo de alcohol en población escolar -secundaria</t>
  </si>
  <si>
    <t>Sexo, ciudad</t>
  </si>
  <si>
    <t xml:space="preserve">Proporción de la población escolar  de 13 a 18 años que consume alcohol en los ultimos 12 meses. </t>
  </si>
  <si>
    <t>(Poblacion escolar de 13 a 18 años que consumen alcohol en los ultimos 12 meses/ Población total del grupo en consideración)*100</t>
  </si>
  <si>
    <t xml:space="preserve">Número de personas que consumen alcohol </t>
  </si>
  <si>
    <t>El indicador abarca a la edades de 13 a 19 años, y son comparables a nivel regional (paises andinos).</t>
  </si>
  <si>
    <t>Encuesta Nacional en Población Escolar sobre Consumo de Drogas</t>
  </si>
  <si>
    <t xml:space="preserve">Encuesta a Unidades Educativas </t>
  </si>
  <si>
    <t>2004
2008
2017(p)</t>
  </si>
  <si>
    <t>Consumo de alcohol y otras drogas</t>
  </si>
  <si>
    <t>Los estudios son realizados en el marco de la Estrategia de Lucha contra el Narcotrafico y control de Cultivos Excedentarios de Coca 2016-2020, pilar 2 "Reducción de la Demanda". La informacion correspondiente a la gestion 2017 aun no esta disponible</t>
  </si>
  <si>
    <t>Proyectar en base a  los datos 2004-2008 y las acciones a realizar 
VMSC</t>
  </si>
  <si>
    <t xml:space="preserve">Prevalencia de consumo de alcohol en población universitaria </t>
  </si>
  <si>
    <t>Sexo, ciudad, grupo de edad</t>
  </si>
  <si>
    <t>Proporción de la población universitaria  de 19 a 25 años que consume alcohol en los ultimos 12 meses</t>
  </si>
  <si>
    <t>Poblacion universitaria de 19 a 25 años que consume alcohol en los ultimos 12 meses/ Población total del grupo en consideración)*100</t>
  </si>
  <si>
    <t>Poblacion universitaria de 19 a 25 años que consume alcohol en los ultimos 12 meses</t>
  </si>
  <si>
    <t>El indicador abarca a la edades de 18 a 25 años, y son comparables a nivel regional (paises andinos).</t>
  </si>
  <si>
    <t>2008
2012
 2016</t>
  </si>
  <si>
    <t xml:space="preserve">Universidades </t>
  </si>
  <si>
    <t xml:space="preserve">Consumo de drogas y alcohol:Prevalencia (Mes, año y vida) 
Incidencia /mes y año) 
Percepción de riesgo por consumo frecuente
Dependencia
</t>
  </si>
  <si>
    <t>Los estudios son realizados en el marco de la Estrategia de Lucha contra el Narcotrafico y Control de Cultivos Excedentarios de Coca 2016-2020, Pilar 2 "Reducción de la Demanda"</t>
  </si>
  <si>
    <t>Proyectar en base a los datos 2008-2012 y las acciones a realizar 
VMSC</t>
  </si>
  <si>
    <t>Aun no se ha definido meta, lo haran en el transcurso del desarrollo del Informe</t>
  </si>
  <si>
    <t>Erradicar la Pobreza Extrema</t>
  </si>
  <si>
    <t>Erradicación de la pobreza extrema y reducción significativa de la moderada</t>
  </si>
  <si>
    <t xml:space="preserve">                        
Porcentaje de NNA en centros de acogida que han sido   integrados a la familia</t>
  </si>
  <si>
    <t>sexo, edad, departamento</t>
  </si>
  <si>
    <t xml:space="preserve">Restitución del derecho a la familia: Niñas, niños y adolescentes en situacion de acogimiento institucional, ejercen el derecho a la familia sustituta efectivizada mediante la guarda, tutela  o adopción, por una decisión judicial, con carácter temporal o permanente.
</t>
  </si>
  <si>
    <t xml:space="preserve">
NNA en centros de acogida intregrado a la familia =    Numero de NNA  integrado a la familia/   Numero de NNA  en centros de acogida </t>
  </si>
  <si>
    <t xml:space="preserve"> Numero de NNA  integrado a familia sustituta</t>
  </si>
  <si>
    <t>Estudio sobre niñas, niños y adolescentes en cuidado institucional (ENNACI) con información de los SEDEGES</t>
  </si>
  <si>
    <t xml:space="preserve"> Numero de NNA  en centros de acogida </t>
  </si>
  <si>
    <t>Informacion reportada solo de la gestión 2014</t>
  </si>
  <si>
    <t>ENNACI</t>
  </si>
  <si>
    <t>Estudio sobre niñas, niños y adolescentes en cuidado institucional</t>
  </si>
  <si>
    <t>Estudio</t>
  </si>
  <si>
    <t>No Aplica</t>
  </si>
  <si>
    <t>Centros de Acogida 
Sexo, Edad y otras caracteristicas de los NNA en Centros de Acogida</t>
  </si>
  <si>
    <t>Es necesario sistematiza la informacion de los centros de acogida para que sean centralizados por los SEDEGES</t>
  </si>
  <si>
    <t>Combatir la Pobreza Social</t>
  </si>
  <si>
    <t>DIRECTA</t>
  </si>
  <si>
    <t>Porcentaje de mujeres que ocupan escaños en la Asamblea Legislativa Plurinacional (ALP)</t>
  </si>
  <si>
    <t>(sexo, cargo,gestion)</t>
  </si>
  <si>
    <t>Sexo, Area Geografica, Cargo, Gestion.</t>
  </si>
  <si>
    <t>Porcentaje y numero</t>
  </si>
  <si>
    <t>El indicador sirve para hacer un seguimiento al avance de la participación política de las mujeres en la toma de decisiones.</t>
  </si>
  <si>
    <t>% de mujeres que ocupan escaños en la Asamblea Legislativa Plurinacional (ALP) =  Nº de mujeres que ocupan escaños en la Asamblea Legislativa Plurinacional (ALP)/ Total Escaños ocupadosX100</t>
  </si>
  <si>
    <t>Total Escaños ocupados</t>
  </si>
  <si>
    <t>Dato preliminar del año 2006 actualizado hasta 2018,</t>
  </si>
  <si>
    <t>O.E.
ALP</t>
  </si>
  <si>
    <t>Quinquenal</t>
  </si>
  <si>
    <t>2006-2018</t>
  </si>
  <si>
    <t xml:space="preserve">Ministerio de Justicia y Transparencia Institucional- Viceministerio de Igualdad de Oportunidades - Direccion General de Prevencion y eliminacion de toda forma de violencia en razon de genero y generacional - Organo Electoral </t>
  </si>
  <si>
    <t>Porcentaje de mujeres en cargos de altas autoridades del Organo Judicial</t>
  </si>
  <si>
    <t>Sexo,  Cargo, Gestion.</t>
  </si>
  <si>
    <t>El indicador sirve para hacer un seguimiento del avance de la participación de mujeres
en altos cargos del órgano judicial.</t>
  </si>
  <si>
    <t>% de   mujeres  en cargos de altas autoridades del Organo Judicial  =  Nº  de mujeres  en cargos de altas autoridades del Organo Judicial/ Total de cargos de altas autoridades del Organo Judicial X100</t>
  </si>
  <si>
    <t xml:space="preserve">  Nº  de mujeres  en cargos de altas autoridades del Organo Judicial</t>
  </si>
  <si>
    <t>Total de cargos de altas autoridades del Organo Judicial</t>
  </si>
  <si>
    <t>Dato preliminar del año 2011 actualizado hasta 2018</t>
  </si>
  <si>
    <t>O.E.</t>
  </si>
  <si>
    <t>cada 6 años</t>
  </si>
  <si>
    <t>2011 y 2017</t>
  </si>
  <si>
    <t>Sexo, Cargo, Gestion.</t>
  </si>
  <si>
    <t>Porcentaje de mujeres que ocupan escaños en la Asamblea de Gobiernos Departamentales.</t>
  </si>
  <si>
    <t xml:space="preserve">El indicador sirve para hacer un seguimiento del avance de la participación de mujeres
en la toma de decisiones de los Gobiernos Departamentales.
</t>
  </si>
  <si>
    <t>%  de mujeres que ocupan escaños en la Asamblea de Gobiernos Departamentales =  Nº de mujeres que ocupan escaños en la Asamblea de Gobiernos Departamentales / Total Escaños ocupadosX100</t>
  </si>
  <si>
    <t>Nº de mujeres que ocupan escaños en la Asamblea de Gobiernos Departamentales.</t>
  </si>
  <si>
    <t>Dato preliminar del año 2006 actualizado hasta 2018</t>
  </si>
  <si>
    <t>O.E.
AMADBOL</t>
  </si>
  <si>
    <t>2006-2015</t>
  </si>
  <si>
    <t xml:space="preserve">Departamental
</t>
  </si>
  <si>
    <t>Se tiene informacion sobre cantidad de gobernadoras y Asambleistas Departamentales.</t>
  </si>
  <si>
    <t>Porcentaje de mujeres que ocupan escaños en Gobiernos Municipales.</t>
  </si>
  <si>
    <t xml:space="preserve">El indicador sirve para hacer un seguimiento del avance de la participación de mujeres
en la toma de decisiones de los gobiernos Municipales.
</t>
  </si>
  <si>
    <t>% de mujeres que ocupan escaños en Gobiernos Municipales =  Nº  de mujeres que ocupan escaños en Gobiernos Municipales / Total Escaños ocupadosX100</t>
  </si>
  <si>
    <t xml:space="preserve">Nº  de mujeres que ocupan escaños en Gobiernos Municipales </t>
  </si>
  <si>
    <t xml:space="preserve">Total Escaños ocupados </t>
  </si>
  <si>
    <t xml:space="preserve">O.E.
ACOBOL
</t>
  </si>
  <si>
    <t xml:space="preserve">
Municipal</t>
  </si>
  <si>
    <t>Se tiene informacion sobre cantidad de  Alcaldesas y Concejalas.</t>
  </si>
  <si>
    <t xml:space="preserve">1.2.4 La sociedas boliviana, sus organizaciones e instituciones practican el equilibrio y la complementariedad de género y generacional para el Vivir Bien </t>
  </si>
  <si>
    <t>Proporción de mujeres en cargos gerenciales</t>
  </si>
  <si>
    <t>(Mujeres ocupadas en el grupo ocupacional 11 a 13 /Población ocupada en el grupo ocupacional 11 a 13)*100</t>
  </si>
  <si>
    <t>Mujeres ocupadas en el grupo ocupacional 11 a 13</t>
  </si>
  <si>
    <t>INE-Encuesta de Hogares</t>
  </si>
  <si>
    <t>Población ocupada en el grupo ocupacional 11 a 13</t>
  </si>
  <si>
    <t>Encuesta a Hogares</t>
  </si>
  <si>
    <t>Cada año</t>
  </si>
  <si>
    <t>1989-2017</t>
  </si>
  <si>
    <t>2017 por departamento</t>
  </si>
  <si>
    <t>Características demográficas, educación, salud, empleo, ingreso no laborla, gastos, vivienda</t>
  </si>
  <si>
    <t>Ivan Marquez 2222333</t>
  </si>
  <si>
    <t>Combatir la Pobreza Espiritual</t>
  </si>
  <si>
    <t>Porcentaje de mujeres de 15 años de edad o más en situación de violencia de pareja y busqueda de ayuda en alguna institutición que presentaron denuncia formal</t>
  </si>
  <si>
    <t>Nacional, Departamental, area, situación conyugal y  situación legal</t>
  </si>
  <si>
    <t xml:space="preserve">Denuncias presentadas por mujeres en situacion de violencia en razón de género a una institución designada por Ley 348 </t>
  </si>
  <si>
    <t>Porcentaje de mujeres de 15 años o más en situación de violencia de pareja en los últimos 12 meses y busqueda de ayuda en alguna institutición que presentaron denuncia formal = N° de mujeres de 15 años o más que presentaron denuncia formal/ N° total de mujeres  de 15 años o más en situación de violencia de pareja y busqueda de ayuda en alguna institución*100</t>
  </si>
  <si>
    <t>N° de mujeres de 15 años o más que presentaron denuncia formal</t>
  </si>
  <si>
    <t>ENCUESTA DE PREVALENCIA Y
CARACTERÍSTICAS DE LA VIOLENCIA CONTRA
LAS MUJERES  (EPCVM) INE</t>
  </si>
  <si>
    <t>N° total de mujeres  de 15 años o más en situación de violencia de pareja y busqueda de ayuda en alguna institución</t>
  </si>
  <si>
    <t xml:space="preserve">La información proviene de una encuesta, esta fue realizada por primera vez en coordinación entre el Ministerio de Justicia y el INE </t>
  </si>
  <si>
    <t>EPCVM</t>
  </si>
  <si>
    <t>edad, estado civil, grado de instrucción, tipos de violencia, toma de decisiones, justificación de violencia, conocimiento de la Ley 348</t>
  </si>
  <si>
    <t>Para el Monitoreo de este indicador se debe replicar la encuesta.</t>
  </si>
  <si>
    <t xml:space="preserve">
Ministerio de Justicia y Transparencia Institucional- Viceministerio de Igualdad de Oportunidades e Instituto Nacional de Estadistica </t>
  </si>
  <si>
    <t>Porcentaje de mujeres de 15 años de edad o más en situación de violencia de género en el ámbito público en los ultimos 12 meses y  busqueda de ayuda que presentaron denuncia formal</t>
  </si>
  <si>
    <t>Nacional, Departamental, area, ambito (social, educativo, laboral)</t>
  </si>
  <si>
    <t>Porcentaje de mujeres de 15 años o más en situación de violencia de género en el ámbito público en los ultimos 12 meses y  busqueda de ayuda que presentaron denuncia formal = N° de mujeres de 15 años o más que presentaron denuncia formal/N° de mujeres de 15 años o mas en situación de violencia de genero en el ambito público y buscaron ayuda*100</t>
  </si>
  <si>
    <t>N° de mujeres de 15 años o mas en situación de violencia de género en el ámbtio publico y buscaron ayuda</t>
  </si>
  <si>
    <t xml:space="preserve">La información proviene de una encuesta, esta fue realizada por primera vez en coordinación entre  el Ministerio de Justicia y el INE. </t>
  </si>
  <si>
    <t>Porcentaje de mujeres de 15 años edad  o más en situación de violencia de pareja que  buscaron  ayuda en alguna institutición, presentaron denuncia formal y recibieron atención médica o psicológica</t>
  </si>
  <si>
    <t>Porcentaje de mujeres de 15 años o más en situación de violencia de pareja que  buscaron  ayuda en alguna institutición, presentaron denuncia formal y recibieron atención médica o psicológica = N° de mujeres de 15 años o más que buscaron ayuda en alguna institución , presentaron denuncia formal y recibieron asistencias medica o psicológica / N° total de mujeres  de 15 años o más en situación de violencia de pareja que buscaron de ayuda en alguna institución y presentaron denuncia formal*100</t>
  </si>
  <si>
    <t>N° de mujeres de 15 años o más que buscaron ayuda en alguna institución , presentaron denuncia formal y recibieron asistencias medica o psicológica</t>
  </si>
  <si>
    <t>N° total de mujeres  de 15 años o más en situación de violencia de pareja que buscaron de ayuda en alguna institución y presentaron denuncia formal</t>
  </si>
  <si>
    <t>Porcentaje de mujeres de 15 años de edad o más en situación de violencia de género en el ámbito social en los ultimos 12 meses que buscaron ayuda,  presentaron denuncia formal y recibieron asistencia medica o psicológica</t>
  </si>
  <si>
    <t>Porcentaje de mujeres de 15 años o más en situación de violencia de género en el ámbito social en los ultimos 12 meses que buscaron ayuda,  presentaron denuncia formal y recibieron atención médica o psicológica = N° de mujeres de 15 años o más que buscaron ayuda en alguna institución, presentaron denuncia formal y recibieron asistencia médica o psicológica/N° de mujeres de 15 años o mas en situación de violencia de genero en el ambito social que  buscaron ayuda y presentaron denuncia formal*100</t>
  </si>
  <si>
    <t>N° de mujeres de 15 años o más que buscaron ayuda en alguna institución, presentaron denuncia formal y recibieron asistencia médica o psicológica</t>
  </si>
  <si>
    <t>N° de mujeres de 15 años o mas en situación de violencia de genero en el ambito social que  buscaron ayuda y presentaron denuncia formal</t>
  </si>
  <si>
    <t>26-03-2018</t>
  </si>
  <si>
    <t>Ya no existen comunidades cautivas, pongueaje, esclavismo, trabajo infantil</t>
  </si>
  <si>
    <t>16.2 Poner fin al maltrato, la explotación, la trata y todas las formas de violencia y tortura contra los niños</t>
  </si>
  <si>
    <t>16.2.2 Número de víctimas de la trata de personas por cada 100.000 habitantes, desglosado por sexo, edad y tipo de explotación</t>
  </si>
  <si>
    <t>Nº de Victimas de los delitos de trata y tráfico de personas, y delitos conexos en casos que cuenten con resolución de imputación formal por cada 100.000 habitantes.</t>
  </si>
  <si>
    <t>Nacional, departamental, sexo, edad, tipo de delito</t>
  </si>
  <si>
    <t>Es el número de personas víctimas, cuyo proceso cuenta con resolución de imputación formal (la resolucion se imputacion formal se origina, si el fiscal estima que existen suficientes indicios sobre la
existencia del hecho y la participación del imputado, formalizará la imputación mediante resolución
fundamentada)</t>
  </si>
  <si>
    <t>Nº de Victimas de los delitos de trata y tráfico de personas, y delitos conexos en casos que cuenten, con resolución de imputación formal = Nº de Victimas de los delitos de trata y tráfico de personas y delitos conexos en casos que cuenten con resolución de imputación formal por parte del Ministerio Público/Población Total X 100.000</t>
  </si>
  <si>
    <t xml:space="preserve"> Nº de Víctimas de los delitos de trata y tráfico de personas, y delitos conexos, en casos que cuenten con imputación formal por parte del Ministerio Público</t>
  </si>
  <si>
    <t>Ministerio Público</t>
  </si>
  <si>
    <t>Sexo, edad, área geográfica, fin de la trata</t>
  </si>
  <si>
    <t xml:space="preserve">
Se cuenta con  datos preliminares 
</t>
  </si>
  <si>
    <t>001</t>
  </si>
  <si>
    <t>Porcentaje de población en condición de pobreza extrema</t>
  </si>
  <si>
    <t>Urbano-Rural, Departamento (Juntando Beni y Pando)</t>
  </si>
  <si>
    <t>Porcentaje y Número</t>
  </si>
  <si>
    <t>Población en Pobreza Extrema</t>
  </si>
  <si>
    <t>Encuesta de Hogares - INE</t>
  </si>
  <si>
    <t>Población Total</t>
  </si>
  <si>
    <t>1999-2009; 2011-2017</t>
  </si>
  <si>
    <t>Para los periodos 1999-2009 no se tiene el factor con las  proyecciones  del Censo 2012</t>
  </si>
  <si>
    <t xml:space="preserve">EH </t>
  </si>
  <si>
    <t>002</t>
  </si>
  <si>
    <t>Se ha disminuido al 24% la población en situación de pobreza</t>
  </si>
  <si>
    <t xml:space="preserve">Porcentaje de población en condición de pobreza </t>
  </si>
  <si>
    <t xml:space="preserve">Porcentaje y Número </t>
  </si>
  <si>
    <t xml:space="preserve">Población en Pobreza </t>
  </si>
  <si>
    <t>Para los periodos 1999-2009 no  se tiene el factor con las  proyecciones  del Censo  2012</t>
  </si>
  <si>
    <t>003</t>
  </si>
  <si>
    <t>Porcentaje de población Pobre por Necesidades Básicas Insatisfechas</t>
  </si>
  <si>
    <t>Porcentaje de población pobre según Necesidades Básicas Insatisfechas (Moderada, Indigente, Marginal) respecto a la población total</t>
  </si>
  <si>
    <t>Población Pobre por NBI (Moderada, Indigente, Marginal)</t>
  </si>
  <si>
    <t>Censo de Población y Vivienda</t>
  </si>
  <si>
    <t>Población Total Objeto de Estudio</t>
  </si>
  <si>
    <t>CPV</t>
  </si>
  <si>
    <t>Censal</t>
  </si>
  <si>
    <t>1976 - 1992 - 2001 - 2012</t>
  </si>
  <si>
    <t>Pobreza por NBI,  Analfabetismo. 
Secciones: Condición de Actividad,  Salud, Educación, Caracterización sociodemográfica</t>
  </si>
  <si>
    <t>La desagregación para 339 municipios solo disponible para  2001 y 2012</t>
  </si>
  <si>
    <t>Dirección de Censos y Encuestas (DCE)</t>
  </si>
  <si>
    <t>004</t>
  </si>
  <si>
    <t>10.1.1 Tasas de crecimiento de los gastos o ingresos de los hogares per cápita entre el 40% más pobre de la población y la población total</t>
  </si>
  <si>
    <t>Urbano-Rural</t>
  </si>
  <si>
    <t>En número de veces</t>
  </si>
  <si>
    <t xml:space="preserve">
Departamental</t>
  </si>
  <si>
    <t>Unidad de Análisis de Políticas Sociales y Económicas (UDAPE)</t>
  </si>
  <si>
    <t>Subdirección de Política Social</t>
  </si>
  <si>
    <t>2379493, 2374226, 2375512</t>
  </si>
  <si>
    <t>M.Trabajo y Previsión Social</t>
  </si>
  <si>
    <t>8.5.2 Tasa de desempleo , desglosada por sexo , edad  y personas con discapacidad</t>
  </si>
  <si>
    <t>Por efectos de medición, de la meta ODS que establece al 2020 reducir considerablemente la tasa de desempleo, se considerará  una "mejora considerable" a cualquier variación negativa del indicador.</t>
  </si>
  <si>
    <t xml:space="preserve">Tasa de Desocupación </t>
  </si>
  <si>
    <t>Es  el  porcentaje  de  la  población 
desocupada, 
entre la población económicamente activa
de 10 o más años</t>
  </si>
  <si>
    <t>Población Desocupada, son las personas de 10 años o más que al momento de la encuesta estaban buscando activamente trabajo y no lo encontraron</t>
  </si>
  <si>
    <t>Población Económicamente Activa (PEA) es el conjunto de personas de 10 años o más que trabajaron al menos una hora en la semana de referencia o que sin hacerlo buscaron trabajo en las últimas cuatro semanas</t>
  </si>
  <si>
    <t xml:space="preserve">INE </t>
  </si>
  <si>
    <t>1999-2009; 2011 a 2017</t>
  </si>
  <si>
    <t>Nacional, urbana y rural</t>
  </si>
  <si>
    <t>A partir del 2011  se cuenta con  una representatividad departamental</t>
  </si>
  <si>
    <t>Serie disponible con el factor actualizado sólo desde 2011
Representatividad departamental de los datos desde 2011.</t>
  </si>
  <si>
    <t>Tasa de Desocupación de la población joven de 16 a 28 años de edad</t>
  </si>
  <si>
    <t xml:space="preserve">Porcentaje  </t>
  </si>
  <si>
    <t>4t 2015- 4t 2017</t>
  </si>
  <si>
    <t>El indicador es solo trimestral y urbano</t>
  </si>
  <si>
    <t>ECE</t>
  </si>
  <si>
    <t>Encuesta Contínua de Empleo</t>
  </si>
  <si>
    <t>Representatividad departamental trimestral y anual</t>
  </si>
  <si>
    <t>Población desocupada; Población económicamente activa</t>
  </si>
  <si>
    <t>El indicador es representativo y reportado para área urbana (Dato del último trimestre)</t>
  </si>
  <si>
    <t>010</t>
  </si>
  <si>
    <t xml:space="preserve">Tasa de Desocupación  de la población joven de 16 a 28 años de edad  </t>
  </si>
  <si>
    <t>Es  el  porcentaje  de  la  población 
desocupada jóven entre 16 y 28 años de edad, 
entre la población económicamente activa
entre 16 y 28 años de edad</t>
  </si>
  <si>
    <t xml:space="preserve">
</t>
  </si>
  <si>
    <t>Población Joven  Desocupada,   son aquellas personas de 16 a 28 años de edad  que al momento de la encuesta se consideraron sin trabajo y lo buscan activamente.</t>
  </si>
  <si>
    <t>Población Joven Económicamente Activa (PJEA) es el conjunto de personas de 16 a 28 años  de edad que trabajaron al menos una hora en la semana de referencia o que sin hacerlo buscaron trabajo en las últimas cuatro semanas</t>
  </si>
  <si>
    <t>2000-2009; 2011-2017</t>
  </si>
  <si>
    <t>Para los periodos  2000-2009 no  se tiene el factor con las  proyecciones  del Censo  2012</t>
  </si>
  <si>
    <t>2000-2009; 2011 a 2017</t>
  </si>
  <si>
    <t>El indicador es representativo y reportado para área urbana</t>
  </si>
  <si>
    <t xml:space="preserve">Porcentaje   </t>
  </si>
  <si>
    <t>Es  el  porcentaje  de  la  población 
desocupada jóven entre 16 y 28 años de edad, 
entre la población económicamente activa
entre 16 y 28 años de edad
.</t>
  </si>
  <si>
    <t xml:space="preserve">Población Joven  Desocupada ,son aquellas personas de 16 a 28 años de edad  que al momento de la encuesta se consideraron sin trabajo y lo buscan activamente.. </t>
  </si>
  <si>
    <t>8.6.1 Proporción de jóvenes (entre 15 y 24 años) que no cursan estudios, no están empleados ni reciben capacitación</t>
  </si>
  <si>
    <t>Porcentaje de Población de 16 a 28 años de edad, que Ni estudia Ni trabaja (NiNi)</t>
  </si>
  <si>
    <t>Área, Sexo</t>
  </si>
  <si>
    <t xml:space="preserve">Población joven, entre 16 – 28 años de edad, que:
I. Ni están trabajando (no están ocupados).
2. Ni buscan trabajo (no son desocupados ).
3. Ni están disponibles para trabajar y no asisten a la escuela .
</t>
  </si>
  <si>
    <t>TJ= Total jóvenes
JD= Jóvenes desocupados
JNT=Jóvenes no trabajan pero estudian
JD=Jóvenes desocupados</t>
  </si>
  <si>
    <t>TJ= Total jóvenes
Población de 16 a 28 años de edad</t>
  </si>
  <si>
    <t>06010</t>
  </si>
  <si>
    <t>Los indicadores ODS descritos no tienen ninguna relación con el indicador de Incremento de la población ocupada que cuenta con seguridad social largo plazo.</t>
  </si>
  <si>
    <t>*Hombres y mujeres,  *Nacional y departamental</t>
  </si>
  <si>
    <t>En cantidad de Asegurados al Sistema Integral de Pensiones</t>
  </si>
  <si>
    <t>Personas Aseguradas de forma dependiente o Independiente, a la Seguridad Social de largo plazo, mediante el Ente Gestor (AFPs o Gestora Pública).</t>
  </si>
  <si>
    <t>El Indicador sera reportado de manera evolutiva, en relación a la cantidad reportada de asegurados anualmente.</t>
  </si>
  <si>
    <t>Cantidad de Asegurados al Sistema Integral de Pensiones</t>
  </si>
  <si>
    <t>APS</t>
  </si>
  <si>
    <t xml:space="preserve">Autoridad de Fiscalización y Control de Pensiones y Seguros </t>
  </si>
  <si>
    <t>Evolución de Asegurados el Sistema Integral de Pensiones</t>
  </si>
  <si>
    <t>No se puede establecer una meta 2020 para este indicador, y tal como esta en el resultado PDES, se reportará el respectivo incremento de la de la población ocupada que cuenta con seguridad social largo plazo.</t>
  </si>
  <si>
    <t>Ministerio de Economía y Finanzas Públicas (MEFP)</t>
  </si>
  <si>
    <t>Dirección General de Planificación (DGPLA)</t>
  </si>
  <si>
    <t>2-183333 Int 2631</t>
  </si>
  <si>
    <t>8.2.1 Tasa de crecimiento anual del PIB real por persona empleada</t>
  </si>
  <si>
    <t>Este indicador no es generado en Bolivia. La fuente de información es la OIT.</t>
  </si>
  <si>
    <t>Tasa de crecimiento anual del PIB real por persona empleada</t>
  </si>
  <si>
    <t>Diferencia de la productividad laboral entre dos períodos de tiempo</t>
  </si>
  <si>
    <t>Mide el crecimiento de la productividad laboral en dos períodos de tiempo</t>
  </si>
  <si>
    <t>Organización Internacional del Trabajo (OIT)</t>
  </si>
  <si>
    <t>Productividad laboral en el período inicial</t>
  </si>
  <si>
    <t>2001-2017</t>
  </si>
  <si>
    <t xml:space="preserve">Este indicador es estimado por la OIT </t>
  </si>
  <si>
    <t>ILOSTAT</t>
  </si>
  <si>
    <t>Registro Administrativo (PIB) y encuestas de hogares (población)</t>
  </si>
  <si>
    <t>Indicadores laborales para todos los países del mundo</t>
  </si>
  <si>
    <t>Al realizar el mismo cálculo en Bolivia, no se obtienen los mismos resultados. La OIT reliza ajustes en base a modelos econométricos.</t>
  </si>
  <si>
    <t>Organización Internacional del Trabajo OIT</t>
  </si>
  <si>
    <t>www.ilo.org/ilostat</t>
  </si>
  <si>
    <t>Porcentaje de población de 5 años y más  que accede a infraestructura deportiva</t>
  </si>
  <si>
    <t>Nacional, Departamental, Área Geográfica y Sexo</t>
  </si>
  <si>
    <t>Nuestra el porcentaje de la población de 5 y más años, que accede a infraestructura deportiva en relación a la población total de 5 años y más</t>
  </si>
  <si>
    <t>Población de 5 y más años que accede a infraestructura deportiva</t>
  </si>
  <si>
    <t>Población total de 5 años y más</t>
  </si>
  <si>
    <t>- Vivienda
- Migración
- Salud
- Educación
- Empleo
- Ingresos</t>
  </si>
  <si>
    <t>Unidad de Estadísticas de Indicadores Sociales (UEIS)</t>
  </si>
  <si>
    <t>Porcentaje de población de 5 años y más  que practica actividades fisico depotivas</t>
  </si>
  <si>
    <t>Porcentaje de la población de 5 años y más que practica actividades físico deportivas en relación a la población total de 5 años y más</t>
  </si>
  <si>
    <t>Población de 5 años y más que practica actividades físico deportivas</t>
  </si>
  <si>
    <t>Porcentaje de deportistas con entrenamiento y capacitación competitiva</t>
  </si>
  <si>
    <t>Mide el porcentaje de deportistas con entrenamiento y capacitación competitiva en relación al total de deportistas programados</t>
  </si>
  <si>
    <t>Número de deportistas con entrenamiento y capacitación competitiva</t>
  </si>
  <si>
    <t>Número de deportistas programados</t>
  </si>
  <si>
    <t>Ministerio de Deportes</t>
  </si>
  <si>
    <t>Departamental
Municipal</t>
  </si>
  <si>
    <t>Viceministerio de Formación Deportiva</t>
  </si>
  <si>
    <t>Dirección del Deportes Estudiantil</t>
  </si>
  <si>
    <t>Porcentaje de avance en la implementación de los programas específicos en unidades educativas</t>
  </si>
  <si>
    <t>Mide el porcentaje de avance en la implementación de los programas deportivos específicos en unidades educativas</t>
  </si>
  <si>
    <t>Programas deportivos específicos ejecutados</t>
  </si>
  <si>
    <t>Programas deportivos específicos programados</t>
  </si>
  <si>
    <t>Porcentaje de deportistas de alto rendimiento que participan en eventos internacionales</t>
  </si>
  <si>
    <t>Muestra el porcentaje de deportistas de alto rendimiento que participan en eventos internacionales</t>
  </si>
  <si>
    <t>IDAREI = PDAR / DR</t>
  </si>
  <si>
    <t>Deportistas de alto rendimiento que participan en eventos internacionales</t>
  </si>
  <si>
    <t>Ttoal de deportistas de alto rendimiento registrados</t>
  </si>
  <si>
    <t>Viceministerio de Deportes</t>
  </si>
  <si>
    <t>Dirección del Deporte Federativo, Profesional y Competitivo</t>
  </si>
  <si>
    <t>Número de estudiantes con potencialidades deportivas que han sido detectados a temprana edad</t>
  </si>
  <si>
    <t>Mide el número de estudiantes con potencialidades deportivas que han sido detectados a temprana edad</t>
  </si>
  <si>
    <t>Porcentaje de deportistas beneficiados con becas para entrenamiento o capacitación competitiva</t>
  </si>
  <si>
    <t>Mide el porcentaje de deportistas beneficiados con becas para entrenamiento o capacitación competitiva a nivel nacional o internacional</t>
  </si>
  <si>
    <t>Deportistas beneficiados con becas para entrenamiento o capacitación competitiva a nivel nacional o internacional</t>
  </si>
  <si>
    <t>Total deportistas registrados</t>
  </si>
  <si>
    <t>Porcentaje de formadores deportistas capacitados</t>
  </si>
  <si>
    <t>Muestra el porcentaje de formadores deportivos capacitados (técnicos del deporte, entrenadores deportivos y profesores de educación física)</t>
  </si>
  <si>
    <t xml:space="preserve">Número de formadores deportivos capacitados </t>
  </si>
  <si>
    <t xml:space="preserve">Total formadores deportivos registrados </t>
  </si>
  <si>
    <t>2014 - 2017</t>
  </si>
  <si>
    <t>Proporción de mujeres en cargos directivos</t>
  </si>
  <si>
    <t>Porcentaje de hogares con inseguridad alimentaria severa o moderada moderada o grave</t>
  </si>
  <si>
    <t>A partir del método de línea de pobreza se considera pobres a las personas cuyo ingreso no es suficiente para mantener un nivel de vida considerado adecuado (cubrir la canasta básica de alimentos), aspecto relacionado a la pobreza coyuntural.</t>
  </si>
  <si>
    <t xml:space="preserve"> A partir del método de línea de pobreza se considera pobres a las personas cuyo ingreso no es suficiente para mantener un nivel de vida considerado adecuado (cubrir la canasta básica alimentaria y no alimentaria), aspecto relacionado a la pobreza coyuntural.</t>
  </si>
  <si>
    <t xml:space="preserve">Urbano-Rural, Departamento, Municipios
</t>
  </si>
  <si>
    <t>Ratio de Ingresos entre el 10% más rico y del 10% más pobre</t>
  </si>
  <si>
    <t xml:space="preserve">
Relación de los ingresos del 10% más rico y el 10% más pobre
</t>
  </si>
  <si>
    <t>Participación de los ingresos del 10% más rico, respecto del ingreso total</t>
  </si>
  <si>
    <t>Participación de  los ingresos del 10% más pobre, respecto del ingreso total</t>
  </si>
  <si>
    <t>Sexo,  área urbana</t>
  </si>
  <si>
    <t>Sexo, grupos de edad, área urbana</t>
  </si>
  <si>
    <t>Los indicadores ODS descritos no tienen ninguna relación con el indicador de Incremento de la población ocupada que cuenta con seguridad social largo plazo.
Parcial</t>
  </si>
  <si>
    <t>Incremento de la población ocupada que cuenta con seguridad social largo plazo.</t>
  </si>
  <si>
    <t>Porcentaje de lactancia materna exclusiva</t>
  </si>
  <si>
    <t>Porcentajes de localidades con población mayor a 50 habitantes, con servicio de comunicación telefónica</t>
  </si>
  <si>
    <t>Porcentaje de niñas y niños menores de 5 años con desnutricion crònica</t>
  </si>
  <si>
    <t>Porcentaje de niñas y niños menores de 5 años con anemia</t>
  </si>
  <si>
    <t>Porcentaje de niñas y niños menores de 5 años con sobrepeso u obesidad</t>
  </si>
  <si>
    <t>Porcentaje de mujeres en edad fértil con sobrepeso u obesidad</t>
  </si>
  <si>
    <t>Porcentaje de localidades con población mayor a 50 habitantes, con servicio de Internet</t>
  </si>
  <si>
    <t>EGT= Cada 2 a 3 años
RA= Mensual</t>
  </si>
  <si>
    <t>EGT= Estructura del gasto turistíco, gasto medio diario, estadía media, gasto por turismo organizado y gasto medio de viaje.
RA= Flujo de turistas por nacionalidad, flujo de turistas por modo de transporte y punto fronterizo.</t>
  </si>
  <si>
    <t xml:space="preserve">MCyT= Utiliza la información del número de viajeros extranjeros
INE y UDAPE= Recomienda utilizar el dato del número de visitantes extranjeros </t>
  </si>
  <si>
    <t xml:space="preserve">MCyT= Señala que la información del flujo de turistas nacionales es solo de ciudades capitales no existe información a nivel nacional
INE=Señala que 
el calculo se realizó con el número de viajeros, dado que no se cuenta con la información del número de visitantes nacionales.
</t>
  </si>
  <si>
    <t xml:space="preserve">7,b.De aquí a 2030, ampliar la infraestructura y mejorar la
tecnología para prestar servicios energéticos modernos y sostenibles para todos en los países en desarrollo, en particular los países menos adelantados, los pequeños Estados insulares en desarrollo y los países en desarrollo sin
litoral, en consonancia con sus respectivos programas de apoyo
</t>
  </si>
  <si>
    <t xml:space="preserve">7.b.1. Inversiones en eficiencia energética como
porcentaje del PIB y el importe de la inversión
extranjera directa en la transferencia financiera
para la infraestructura y la tecnología a los
servicios de desarrollo sostenible
</t>
  </si>
  <si>
    <t>Es la sumatoria del Producto Interno Bruto de las actividades:
Agricultura, Silvicultura, Caza y Pesca 
     - Productos Agrícolas no Industriales
     - Productos Agrícolas Industriales
     - Coca
     - Productos Pecuarios
     - Silvicultura, Caza y Pesca
Industrias Manufactureras
     - Alimentos
     - Bebidas y Tabaco</t>
  </si>
  <si>
    <t>Es la sumatoria del Producto Interno Bruto de las actividades:
Industrias Manufactureras
     - Alimentos
     - Bebidas y Tabaco
     - Textiles, Prendas de Vestir y Productos del Cuero
     - Madera y Productos de Madera
     - Productos de Refinación del Petróleo
     - Productos de Minerales no Metálicos
     - Otras Industrias Manufactureras
Sobre el total del valor del PIB.</t>
  </si>
  <si>
    <t>((Valor del PIB Industrial Manufacturero)/(Valor del PIB Total))x100</t>
  </si>
  <si>
    <t>Es la sumatoria del Producto Interno Bruto de las actividades:
Industrias Manufactureras
     - Alimentos
     - Bebidas y Tabaco
     - Textiles, Prendas de Vestir y Productos del Cuero
     - Madera y Productos de Madera
     - Productos de Minerales no Metálicos
     - Otras Industrias Manufactureras
Sobre el total del valor del PIB.</t>
  </si>
  <si>
    <t>((Valor del PIB Industrial Manufacturero sin Refinados)/(Valor del PIB Total))x100</t>
  </si>
  <si>
    <t>((Saldo de cartera de creditos de las PyMEs del Año - Saldo de cartera de creditos de las PyMEs del Año Base-2015)/Saldo de cartera de creditos de las PyMEs del Año Base-2015))x100</t>
  </si>
  <si>
    <t>((Saldo de cartera de creditos de las MyPEs del Año - Saldo de cartera de creditos de las MyPEs del Año Base-2015)/Saldo de cartera de creditos de las MyPEs del Año Base-2015))x100</t>
  </si>
  <si>
    <t>((Valor de las exportaciones de la Industria Manifacturera*) / (Valor de las exportaciones totales))x100  
* No se incluye productos metalicos y refinados el petroleo.</t>
  </si>
  <si>
    <t xml:space="preserve">ÁREA ECONÓMICA
Instrumentos internacionales celebrados en espacios de integración, para facilitar el comercio exterior boliviano.
</t>
  </si>
  <si>
    <t xml:space="preserve">AREA POLITICA
Número de propuestas elaboradas y negociadas en espacios de UNASUR.
</t>
  </si>
  <si>
    <t xml:space="preserve">COOPERACIÓN SUR-SUR
Proporción de Estados o Repúblicas con los que Bolivia ha suscrito Programas de cooperacion Sur-Sur </t>
  </si>
  <si>
    <t>LT = Cantidad de localidades con población mayor a 50 habitantes que tienen servicio de comunicación telefónica
L = Cantidad total de  localidades con población mayor a 50 habitantes (16.488)
Indicador (%) = 100 * LT/L</t>
  </si>
  <si>
    <t>LT = Cantidad de localidades con población mayor a 50 habitantes que tienen servicio de comunicación telefónica</t>
  </si>
  <si>
    <t>L = Cantidad total de  localidades con población mayor a 50 habitantes (16.488)</t>
  </si>
  <si>
    <t>LI = Cantidad de localidades con población mayor a 50 habitantes que tienen servicio de Internet
L = Cantidad total de  localidades con población mayor a 50 habitantes (16.488)
Indicador (%) = 100 * LI/L</t>
  </si>
  <si>
    <t>LI = Cantidad de localidades con población mayor a 50 habitantes que tienen servicio de Internet</t>
  </si>
  <si>
    <t xml:space="preserve"> 7 Se ha promovido la incorporación de niñas y niños en situación de calle en familias sustitutas.</t>
  </si>
  <si>
    <r>
      <t xml:space="preserve">16 La sociedad boliviana, sus organizaciones e instituciones practican el </t>
    </r>
    <r>
      <rPr>
        <u/>
        <sz val="11"/>
        <rFont val="Arial"/>
        <family val="2"/>
      </rPr>
      <t xml:space="preserve">equilibrio y la complementariedad de género y generacional </t>
    </r>
    <r>
      <rPr>
        <sz val="11"/>
        <rFont val="Arial"/>
        <family val="2"/>
      </rPr>
      <t>para el Vivir Bien</t>
    </r>
  </si>
  <si>
    <t>Organo Electoral Asamblea Legisltiva Plurinacional.</t>
  </si>
  <si>
    <t xml:space="preserve">Organo Electoral
</t>
  </si>
  <si>
    <t>Organo Electoral
 Asociacion de Mujeres Asambleistas  Departamentales de Bolivia</t>
  </si>
  <si>
    <t>Organo Electoral
 Asociacion de Mujeres Asambleistas  Departamentales de Bolivia</t>
  </si>
  <si>
    <t xml:space="preserve">Organo Electoral
 Asociacion de Concejalas de Bolivia.
 </t>
  </si>
  <si>
    <t xml:space="preserve">Organo Electoral
 Asociacion de Concejalas de Bolivia.
</t>
  </si>
  <si>
    <t>29 Todas las mujeres que acuden a las instancias públicas a denunciar hechos de violencia reciben asistencia legal y psicológica, reduciendo el porcentaje de mujeres y niñas que han sufrido violencia física, psicológica y/o sexual.</t>
  </si>
  <si>
    <t>22. Se ha Avanzado significativamente hacia la redducion de la trata y trafico de personas y delitos conexos.</t>
  </si>
  <si>
    <t>Objetivo 1. Poner fin a la pobreza en todas sus formas y en todo el mundo
Meta 1.2.De aquí a 2030, reducir al menos a la mitad la proporción de hombres, mujeres y niños de todas las edades que viven en la pobreza en todas sus dimensiones con arreglo a las definiciones nacionales</t>
  </si>
  <si>
    <t>Objetivo 1. Poner fin a la pobreza en todas sus formas y en todo el mundo
Meta 1.4 De aquí a 2030, garantizar que todos los hombres y mujeres, en particular los pobres y los vulnerables, tengan los mismos derechos a los recursos económicos y acceso a los servicios básicos, la propiedad y el control de la tierra y otros bienes, la herencia, los recursos naturales, las nuevas tecnologías apropiadas y los servicios financieros, incluida la microfinanciación</t>
  </si>
  <si>
    <t>Objetivo 10. Reducir la desigualdad en los países y entre ellos
Meta 10.1 De aquí a 2030, lograr progresivamente y mantener el crecimiento de los ingresos del 40% más pobre de la población a una tasa superior a la media nacional</t>
  </si>
  <si>
    <t>Objetivo 8: Promover el crecimiento económico sostenido, inclusivo y sostenible, el empleo pleno y productivo y el trabajo decente para todos
Meta 8.5 De aquí a 2030, lograr el empleo pleno y productivo y el trabajo decente para todas las mujeres y los hombres, incluidos los jóvenes y las personas con discapacidad, así como la igualdad de remuneración por trabajo de igual valor</t>
  </si>
  <si>
    <t>Objetivo 8: Promover el crecimiento económico sostenido, inclusivo y sostenible, el empleo pleno y productivo y el trabajo decente para todos
Meta 8.6 De aquí a 2020, reducir considerablemente la proporción de jóvenes que no están empleados y no cursan estudios ni reciben capacitación</t>
  </si>
  <si>
    <t>Se ha logrado incrementar la población ocupada que cuenta con seguridad social de corto y largo largo plazo.</t>
  </si>
  <si>
    <t>8.5 De aquí a 2030, lograr el empleo pleno y productivo y el trabajo decente para todas las mujeres y los hombres, incluidos los jóvenes y las personas con discapacidad, así como la igualdad de remuneración por trabajo de igual valor
Objetivo 1: Poner fin a la pobreza en todas sus formas y en todo el mundo
Meta 1.3 Implementar a nivel nacional sistemas y medidas apropiados de protección social para todos, incluidos niveles mínimos, y, de aquí a 2030, lograr una amplia cobertura de las personas pobres y vulnerables</t>
  </si>
  <si>
    <t>8.5.1 Ingreso medio por hora de mujeres y hombres empleados, por ocupación, grupo de edad y personas con discapacidad
8.5.2 Tasa de desempleo, por sexo, grupo de edad y personas con discapacidad
8.b.1 Gasto total de fondos públicos en programas de protección social y de empleo como porcentaje de los presupuestos nacionales y del PIB
1.3.1 Proporción de la población cubierta por sistemas o niveles mínimos de protección social, desglosada por sexo, distinguiendo entre los niños, los desempleados, los ancianos, las personas con discapacidad, las mujeres embarazadas, los recién nacidos, las víctimas de accidentes de trabajo, los pobres y los vulnerables</t>
  </si>
  <si>
    <t>Objetivo 8 Promover el crecimiento económico sostenido, inclusivo y sostenible, el empleo pleno y productivo y el trabajo decente para todos
Meta 8.2: 8.2 Lograr niveles más elevados de productividad económica mediante la diversificación, la modernización tecnológica y la innovación, entre otras cosas centrándose en los sectores con gran valor añadido y un uso intensivo de la mano de obra</t>
  </si>
  <si>
    <t>ETAPA 1</t>
  </si>
  <si>
    <t>2.4.1 Proporción de la superficie agrícola en que se practica una agricultura productiva y sostenible</t>
  </si>
  <si>
    <t>No se cuenta con la información de superficie con prácticas agrícolas</t>
  </si>
  <si>
    <t>Incremento en la superficie cultivada.</t>
  </si>
  <si>
    <t>Indicador de Producto-Efecto</t>
  </si>
  <si>
    <t>Área geográfica: Departamental</t>
  </si>
  <si>
    <t>Millones de hectareas</t>
  </si>
  <si>
    <t>Este indicador muestra el incremento total de la superficie cultivada.</t>
  </si>
  <si>
    <t>Sumatoria de la superficie del rubro 1 al rubro n correspondiente al periodo (t), menos la Sumatoria de la superficie del rubro 1 al rubro n correspondiente al periodo (t-1)</t>
  </si>
  <si>
    <t>OAP-INE</t>
  </si>
  <si>
    <t>1950 - 2017</t>
  </si>
  <si>
    <t>Observatorio Agroambiental Productivo -Instituto Nacional de Estadistica</t>
  </si>
  <si>
    <t>2000 - 2017</t>
  </si>
  <si>
    <t>Superficie cultivada</t>
  </si>
  <si>
    <t>Ministerio de Desarrollo Rural y Tierras (MDRyT) - Ministerio de Planificacion del Desarrollo (MPD)</t>
  </si>
  <si>
    <t>2111103-2222333</t>
  </si>
  <si>
    <t xml:space="preserve">2.3.1  Volumen de producción por unidad de trabajo desglosado por tamaño y tipo de explotación (agropecuaria, ganadera y forestal)
</t>
  </si>
  <si>
    <t>No aplicable</t>
  </si>
  <si>
    <t>Incremento del Volumen de la producción agrícola.</t>
  </si>
  <si>
    <t>Millones de Toneladas</t>
  </si>
  <si>
    <t>Este indicador muestra el incremento total en la producción agrícola.</t>
  </si>
  <si>
    <t>Sumatoria del volumen de producción del rubro 1 al rubro n correspondiente al periodo (t), menos la Sumatoria del volumen de producción del rubro 1 al rubro n correspondiente al periodo (t-1)</t>
  </si>
  <si>
    <t>Volumen de produccion</t>
  </si>
  <si>
    <t>INIAF</t>
  </si>
  <si>
    <t>2.3.1  Volumen de producción por unidad de trabajo desglosado por tamaño y tipo de explotación (agropecuaria, ganadera y forestal)</t>
  </si>
  <si>
    <t>Proxy: la semilla certificada contribuye al incremento de la productividad</t>
  </si>
  <si>
    <t xml:space="preserve">Volumen de semilla Certificada </t>
  </si>
  <si>
    <t>Area geografica:
Departamental</t>
  </si>
  <si>
    <t>Incremento del volumen anual de semilla certificada por el INIAF, como un factor que contribuye en un 20% a mejorar los rendimientos de los cultivos</t>
  </si>
  <si>
    <t>Sumatoria del Volumen de Semilla Certificada del rubro 1 más Volumen de Semilla Certificada  del rubro 2, más Volumen de Semilla Certificada  del rubro N</t>
  </si>
  <si>
    <t>Informe anual de la Dirección Nacional de Semillas</t>
  </si>
  <si>
    <t>s/d</t>
  </si>
  <si>
    <t>2005-2018</t>
  </si>
  <si>
    <t>Ministerio de Desarrollo Rural y Tierras (MDRyT)</t>
  </si>
  <si>
    <t>Instituto Nacional de Innovación Agropecuaria y Forestal (INIAF)</t>
  </si>
  <si>
    <t>UPCG (Unidad de Planificación y Control de Gestión)</t>
  </si>
  <si>
    <t xml:space="preserve">Se ha incrementado el número de cabezas de ganado bovino   </t>
  </si>
  <si>
    <t xml:space="preserve">2.5 De aquí a 2020, mantener la diversidad genética de las semillas, las plantas cultivadas y los animales de granja y domesticados y sus correspondientes especies silvestres, entre otras cosas mediante una buena gestión y diversificación de los bancos de semillas y plantas a nivel
nacional, regional e internacional, y promover el acceso a los beneficios que se deriven de la utilización de los recursos genéticos y los conocimientos tradicionales conexos y su distribución justa y equitativa, según lo convenido internacionalmente
</t>
  </si>
  <si>
    <t>2.5.2 Proporción de razas y variedades locales consideradas en riesgo de extinción, sin riesgo o con un nivel de riesgo desconocido</t>
  </si>
  <si>
    <t>Proxy</t>
  </si>
  <si>
    <t>Incremento del número de cabezas de ganado bovino en el j - esimo año</t>
  </si>
  <si>
    <t>Area geográfica</t>
  </si>
  <si>
    <t>Número de cabezas</t>
  </si>
  <si>
    <t>Este indicador muestra la evolucion del incremento del número de cabezas de ganado bovino según años</t>
  </si>
  <si>
    <t xml:space="preserve">Número de cabezas de ganado bovino en el año base mas la sumatoria de la  diferencia del número de cabezas del i + 1 esimo año menos el número de cabezas del i esimo año </t>
  </si>
  <si>
    <t>INE - OAP</t>
  </si>
  <si>
    <t>Instituto Nacional de Estadística - Observatorio Agroambiental y Productivo</t>
  </si>
  <si>
    <t>Censos, encuestas y registros administrativos</t>
  </si>
  <si>
    <t>Ministerio de Planificación del Desarrollo (MPD) - Ministerio de Desarrollo Rural y Tierras (MDRyT)</t>
  </si>
  <si>
    <t>2222333 - 2111103</t>
  </si>
  <si>
    <t>Se ha incrementado el número de cabezas de ganado ovino</t>
  </si>
  <si>
    <t>ETAPA 2</t>
  </si>
  <si>
    <t>Incremento del número de cabezas de ganado ovino en el j - esimo año</t>
  </si>
  <si>
    <t>Área geográfica</t>
  </si>
  <si>
    <t>Este indicador muestra la evolución del incremento del número de cabezas de ganado ovino según años</t>
  </si>
  <si>
    <t xml:space="preserve">Número de cabezas de ganado ovino en el año base mas la sumatoria de la  diferencia del número de cabezas del i + 1 esimo año menos el número de cabezas del i esimo año </t>
  </si>
  <si>
    <t>1951 - 2017</t>
  </si>
  <si>
    <t>2222333 - 2111104</t>
  </si>
  <si>
    <t>Se ha incrementado el número de cabezas de ganado caprino</t>
  </si>
  <si>
    <t>Incremento del número de cabezas de ganado caprino en el j - esimo año</t>
  </si>
  <si>
    <t>Este indicador muestra la evolución del incremento del número de cabezas de ganado caprino según años</t>
  </si>
  <si>
    <t xml:space="preserve">Número de cabezas de ganado caprino en el año base mas la sumatoria de la  diferencia del número de cabezas del i + 1 esimo año menos el número de cabezas del i esimo año </t>
  </si>
  <si>
    <t>1952 - 2017</t>
  </si>
  <si>
    <t>2222333 - 2111105</t>
  </si>
  <si>
    <t>Se ha incrementado el número de cabezas de ganado porcino</t>
  </si>
  <si>
    <t>Incremento del número de cabezas de ganado porcino en el j - esimo año</t>
  </si>
  <si>
    <t>Este indicador muestra la evolución del incremento del número de cabezas de ganado porcino según años</t>
  </si>
  <si>
    <t xml:space="preserve">Número de cabezas de ganado porcino en el año base mas la sumatoria de la  diferencia del número de cabezas del i + 1 esimo año menos el número de cabezas del i esimo año </t>
  </si>
  <si>
    <t>Se ha incrementado el número de cabezas de ganado camélido (llamas y alpacas)</t>
  </si>
  <si>
    <t>ETAPA 4</t>
  </si>
  <si>
    <t>Incremento del número de cabezas de ganado camélido (llamas y alpacas) en el j - esimo año</t>
  </si>
  <si>
    <t>Este indicador muestra la evolución del incremento del número de cabezas de ganado camélido (llamas y alpacas) según años</t>
  </si>
  <si>
    <t xml:space="preserve">Número de cabezas de ganado camélido (llamas y alpacas) en el año base mas la sumatoria de la  diferencia del número de cabezas del i + 1 esimo año menos el número de cabezas del i esimo año </t>
  </si>
  <si>
    <t>1953 - 2017</t>
  </si>
  <si>
    <t>2222333 - 2111106</t>
  </si>
  <si>
    <t>Incremento en el rendimiento de PAPA</t>
  </si>
  <si>
    <t>kg/ha</t>
  </si>
  <si>
    <t xml:space="preserve">Este indicador muestra el incremento en los rendimientos por cada hectárea </t>
  </si>
  <si>
    <t>Rendimiento del rubro en el año base, más la Sumatoria del rendimiento del rubro 1 al rubro n correspondiente al periodo (t), menos el rendimiento del rubro 1 al rubro n correspondiente al periodo (t-1)</t>
  </si>
  <si>
    <t>Superficie y producción</t>
  </si>
  <si>
    <t>Incremento en el rendimiento de SOJA</t>
  </si>
  <si>
    <t>Incremento en el rendimiento de CAÑA DE AZÚCAR</t>
  </si>
  <si>
    <t>Tn/ha</t>
  </si>
  <si>
    <t>Incremento en el rendimiento de MAÍZ GRANO</t>
  </si>
  <si>
    <t>Incremento en el rendimiento de QUINUA</t>
  </si>
  <si>
    <t>Incremento en el rendimiento de TRIGO</t>
  </si>
  <si>
    <t>Encuesta/Registro Administrativo</t>
  </si>
  <si>
    <t xml:space="preserve">Volumen y  area </t>
  </si>
  <si>
    <t>Incremento en el rendimiento de BANANO</t>
  </si>
  <si>
    <t>Incremento en el rendimiento de PIÑA</t>
  </si>
  <si>
    <t>Incremento en el rendimiento de TOMATE</t>
  </si>
  <si>
    <t>Incremento en el rendimiento de CEBOLLA</t>
  </si>
  <si>
    <t>Incremento en el rendimiento de HABA</t>
  </si>
  <si>
    <t>2.3 De aquí a 2030, duplicar la productividad agrícola y
los ingresos de los productores de alimentos en pequeña escala, en particular las mujeres, los pueblos indígenas, los agricultores familiares, los ganaderos y los pescadores, entre otras cosas mediante un acceso seguro y equitativo a las
tierras, a otros recursos e insumos de producción y a los conocimientos, los servicios financieros, los mercados y las oportunidades para añadir valor y obtener empleos no agrícolas</t>
  </si>
  <si>
    <t>No establece indicador para el tema de beneficiarios</t>
  </si>
  <si>
    <t>Número de beneficiarios con acceso a programas de  apoyo a la producción</t>
  </si>
  <si>
    <t>Nº</t>
  </si>
  <si>
    <t>Este indicador muestra la cantidad de productores que fueron beneficiados por la intervención de programas y proyectos</t>
  </si>
  <si>
    <t>Suma de beneficiarios del año 1, más el número de beneficiarios del año 2, más el número de beneficiarios del año N</t>
  </si>
  <si>
    <t>Programas y Proyectos del MDRyT</t>
  </si>
  <si>
    <t>Ministerio de Desarrollo Rural y Tierras</t>
  </si>
  <si>
    <t>Beneficiarios</t>
  </si>
  <si>
    <t>2111103 - 2200919</t>
  </si>
  <si>
    <t>2.4 De aquí a 2030, asegurar la sostenibilidad de los
sistemas de producción de alimentos y aplicar prácticas
agrícolas resilientes que aumenten la productividad y la producción, contribuyan al mantenimiento de los ecosistemas, fortalezcan la capacidad de adaptación al
cambio climático, los fenómenos meteorológicos extremos,
las sequías, las inundaciones y otros desastres, y mejoren
progresivamente la calidad de la tierra y el suelo</t>
  </si>
  <si>
    <t>No establece indicador para el tema del segturo agrario</t>
  </si>
  <si>
    <t>El indicador ODS no se adecúa al número de beneficiarios con cobertura del seguro agrario</t>
  </si>
  <si>
    <t>Porcentaje de productores que acceden al Seguro Agrario</t>
  </si>
  <si>
    <t>Este indicador muestra el porcentaje de productores (UPA's) con cobertura de seguro agrario en cada campaña agrícola, con respecto al total de UPA´s individuales</t>
  </si>
  <si>
    <t xml:space="preserve">                     UPAs(n)                     UPAs(n+1)
%UPAs =  ------------ x 100  +  ----------------- x 100
                      UPA´s20                     UPA´s20</t>
  </si>
  <si>
    <t>Porcentaje de Unidades Productivas Agrlopecuarias con cobertura de seguro</t>
  </si>
  <si>
    <t>INSA</t>
  </si>
  <si>
    <t>Total de Unidades Productivas Agropecuarias Individuales</t>
  </si>
  <si>
    <t>INSA - INE</t>
  </si>
  <si>
    <t>Instituto del Seguro Agrario</t>
  </si>
  <si>
    <t>Productores con seguro agrario</t>
  </si>
  <si>
    <t xml:space="preserve">Ministerio de Desarrollo Rural y Tierras (MDRyT)
</t>
  </si>
  <si>
    <t>Instituto del Seguro Agrario (INSA)</t>
  </si>
  <si>
    <t>Dirección de Estudios, Productos y Riesgos</t>
  </si>
  <si>
    <t>INRA</t>
  </si>
  <si>
    <t>2.3</t>
  </si>
  <si>
    <t>No establece indicador para el tema del saneamiento de tierras o acceso a la misma</t>
  </si>
  <si>
    <t>NO APLICA</t>
  </si>
  <si>
    <t>Incremento de la Superficie con saneamiento y titulación</t>
  </si>
  <si>
    <t>Millones de Hectáreas</t>
  </si>
  <si>
    <t>Hectáreas saneadas y tituladas.</t>
  </si>
  <si>
    <t>Sumatoria del Saneamiento y Titulacuión correspondiente al periodo (t), menos el Saneamiento y Titulación correspondiente al periodo (t-1)</t>
  </si>
  <si>
    <t>2015 al 2017</t>
  </si>
  <si>
    <t>A nivel departamental</t>
  </si>
  <si>
    <t>Instituto Nacional de Reforma Agraria (INRA)</t>
  </si>
  <si>
    <t>Superficie saneada y titulada</t>
  </si>
  <si>
    <t>Dirección General de Planificación</t>
  </si>
  <si>
    <t>Ministerio de Desarrollo Rural y Tierras (MDRyT)
Instituto Nacional de Reforma Agraria (INRA)</t>
  </si>
  <si>
    <t>No establece indicador para el tema de participación de las mujeres en el saneamiento de tierras o acceso a la misma</t>
  </si>
  <si>
    <t>Participación porcentual de las mujeres en el saneamiento y titulación de tierras</t>
  </si>
  <si>
    <t>%</t>
  </si>
  <si>
    <t>Mide la participación de las mujeres en el acceso a la tierra</t>
  </si>
  <si>
    <t>Número de mujeres en el año n</t>
  </si>
  <si>
    <t>Número total de hombres, mujeres y jurídico, en el año n</t>
  </si>
  <si>
    <t>% de participación de la mujer en el acceso a la tierra</t>
  </si>
  <si>
    <t>No establece indicador para el tema de asentamientos humanos</t>
  </si>
  <si>
    <t>Superficie adicional a la linea base distribuida y redistribuida</t>
  </si>
  <si>
    <t>Hectáreas</t>
  </si>
  <si>
    <t>Mide la superficie distribuida y redistribuida</t>
  </si>
  <si>
    <t>Sumatoria de la Superficie distribuida y redistribuida por año</t>
  </si>
  <si>
    <t>INRA
VT</t>
  </si>
  <si>
    <t>Superficie distribuida y redistribuida</t>
  </si>
  <si>
    <t>Además de contemplar la superficie boscosa, también, incluye la superficie boscosa con manejo integral.</t>
  </si>
  <si>
    <t>Superficie  bajo manejo integral y sustentable de bosques</t>
  </si>
  <si>
    <t>Área Geográfica: Nacional</t>
  </si>
  <si>
    <t>Millones de hectáreas</t>
  </si>
  <si>
    <t>Se refiere a la cantidad de hectáreas que están bajo manejo integral y sustentable de bosques, en todo el territorio nacional boliviano. Superficie medida en hectáreas.
Cantidad de hectáreas de bosques en Usuarios del bosque (Territorios Indígena Originario Campesino, comunidades indígenas originarias, campesinas, interculturales, afrobolivianos y privados, en áreas en reservas forestales y cantidad de hectáreas en áreas protegidas, todas bajo manejo integral y sustentable de bosques.
Se considera área bajo manejo integral y sustentable de bosques a todas aquellas áreas que tengan las siguientes características generales:
1) Áreas de manejo:
a. Área de preservación
b. Área de conservación
c. Área de otros usos
2) Sistema de manejo:
a. Ciclo de corta
b. Especies destinadas para la producción y preservación forestal
c. Corta anual permisible
d. Diagnóstico de la fauna
3) Sistema de monitoreo y evaluación del plan de manejo integral de bosques
4) Detalle de las actividades de pre-aprovechamiento, aprovechamiento y post-aprovechamiento
5) Detalle de los aspectos socioeconómicos
a. Detalle de aprovechamiento de los recursos maderables del bosque
b. Plan Económico con la proyección de flujo de cajas e inversiones.</t>
  </si>
  <si>
    <t xml:space="preserve">hMISB = Ʃ ( A1 UB + A2 RF + A3  AP )
Donde:
hMISB = Número de hectáreas de bosques bajo manejo integral y sustentable de bosques en todo el país
Ʃ = Sumatoria de áreas de bosques priorizadas
A1UB = Área en Usuarios del bosque (Territorios Indígena Originario Campesino, comunidades indígenas originarias, campesinas, interculturales, afrobolivianos y privados)
A2 RF = Área en reservas forestales
A3 AP = Área en áreas protegidas
</t>
  </si>
  <si>
    <t>Autoridad de Fiscalización y Control Social de Bosques y Tierra (ABT)</t>
  </si>
  <si>
    <t>El análisis y la sistematización requiere mayor tiempo</t>
  </si>
  <si>
    <t xml:space="preserve">ABT </t>
  </si>
  <si>
    <t>Autoridad de Fiscalización y Control Social de Bosques y Tierra -Unidad de Monitoreo de Información Geográfica</t>
  </si>
  <si>
    <t xml:space="preserve">A1UB = Área en Usuarios del bosque (Territorios Indígena Originario Campesino, comunidades indígenas originarias, campesinas, interculturales, afrobolivianos y privados)
A2 RF = Área en reservas forestales
A3 AP = Área en áreas protegidas
</t>
  </si>
  <si>
    <t>Ministerio de Medio Ambiente y Agua (MMAyA)</t>
  </si>
  <si>
    <t>Viceministerio de Medio Ambiente Biodiversidad Cambios Climáticos y de Gestión y Desarrollo Forestal (VMABCCGDF)</t>
  </si>
  <si>
    <t xml:space="preserve">Dirección General de Gestión y Desarrollo Forestal (DGGDF)
Autoridad de Fiscalización y Control Social de Bosques y Tierra (ABT)
Servicio Nacional de Áreas Protegidas (SERNAP)
Dirección General de Biodiversidad y Áreas Protegidas (DGBAP)
</t>
  </si>
  <si>
    <t>DGGDF - 2146371 
ABT- 3488330</t>
  </si>
  <si>
    <t>Superficie forestal como porcentaje de la superficie total</t>
  </si>
  <si>
    <t>Este indicador mide la proporción de la superficie forestal nacional  y su expresión como porcentaje. Cambios en la superficie forestal reflejan cambios en la demanda de superficies para otros usos y puede ayudar en la identificación de prácticas insostenibles en el bosque y sectores de la agricultura.</t>
  </si>
  <si>
    <t xml:space="preserve"> SF = Superficie forestal (año de referencia)/superficie total del territorio nacional) *100</t>
  </si>
  <si>
    <t>Superficie forestal</t>
  </si>
  <si>
    <t>Ministerio de Medio Ambiente y Aguas - MMAyA y Sistema de información y Monitoreo de Bosques  (SIMB)</t>
  </si>
  <si>
    <t>Superficie total del territorio nacional</t>
  </si>
  <si>
    <t>MMAyA - SIMB</t>
  </si>
  <si>
    <t>Superficie forestal (año de referencia)
Superficie total del territorio nacional</t>
  </si>
  <si>
    <t>Dirección General de Gestión y Desarrollo Forestal (DGGDF</t>
  </si>
  <si>
    <t>DGGDF - 2146371</t>
  </si>
  <si>
    <t>2.5.1 Número de recursos genéticos vegetales y animales para la alimentación y la agricultura preservados en instalaciones de conservación a mediano y largo plazo</t>
  </si>
  <si>
    <t>Proxy: las accesiones  contribuyen al incremento de la productividad</t>
  </si>
  <si>
    <t xml:space="preserve">Cantidad total de accesiones caracterizadas fenotipicamente </t>
  </si>
  <si>
    <t>Número de Accesiones</t>
  </si>
  <si>
    <t>Número de accesiones (muestras geneticas vegetales) caracterizadas fenotipicamente, que se encuentran resguardadas por el INIAF, este número incluye a la línea base.</t>
  </si>
  <si>
    <t>Nro Accesiones</t>
  </si>
  <si>
    <t>Numero de accesiones</t>
  </si>
  <si>
    <t>Instituto Nacional de Innovación Agropecuaria y Forestal</t>
  </si>
  <si>
    <t>(UPCG) Unidad de Planificación y Control de Gestión</t>
  </si>
  <si>
    <t xml:space="preserve">Cantidad total de accesiones caracterizadas fenotípicamente </t>
  </si>
  <si>
    <t>Número de accesiones (muestras genéticas vegetales) caracterizadas fenotípicamente, que se encuentran resguardadas por el INIAF, este número incluye a la línea base.</t>
  </si>
  <si>
    <t xml:space="preserve">Reserva estratégica nacional de granos, mediante el almacenamiento en Silos. También se realiza capacitación a los Productores en el área agrícola </t>
  </si>
  <si>
    <t>Incremento de la capacidad de almacenamiento de granos estratégicos de EMAPA</t>
  </si>
  <si>
    <t>Nacional/Departamento/Municipio</t>
  </si>
  <si>
    <t>Toneladas  (tn)</t>
  </si>
  <si>
    <t xml:space="preserve">Indicador de nivel que mide el incremento de la capacidad de almacenamiento en toneladas  de granos estratégicos en la infraestructura  de la Empresa de Apoyo a la Producción de Alimentos (EMAPA) </t>
  </si>
  <si>
    <t>EMAPA</t>
  </si>
  <si>
    <t>2009-2017</t>
  </si>
  <si>
    <t>La capacidad de almacenamiento por centro, considera la implementación de nuevos centros como la ampliación de centros existentes (i.e. Cuatro Cañadas y San Pedro)</t>
  </si>
  <si>
    <t>Ministerio de Desarrollo Productivo y Economía Plural</t>
  </si>
  <si>
    <t>Municipio</t>
  </si>
  <si>
    <t>Capacidad instalada de centros de almacenamiento</t>
  </si>
  <si>
    <t>Ministerio de Desarrollo Productivo y Economía Plural - MDPyEP</t>
  </si>
  <si>
    <t>Empresa de Apoyo a la Producción de Alimentos - EMAPA</t>
  </si>
  <si>
    <t>Unidad de Planificación y Proyectos UPP - Empresa de Apoyo a la Producción de Alimentos EMAPA</t>
  </si>
  <si>
    <t>EMAPA. Calacoto. Calle 9 No.7835, Tel. 2115500 - 2112728</t>
  </si>
  <si>
    <t>M. Educación,M.  Salud, MDPyEP, MDRyT</t>
  </si>
  <si>
    <t>2 Poner fin al hambre, lograr la seguridad alimentaria y la mejora de la nutrición y promover la agricultura</t>
  </si>
  <si>
    <t>2.1. De aquí a 2030, poner fin al hambre y asegurar el acceso de todas las personas, en particular los pobres y las personas en situaciones de vulnerabilidad, incluidos los niños menores de 1 año, a una alimentación sana, nutritiva y suficiente durante todo el año</t>
  </si>
  <si>
    <t>08052401</t>
  </si>
  <si>
    <t>Numero de Instrumentos de la política de Alimentación y nutrición (PAN) elaborados y aprobados</t>
  </si>
  <si>
    <t>Nacional
Tipo de instrumento</t>
  </si>
  <si>
    <t xml:space="preserve">Documentos de la Política de Alimentación y Nutrición elaborados y aprobados
</t>
  </si>
  <si>
    <t>Número de instrumentos de PAN elaborados y aprobados = Sumatoria de INSTRUMENTOS DE PAN elaborados y aprobados</t>
  </si>
  <si>
    <t>Número de instrumentos del PAN elaborados y aprobados</t>
  </si>
  <si>
    <t>Unidad Coordinadora
Comité Técnico del Consejo de Alimentación y Nutrición</t>
  </si>
  <si>
    <t xml:space="preserve">Se tomará en cuenta todos los documentos normativos, legales, técnicos que conforman la Política de Alimentación y Nutrición. </t>
  </si>
  <si>
    <t>080524011</t>
  </si>
  <si>
    <t>UC CTCONAN</t>
  </si>
  <si>
    <t>Unidad Coordinadora Comité técnico Consejo Nacional de Alimentación y Nutrición</t>
  </si>
  <si>
    <t>Alimentación 
Nutrición
Producción
Articulación
Coordinación interinstitucional</t>
  </si>
  <si>
    <t>UC CT CONAN
Unidad Coordinadora Consejo Nacional de Alimentación y Nutrición</t>
  </si>
  <si>
    <t xml:space="preserve">MS
Ministerio de Salud
</t>
  </si>
  <si>
    <t>2117997, 2118890</t>
  </si>
  <si>
    <t>08052402</t>
  </si>
  <si>
    <t>Número de Gobiernos Autónomos Municipales (GAM) que articulan e implementan programas, proyectos y/o actividades para lograr la implementación de la Política de Alimentación y Nutrición (PAN).</t>
  </si>
  <si>
    <t>proceso</t>
  </si>
  <si>
    <t>Nacional
Departamental
Municipal</t>
  </si>
  <si>
    <t>Numero</t>
  </si>
  <si>
    <t xml:space="preserve">Gobiernos Autónomos Municipales que se articularon e implementaron programas, proyectos y/o actividades para lograr la implementación de la PAN.
</t>
  </si>
  <si>
    <t xml:space="preserve">Número de GAM que articulan e implementan  programas, proyectos y/o actividades del PAN= Sumatoria de GAM que articulan e implementan programas, proyectos y/o actividades del PAN.
</t>
  </si>
  <si>
    <t>Número de GAM que articulan e implementan  programas, proyectos y/o actividades del PAN</t>
  </si>
  <si>
    <t>2012 - 2018</t>
  </si>
  <si>
    <t xml:space="preserve">Se tomará en cuenta de acuerdo a la metodología establecida, para determinar lo que se entien de por un Gobierno Autónomo Municipal Articulado.  </t>
  </si>
  <si>
    <t>080524022</t>
  </si>
  <si>
    <t>2014 -2017</t>
  </si>
  <si>
    <t>Contribución a un solo resultado</t>
  </si>
  <si>
    <t>08052411</t>
  </si>
  <si>
    <t>Número de Gobiernos Autónomos Departamentales (GAD) con un Consejo Departamental de Alimentación (CODAN) funcionando.</t>
  </si>
  <si>
    <t>producto</t>
  </si>
  <si>
    <t xml:space="preserve">Nacional
Departamental
</t>
  </si>
  <si>
    <t>Número de Gobiernos Departamentales fortalecidos con la creación y funcionamiento de un Consejo Departamental de Alimentación y Nutrición CODAN.
QUE SE ENTIENDE POR FORTALECIDO</t>
  </si>
  <si>
    <t xml:space="preserve">Número de GAD con un CODAN funcionando= Sumatoria de GAD con un CODAN funcionando
</t>
  </si>
  <si>
    <t>Número de GAD con un CODAN funcionando</t>
  </si>
  <si>
    <t>080524111</t>
  </si>
  <si>
    <t>Consejos Departamentales constituidos y funcionando (CODAN).</t>
  </si>
  <si>
    <t>UC CTCONAN
Área Articulación Multisectorial</t>
  </si>
  <si>
    <t>08052412</t>
  </si>
  <si>
    <t>Número de Gobiernos Autónomos Municipales (GAM) con un Consejo Municipal de Alimentación (COMAN) funcionando.</t>
  </si>
  <si>
    <t>Número de Gobiernos Municipales fortalecidas con la creación y funcionamiento de un Consejo Municipal de Alimentación y Nutrición COMAN.
QUE SE ENTIENDE POR FORTALECIDO</t>
  </si>
  <si>
    <t xml:space="preserve">Número de GAM con un COMAN funcionando= Sumatoria de GAM con un COMAN funcionando
</t>
  </si>
  <si>
    <t>Número de GAM con un COMAN funcionando</t>
  </si>
  <si>
    <t>080524122</t>
  </si>
  <si>
    <t xml:space="preserve">Consejos Municipales constituidos y funcionando (COMAN).
</t>
  </si>
  <si>
    <r>
      <t>SupDistrb = Ʃ(SupDistrb</t>
    </r>
    <r>
      <rPr>
        <vertAlign val="subscript"/>
        <sz val="11"/>
        <rFont val="Arial"/>
        <family val="2"/>
      </rPr>
      <t>n</t>
    </r>
    <r>
      <rPr>
        <sz val="11"/>
        <rFont val="Arial"/>
        <family val="2"/>
      </rPr>
      <t>)</t>
    </r>
  </si>
  <si>
    <t>Ratio de Deforestación Ilegal respecto a la Deforestación Total</t>
  </si>
  <si>
    <t xml:space="preserve">Permite conocer, en términos porcentuales, cuál es el ratio de deforestación ilegal respecto de la deforestacion total en el periodo anual. </t>
  </si>
  <si>
    <t xml:space="preserve">   
Donde:
RDIA = Ratio de Deforestacion Ilegal Anual
HDI = Número de hectáreas deforestadas ilegalmente 
HDL = Número de hectáreas deforestadas legalmente 
</t>
  </si>
  <si>
    <t>Número de hectáreas deforestadas de forma ilegal anualmente</t>
  </si>
  <si>
    <t xml:space="preserve">Suma entre el número de hectáreas deforestadas anualmente de forma legal y el  número de hectáreas deforestadas anualmente de forma ilegal
</t>
  </si>
  <si>
    <t>ABT</t>
  </si>
  <si>
    <t>2012 - 2016</t>
  </si>
  <si>
    <t xml:space="preserve">Número de hectáreas deforestadas 
</t>
  </si>
  <si>
    <t>Viceministerio de Medio Ambiente Biodiversidad Cambios Climaticos y de Gestion y Desarrollo Forestal (VMABCCGDF)</t>
  </si>
  <si>
    <t>Dirección General de Gestión y Desarrollo Forestal (DGGDF)
Autoridad de Fiscalizacion y Control Social de Bosques y Tierra (ABT)</t>
  </si>
  <si>
    <t>Superficie incremental forestada y reforestada</t>
  </si>
  <si>
    <t xml:space="preserve">Se refiere a la cantidad de áreas forestadas, reforestadas y rehabilitadas, incrementales, en todo el territorio nacional boliviano. Cantidad de áreas medida en hectáreas.
Las hectáreas se refieren a las siguientes áreas: hectáreas bajo plantaciones comerciales, sistemas agroforestales y silvopastoriles, áreas con plantaciones forestales en zonas urbanas (silvicultura urbana) y áreas con plantaciones forestales de protección ambiental (así, por ejemplo: plantaciones alrededor de fuentes de agua).
</t>
  </si>
  <si>
    <t>hFRR =  Ʃ ( PC + PSAS + PFAU + PFPA )
hFRR = Número de hectáreas incrementales forestadas y reforestadas.
Ʃ  = Sumatoria de hectáreas de superficie incremental forestada y reforestada.
PC = Cantidad de hectáreas de plantaciones comerciales.
PSAS = Cantidad de hectáreas de plantaciones en sistemas agroforestales y silvopastoriles.
PFAU = Cantidad de hectáreas de plantaciones forestales en áreas urbanas.
PFPA = Cantidad de hectáreas con plantaciones forestales de protección ambiental.</t>
  </si>
  <si>
    <t>Sumatoria de hectáreas incrementales forestadas y reforestadas mediante los diferentes tipos de plantación (comercial, agrofeorestales y agrosilvopastoriles, silvicultura urbana y protección ambiental)</t>
  </si>
  <si>
    <t>Programa Nacional de Forestación y Reforestación (PNFR)</t>
  </si>
  <si>
    <t>2014-2016</t>
  </si>
  <si>
    <t>PNFR</t>
  </si>
  <si>
    <t>2014 - 2016</t>
  </si>
  <si>
    <t>Nacional, plantaciones comercial,es agrofeorestales y agrosilvopastoriles, silvicultura urbana y protección ambiental</t>
  </si>
  <si>
    <t xml:space="preserve">PC = Cantidad de hectáreas de plantaciones comerciales.
PSAS = Cantidad de hectáreas de plantaciones en sistemas agroforestales y silvopastoriles.
PFAU = Cantidad de hectáreas de plantaciones forestales en áreas urbanas.
PFPA = Cantidad de hectáreas con plantaciones forestales de protección ambiental.
</t>
  </si>
  <si>
    <t>Viceministerio de Mecio Ambiente Biodiversidad Cambios Climaticos y de Gestion y Desarrollo Forestal (VMABCCGDF)</t>
  </si>
  <si>
    <t>Dirección General de Gestión y Desarrollo Forestal (DGGDF)
Programa Nacional de Forestación y Reforestación (PNFR)</t>
  </si>
  <si>
    <t>6.3 De aquí a 2030, mejorar la calidad del agua reduciendo la contaminación, eliminando el vertimiento y minimizando la emisión de productos químicos y materiales peligrosos, reduciendo a la mitad el porcentaje de aguas residuales sin tratar y aumentando considerablemente el reciclado y la reutilización sin riesgos a nivel mundial</t>
  </si>
  <si>
    <t>6.3.2 Porcentaje de masas de agua de buena calidad</t>
  </si>
  <si>
    <t>Porcentaje de puntos de monitoreo con calidad hídrica buena (%PCHB)</t>
  </si>
  <si>
    <t>Punto de monitoreo</t>
  </si>
  <si>
    <t xml:space="preserve">Porcentaje de Puntos de Monitoreo donde los parámetros básicos de calidad del agua están en los rangos mínimos aceptables definidos en el Cuadro N° A-1 del Reglamento en Materia de Contaminación Hídrica, respecto al número total de Sitios o Puntos de Monitoreo a nivel nacional </t>
  </si>
  <si>
    <t>%PCHB = Número de puntos de Monitoreo con Calidad Hídrica Buena / Total de puntos monitoreados a nivel nacional</t>
  </si>
  <si>
    <t xml:space="preserve">Número puntos de monitoreo con Calidad Hídrica Buena </t>
  </si>
  <si>
    <t>Informes anuales de municipios, gobernaciones y MMAyA</t>
  </si>
  <si>
    <t>Número puntos de monitoreo de calidad de agua a nivel nacional</t>
  </si>
  <si>
    <t>Sistema Nacional de Información de Recursos Hídricos (SIRH)</t>
  </si>
  <si>
    <t>Parámetros fisicoquímicos de calidad de aguas</t>
  </si>
  <si>
    <t>Viceministerio de Recursos Hídricos y Riego - VRHR</t>
  </si>
  <si>
    <t>DGCRH/UPHCA</t>
  </si>
  <si>
    <t>2117391 - 2113239 - 2124484</t>
  </si>
  <si>
    <t>Grado de Avance Medio en el Alcance de los Indicadores de la Calidad  hídrica (ΔCH), registrado para las cuencas Rocha, Piraí, Guadalquivir, Katari y Cotagaita</t>
  </si>
  <si>
    <t>Cuenca</t>
  </si>
  <si>
    <t xml:space="preserve">ΔCH mide el % de desviación de la calidad hídrica actual con respecto a la mínima permitida definida por su clasificación, para cuerpos de agua en las cinco cuencas Rocha, Piraí, Guadalquivir, Katari y Cotagaita, determinadas para restauración por el PDES y el PSDI  </t>
  </si>
  <si>
    <t>ΔCH = ((ΔCHCotagaita + ΔCHGuadalquivir + ΔCHKatari + ΔCHPiraí + ΔCHRocha)/5 )*100</t>
  </si>
  <si>
    <t xml:space="preserve">Es la suma de los ΔCH para cada una de las 5 cuencas, que son calculados  con base a mediciones de campo mediante análisis de laboratorio de la calidad hidrica, de acuerdo a la metodologia definida </t>
  </si>
  <si>
    <t>VRHR, GAD´s y GAM´s</t>
  </si>
  <si>
    <t>Número de cuencas consideradas</t>
  </si>
  <si>
    <t>VRHR</t>
  </si>
  <si>
    <t xml:space="preserve">Se establecen convenios interinstitucionales para fortalecer la red de control de calidad de agua tanto a nivel nacional, internacional, subnacional y local. Gobiernos sectoriales y subnacionales designan y/o adquieren recursos para establecer y operar redes de monitoreo en cuerpos de agua priorizados a través del diagnóstico ambiental. </t>
  </si>
  <si>
    <t>SIMOVH</t>
  </si>
  <si>
    <t>Sistema de Monitoreo y Vigilancia Hidrica</t>
  </si>
  <si>
    <t>Reportes de Análisis de laboratorio)</t>
  </si>
  <si>
    <t>34484 km2
(Extensión de las 5 cuencas)</t>
  </si>
  <si>
    <t xml:space="preserve">MMAyA (VRHR) GAD SCZ, GADCBBA, GADLP, GADTRJ, GADCH, GAM´s  </t>
  </si>
  <si>
    <t>Viceminsiterio de Recursos Hidricos y Riego (VRHR)</t>
  </si>
  <si>
    <t>2-2124484</t>
  </si>
  <si>
    <t>VolSemCert = Ʃ(VolSemCert1 + VolSemCert2 + … +  VolSemCertN)</t>
  </si>
  <si>
    <t>Benef = Ʃ(Benef1 + Benef2 + … +  BenefN)</t>
  </si>
  <si>
    <t>NoAccesiones = Ʃ(AccesionesN1 + AccesionesN2 + … +  AccesionesN)</t>
  </si>
  <si>
    <t>Objetivo 2: Poner fin al hambre, lograr la seguridad alimentaria y la mejora de la nutrición y promover 
la agricultura sostenible
Meta 2a.: 
Aumentar, incluso mediante una mayor 
cooperación internacional, las inversiones en 
infraestructura rural, investigación y servicios de 
extensión agrícola, desarrollo tecnológico y bancos de 
genes de plantas y ganado a fin de mejorar la capacidad 
de producción agropecuaria en los países en des arrollo, 
particularmente en los países menos adelantados</t>
  </si>
  <si>
    <t>2.a.1: Índice de orientación agrícola para los gastos públicos</t>
  </si>
  <si>
    <r>
      <t xml:space="preserve">ΔSupCul =
 </t>
    </r>
    <r>
      <rPr>
        <vertAlign val="subscript"/>
        <sz val="11"/>
        <rFont val="Arial"/>
        <family val="2"/>
      </rPr>
      <t>1</t>
    </r>
    <r>
      <rPr>
        <sz val="11"/>
        <rFont val="Arial"/>
        <family val="2"/>
      </rPr>
      <t>Ʃ</t>
    </r>
    <r>
      <rPr>
        <vertAlign val="subscript"/>
        <sz val="11"/>
        <rFont val="Arial"/>
        <family val="2"/>
      </rPr>
      <t>n</t>
    </r>
    <r>
      <rPr>
        <sz val="11"/>
        <rFont val="Arial"/>
        <family val="2"/>
      </rPr>
      <t>(SupCul)</t>
    </r>
    <r>
      <rPr>
        <vertAlign val="subscript"/>
        <sz val="11"/>
        <rFont val="Arial"/>
        <family val="2"/>
      </rPr>
      <t>(t)</t>
    </r>
    <r>
      <rPr>
        <sz val="11"/>
        <rFont val="Arial"/>
        <family val="2"/>
      </rPr>
      <t xml:space="preserve"> -  </t>
    </r>
    <r>
      <rPr>
        <vertAlign val="subscript"/>
        <sz val="11"/>
        <rFont val="Arial"/>
        <family val="2"/>
      </rPr>
      <t>1</t>
    </r>
    <r>
      <rPr>
        <sz val="11"/>
        <rFont val="Arial"/>
        <family val="2"/>
      </rPr>
      <t>Ʃ</t>
    </r>
    <r>
      <rPr>
        <vertAlign val="subscript"/>
        <sz val="11"/>
        <rFont val="Arial"/>
        <family val="2"/>
      </rPr>
      <t>n</t>
    </r>
    <r>
      <rPr>
        <sz val="11"/>
        <rFont val="Arial"/>
        <family val="2"/>
      </rPr>
      <t>(SupCul)</t>
    </r>
    <r>
      <rPr>
        <vertAlign val="subscript"/>
        <sz val="11"/>
        <rFont val="Arial"/>
        <family val="2"/>
      </rPr>
      <t>(t-1)</t>
    </r>
  </si>
  <si>
    <r>
      <t xml:space="preserve">ΔVolPro =
 </t>
    </r>
    <r>
      <rPr>
        <vertAlign val="subscript"/>
        <sz val="11"/>
        <rFont val="Arial"/>
        <family val="2"/>
      </rPr>
      <t>1</t>
    </r>
    <r>
      <rPr>
        <sz val="11"/>
        <rFont val="Arial"/>
        <family val="2"/>
      </rPr>
      <t>Ʃ</t>
    </r>
    <r>
      <rPr>
        <vertAlign val="subscript"/>
        <sz val="11"/>
        <rFont val="Arial"/>
        <family val="2"/>
      </rPr>
      <t>n</t>
    </r>
    <r>
      <rPr>
        <sz val="11"/>
        <rFont val="Arial"/>
        <family val="2"/>
      </rPr>
      <t>(VolPro)</t>
    </r>
    <r>
      <rPr>
        <vertAlign val="subscript"/>
        <sz val="11"/>
        <rFont val="Arial"/>
        <family val="2"/>
      </rPr>
      <t>(t)</t>
    </r>
    <r>
      <rPr>
        <sz val="11"/>
        <rFont val="Arial"/>
        <family val="2"/>
      </rPr>
      <t xml:space="preserve"> -  </t>
    </r>
    <r>
      <rPr>
        <vertAlign val="subscript"/>
        <sz val="11"/>
        <rFont val="Arial"/>
        <family val="2"/>
      </rPr>
      <t>1</t>
    </r>
    <r>
      <rPr>
        <sz val="11"/>
        <rFont val="Arial"/>
        <family val="2"/>
      </rPr>
      <t>Ʃ</t>
    </r>
    <r>
      <rPr>
        <vertAlign val="subscript"/>
        <sz val="11"/>
        <rFont val="Arial"/>
        <family val="2"/>
      </rPr>
      <t>n</t>
    </r>
    <r>
      <rPr>
        <sz val="11"/>
        <rFont val="Arial"/>
        <family val="2"/>
      </rPr>
      <t>(VolPro)</t>
    </r>
    <r>
      <rPr>
        <vertAlign val="subscript"/>
        <sz val="11"/>
        <rFont val="Arial"/>
        <family val="2"/>
      </rPr>
      <t>(t-1)</t>
    </r>
  </si>
  <si>
    <r>
      <t>ΔRend = Rend</t>
    </r>
    <r>
      <rPr>
        <vertAlign val="subscript"/>
        <sz val="11"/>
        <rFont val="Arial"/>
        <family val="2"/>
      </rPr>
      <t>(0)</t>
    </r>
    <r>
      <rPr>
        <sz val="11"/>
        <rFont val="Arial"/>
        <family val="2"/>
      </rPr>
      <t xml:space="preserve"> +
 </t>
    </r>
    <r>
      <rPr>
        <vertAlign val="subscript"/>
        <sz val="11"/>
        <rFont val="Arial"/>
        <family val="2"/>
      </rPr>
      <t>1</t>
    </r>
    <r>
      <rPr>
        <sz val="11"/>
        <rFont val="Arial"/>
        <family val="2"/>
      </rPr>
      <t>Ʃ(Rend</t>
    </r>
    <r>
      <rPr>
        <vertAlign val="subscript"/>
        <sz val="11"/>
        <rFont val="Arial"/>
        <family val="2"/>
      </rPr>
      <t>(t)</t>
    </r>
    <r>
      <rPr>
        <sz val="11"/>
        <rFont val="Arial"/>
        <family val="2"/>
      </rPr>
      <t xml:space="preserve"> -  Rend</t>
    </r>
    <r>
      <rPr>
        <vertAlign val="subscript"/>
        <sz val="11"/>
        <rFont val="Arial"/>
        <family val="2"/>
      </rPr>
      <t>(t-1)</t>
    </r>
    <r>
      <rPr>
        <sz val="11"/>
        <rFont val="Arial"/>
        <family val="2"/>
      </rPr>
      <t>)</t>
    </r>
  </si>
  <si>
    <r>
      <t xml:space="preserve">ΔSantTit =
 </t>
    </r>
    <r>
      <rPr>
        <vertAlign val="subscript"/>
        <sz val="11"/>
        <rFont val="Arial"/>
        <family val="2"/>
      </rPr>
      <t>1</t>
    </r>
    <r>
      <rPr>
        <sz val="11"/>
        <rFont val="Arial"/>
        <family val="2"/>
      </rPr>
      <t>Ʃ</t>
    </r>
    <r>
      <rPr>
        <vertAlign val="subscript"/>
        <sz val="11"/>
        <rFont val="Arial"/>
        <family val="2"/>
      </rPr>
      <t>t</t>
    </r>
    <r>
      <rPr>
        <sz val="11"/>
        <rFont val="Arial"/>
        <family val="2"/>
      </rPr>
      <t>(SanTit</t>
    </r>
    <r>
      <rPr>
        <vertAlign val="subscript"/>
        <sz val="11"/>
        <rFont val="Arial"/>
        <family val="2"/>
      </rPr>
      <t>(t)</t>
    </r>
    <r>
      <rPr>
        <sz val="11"/>
        <rFont val="Arial"/>
        <family val="2"/>
      </rPr>
      <t xml:space="preserve"> -  SanTit</t>
    </r>
    <r>
      <rPr>
        <vertAlign val="subscript"/>
        <sz val="11"/>
        <rFont val="Arial"/>
        <family val="2"/>
      </rPr>
      <t>(t-1)</t>
    </r>
    <r>
      <rPr>
        <sz val="11"/>
        <rFont val="Arial"/>
        <family val="2"/>
      </rPr>
      <t>)</t>
    </r>
  </si>
  <si>
    <t>Tasa de Desocupación de la población joven de 10 años y más</t>
  </si>
  <si>
    <t>05</t>
  </si>
  <si>
    <t>Soberanía comunitaria, financiera, sin servilismo al capitalismo financiero</t>
  </si>
  <si>
    <t>0501</t>
  </si>
  <si>
    <t>Independencia financiera externa</t>
  </si>
  <si>
    <t>5.1.1</t>
  </si>
  <si>
    <t>5.1.135</t>
  </si>
  <si>
    <t>Comunidad y Finanzas</t>
  </si>
  <si>
    <t>Finanzas Públicas</t>
  </si>
  <si>
    <t>8.1 Mantener el crecimiento económico per cápita de conformidad con las circunstancias nacionales y, en particular, un crecimiento del producto interno bruto de al menos el 7% anual en los países menos adelantados</t>
  </si>
  <si>
    <t>8.1.1 Tasa de crecimiento anual del PIB real per cápita</t>
  </si>
  <si>
    <t xml:space="preserve">Directa </t>
  </si>
  <si>
    <t xml:space="preserve">Acuerdo de Decisión Anual del Programa Fiscal Financiero </t>
  </si>
  <si>
    <t>La decisión del programa fiscal financiero es un acuerdo interinstitucional que suscriben el MEFP y el BCB, el cual permite al Estado establecer las principales metas y objetivos de las variables macroeconómicas, buscando fomentar el crecimiento y desarrollo económico, reducción de la pobreza y el mantenimiento de la estabilidad macroeconómica</t>
  </si>
  <si>
    <t xml:space="preserve"> ADAPFF = ADFAPFF /  ADPAPFF* 100</t>
  </si>
  <si>
    <t xml:space="preserve"> Acuerdos de Decisión Firmados Anualmente del Programa Fiscal Financiero</t>
  </si>
  <si>
    <t>Ministerio de Economía y Finanzas Públicas
y
Banco Central de Bolivia</t>
  </si>
  <si>
    <t xml:space="preserve">Acuerdos de Decisión Programados Anualmente del Programa Fiscal Financiero </t>
  </si>
  <si>
    <t>2006 - 2018</t>
  </si>
  <si>
    <t>MEFP
BCB</t>
  </si>
  <si>
    <t>Ministerio de Economía y Finanzas Públicas
Banco Central de Bolivia</t>
  </si>
  <si>
    <t>Tasa de Crecimiento del PIB
Tasa de Inflación 
Resultado Fiscal del Sector Público No Financiero
Reservas Internacionales Netas
Financiamiento Interno al Sector Público
Crédito Interno Neto del BCB al SPNF</t>
  </si>
  <si>
    <t xml:space="preserve">Ministerio de Economía y Finanzas Públicas (MEFP) 
Banco Central de Bolivia (BCB) 
</t>
  </si>
  <si>
    <t xml:space="preserve">Viceministerio del Tesoro y Crédito Público (VTCP)
Asesoría de Política Económica (APEC)
</t>
  </si>
  <si>
    <t xml:space="preserve">
Dirección General de Análisis y Politicas Fiscales (DGAPF) 
Subgerencia del Sector Monetario y Fiscal  (SMF) y Subgerencia del Sector Externo (SEXT)
</t>
  </si>
  <si>
    <t xml:space="preserve">
591-2183333
591-2409090  
</t>
  </si>
  <si>
    <t>Pendiente</t>
  </si>
  <si>
    <t>5.1.2</t>
  </si>
  <si>
    <t>5.1.136</t>
  </si>
  <si>
    <t>17.4 Ayudar a los países en desarrollo a lograr la sostenibilidad de la deuda a largo plazo con políticas coordinadas orientadas a fomentar la financiación, el alivio y la reestructuración de la deuda, según proceda, y hacer frente a la deuda externa de los países pobres muy endeudados a fin de reducir el endeudamiento excesivo</t>
  </si>
  <si>
    <t>17.4.1 Servicio de la deuda como porcentaje de las exportaciones de bienes y servicios</t>
  </si>
  <si>
    <t>Saldo de la deuda pública total como porcentaje del PIB</t>
  </si>
  <si>
    <t>Deuda Externa (acreedor, deudor)
Deuda Interna (público, privado)</t>
  </si>
  <si>
    <t>Mide la relación entre el saldo de la deuda pública total y el Producto Interno Bruto.</t>
  </si>
  <si>
    <t xml:space="preserve">Saldo de la deuda pública total /Producto Interno Bruto
 </t>
  </si>
  <si>
    <t xml:space="preserve">Saldo de deuda pública total
</t>
  </si>
  <si>
    <t>Banco Central de Bolivia y Ministerio de Economía y Finanzas Públicas</t>
  </si>
  <si>
    <t>Producto Interno Bruto</t>
  </si>
  <si>
    <t xml:space="preserve">Instituto Nacional de Estadística
 </t>
  </si>
  <si>
    <t xml:space="preserve">Serie 2000-2017
</t>
  </si>
  <si>
    <t>050113611</t>
  </si>
  <si>
    <t>BCB-MEFP-INE</t>
  </si>
  <si>
    <t>Banco Central de Bolivia 
Ministerio de Economía y Finanzas Públicas
Instituto Nacional de Estadistica</t>
  </si>
  <si>
    <t xml:space="preserve">Registro en el Sistema de Gestión y Análisis de Deuda del BCB y MEFP
Cuentas Nacionales
</t>
  </si>
  <si>
    <t>Saldo de Deuda Total: mensual
 PIB: Anual</t>
  </si>
  <si>
    <t>Saldo de Deuda Pública Total
Producto Interno Bruto</t>
  </si>
  <si>
    <t xml:space="preserve">Ministerio de Economía y Finanzas Públicas (MEFP)
Banco Central de Bolivia (BCB) 
Instituto Nacional de Estadistica (INE)  </t>
  </si>
  <si>
    <t>Viceministerio del Tesoro y Crédito Público (VTCP)
Gerencia de Operaciones Internacionales (GOI)
Cuentas Nacionales</t>
  </si>
  <si>
    <t>Dirección General de Crédito Público (DGCP)
Departamento de Deuda Externa
Cuentas Nacionales</t>
  </si>
  <si>
    <t>591 (2183333)
591 (2409090)
591 (2222333)</t>
  </si>
  <si>
    <t xml:space="preserve">Servicio de la deuda externa como porcentaje de las exportaciones </t>
  </si>
  <si>
    <t xml:space="preserve">Servicio de la Deuda (amortización del capital, intereses, comisiones, exportaciones de bienes y servicios)
 </t>
  </si>
  <si>
    <t>Mide la relación entre el servicio de la deuda externa (capital más intereses) y las Exportaciones de bienes y servicios</t>
  </si>
  <si>
    <t>Servicio de la deuda externa/Exportaciones de bienes y servicios</t>
  </si>
  <si>
    <t>Servicio de la deuda externa</t>
  </si>
  <si>
    <t>Banco Central de Bolivia</t>
  </si>
  <si>
    <t>Exportaciones de Bienes y Servicios</t>
  </si>
  <si>
    <t xml:space="preserve">Banco Central de Bolivia
 </t>
  </si>
  <si>
    <t xml:space="preserve">Serie 1996-2017
</t>
  </si>
  <si>
    <t>BCB</t>
  </si>
  <si>
    <t xml:space="preserve">Banco Central de Bolivia 
</t>
  </si>
  <si>
    <t xml:space="preserve">Registro en el Sistema de Gestión y Análisis de Deuda del BCB
</t>
  </si>
  <si>
    <t xml:space="preserve">Servicio de la Deuda Externa: Mensual
Exportaciones: Trimestral
</t>
  </si>
  <si>
    <t>1996-2017</t>
  </si>
  <si>
    <t>Servicio de la Deuda Externa Pública
Exportaciones</t>
  </si>
  <si>
    <t xml:space="preserve">Banco Central de Bolivia (BCB) </t>
  </si>
  <si>
    <t>Asesoría de Politica Económica (APEC)
Gerencia de Operaciones Internacionales (GOI)</t>
  </si>
  <si>
    <t>Departamento de Deuda Externa
Departamento de Balanza de Pagos</t>
  </si>
  <si>
    <t>591 (2409090)</t>
  </si>
  <si>
    <t>5.1.3</t>
  </si>
  <si>
    <t>5.1.137</t>
  </si>
  <si>
    <t xml:space="preserve">No Disponible </t>
  </si>
  <si>
    <t xml:space="preserve">Número de agencias multilaterales y/o bilaterales de cooperación con las que se ha suscrito convenios de financiamiento externo 
</t>
  </si>
  <si>
    <t>número</t>
  </si>
  <si>
    <t>Número de agencias multilaterales y/o bilaterales de cooperación  respecto a la linea base, con las que se ha suscrito convenios de financiamiento externo</t>
  </si>
  <si>
    <t xml:space="preserve"> =(Nro de agencias con las que se ha suscrito convencios de financiamiento externo a la fecha - Nro de agencias 2015)</t>
  </si>
  <si>
    <t>Nro de agencias con las que se ha suscrito convencios de financiamiento externo a la fecha*
*Minuendo en vez de numerador</t>
  </si>
  <si>
    <t>Mministerio de Planificación del Desarrollo - Viceministerio de Inversión Pública y Financiamiento Externo</t>
  </si>
  <si>
    <t>1990-2018</t>
  </si>
  <si>
    <t>MPD - VIPFE</t>
  </si>
  <si>
    <t>Ministerio de Planificación del Desarrollo - Viceministerio de Inversión Pública y Financiamiento Externo</t>
  </si>
  <si>
    <t>Agencias de Cooperación Multilateral, Bilateral y Privados</t>
  </si>
  <si>
    <t xml:space="preserve">Ministerio de Planificación del Desarrollo - MPD </t>
  </si>
  <si>
    <t>Viceministerio de Inversión Pública y Financiamiento Externo - VIPFE</t>
  </si>
  <si>
    <t>Dirección General de Gestión de Financiamiento Externo - Unidad Operativa del Financiamiento</t>
  </si>
  <si>
    <t>2189000 
-interno 830 - 840</t>
  </si>
  <si>
    <t>pendiente</t>
  </si>
  <si>
    <t>0502</t>
  </si>
  <si>
    <t>Sistema financiero para el desarrollo integral.</t>
  </si>
  <si>
    <t>5.2.1</t>
  </si>
  <si>
    <t>5.2.138</t>
  </si>
  <si>
    <t>Finanzas para el Desarrollo</t>
  </si>
  <si>
    <t>Inclusión</t>
  </si>
  <si>
    <t>MEyFP - ASFI</t>
  </si>
  <si>
    <t>9.3 Aumentar el acceso de las pequeñas industrias y otras empresas, particularmente en los países en desarrollo, a los servicios financieros, incluidos créditos asequibles, y su integración en las cadenas de valor y los mercados</t>
  </si>
  <si>
    <t>Respecto al indicador se cuenta con el dato de industrias a pequeña escala que han obtenido un préstamo. Pero no así con el universo de empresas en posibilidad de acceder a un prestamo</t>
  </si>
  <si>
    <t>No es posible vincularlo</t>
  </si>
  <si>
    <t>Indicador de cumplimiento al Nivel mínimo de Cartera Observado en Bancos Múltiples</t>
  </si>
  <si>
    <t>Niv.Cartera Observado (Banco Múltiple)=                        *Cartera del Sector Productivo                 *Cartera de Vivienda de Interes Social                    *Cartera Total</t>
  </si>
  <si>
    <t>En Porcentaje</t>
  </si>
  <si>
    <t>MEFP</t>
  </si>
  <si>
    <t>No se tiene observaciones a la fuente de datos</t>
  </si>
  <si>
    <t>Base de Datos ASFI</t>
  </si>
  <si>
    <t xml:space="preserve">*Niv.Cartera Observado(Banco Múltiple)   *Niv.Cartera Meta(Banco Múltiple) </t>
  </si>
  <si>
    <t>13,83pp</t>
  </si>
  <si>
    <t>5,27pp</t>
  </si>
  <si>
    <t>10,75pp</t>
  </si>
  <si>
    <t>Indicador de cumplimiento al Nivel mínimo de Cartera Observado en Bancos PYME</t>
  </si>
  <si>
    <t>Niv.Cartera Observado (Banco PYME)=                        *Cartera del Sector Productivo                                  *Cartera Total</t>
  </si>
  <si>
    <t xml:space="preserve">*Niv.Cartera Observado(Banco PYME)   *Niv.Cartera Meta(Banco PYME) </t>
  </si>
  <si>
    <t>10,44pp</t>
  </si>
  <si>
    <t>1,66pp</t>
  </si>
  <si>
    <t>8,92pp</t>
  </si>
  <si>
    <t>Indicador de cumplimiento al Nivel mínimo de Cartera Observado en Entidades Financieras de Vivienda</t>
  </si>
  <si>
    <t>Niv.Cartera Observado (Banco Entidades Financieras de Vivienda (EFV))=                                     *Cartera de Vivienda de Interes Social                    *Cartera Total</t>
  </si>
  <si>
    <t xml:space="preserve">*Niv.Cartera Observado (EFV)   *Niv.Cartera Meta(EFV) </t>
  </si>
  <si>
    <t>25,6pp</t>
  </si>
  <si>
    <t>6,98pp</t>
  </si>
  <si>
    <t>19,23pp</t>
  </si>
  <si>
    <t>Indicador de cumplimiento a la Cobertura en Servicios Financieros</t>
  </si>
  <si>
    <t xml:space="preserve">Número de Municipios con Cobertura en Sevicios Financieros               Total de Municipios:339      </t>
  </si>
  <si>
    <t>En cantidad de Municipios</t>
  </si>
  <si>
    <t xml:space="preserve">
Un municipio tendrá cobertura geográfica de servicios financieros si en el mismo existe instalado, al menos, un Punto de Atención Financiera (PAF). Se entenderá por punto de atención financiera al espacio físico habilitado por las Entidades de Intermediación Financiera para la prestación de servicios financieros, según lo establecido en la normativa regulatoria de la Autoridad de Supervisión del Sistema Financiero ASFI, correspondiendo tales a:
a) Oficinas centrales; b) Sucursales; c) Agencias fijas; d) Agencias móviles; e) Locales compartidos; f) Oficinas externas; g) Puntos corresponsales financieros; h) Puntos corresponsales no financieros;
i) Oficinas feriales con atención recurrente; j) Otras establecidas por la ASFI. 
</t>
  </si>
  <si>
    <t>Meta que estará en función a lo etsablecido en el DS N°3033 del 28 de diciembre de 2016. *Niv.Cartera Meta(Banco Múltiple)                        2015: 42.80%
2016: 48.54% 
2017: 54.27%</t>
  </si>
  <si>
    <t>Numero de Municipios con cobertura en Servicios Financieros</t>
  </si>
  <si>
    <t>26,91pp</t>
  </si>
  <si>
    <t>0pp</t>
  </si>
  <si>
    <t>7,96pp</t>
  </si>
  <si>
    <t>0503</t>
  </si>
  <si>
    <t>Inversión Extranjera Socia</t>
  </si>
  <si>
    <t>5.3.1</t>
  </si>
  <si>
    <t>5.3.139</t>
  </si>
  <si>
    <t>Inversión Extranjera</t>
  </si>
  <si>
    <t>IED</t>
  </si>
  <si>
    <t xml:space="preserve">Inversión Extranjera Directa en Sociedades Estatales Mixtas </t>
  </si>
  <si>
    <t xml:space="preserve">Participación de la Inversión Extranjera Directa en Sociedades Estatales Mixtas, con relación a la IED total 
</t>
  </si>
  <si>
    <t xml:space="preserve">Igual al cociente entre el saldo de la IED en sociedades estales mixtas/saldo de IED total  x 100
</t>
  </si>
  <si>
    <t xml:space="preserve">saldo de IED en sociedades estales mixtas
</t>
  </si>
  <si>
    <t>Saldo de IED total</t>
  </si>
  <si>
    <t>2010 - 2017</t>
  </si>
  <si>
    <t>Registro de Inversión Extranjera y Operaciones Financieras con el Exterior (RIOF)</t>
  </si>
  <si>
    <t>2006 - 2017</t>
  </si>
  <si>
    <t>80% y 90%</t>
  </si>
  <si>
    <t>Banco Central de Bolivia (BCB)</t>
  </si>
  <si>
    <t>Asesoría de Política Económica</t>
  </si>
  <si>
    <t>Asesoría de Política Económica - Subgerencia del Sector Externo</t>
  </si>
  <si>
    <t>2662301
 - 2662202</t>
  </si>
  <si>
    <t>trimestral</t>
  </si>
  <si>
    <t>Inversión Extranjera Social</t>
  </si>
  <si>
    <t>5.3.2</t>
  </si>
  <si>
    <t>5.3.140</t>
  </si>
  <si>
    <t>10.b Fomentar la asistencia oficial para el desarrollo y las corrientes financieras, incluida la inversión extranjera directa, para los Estados con mayores necesidades, en particular los países menos adelantados, los países africanos, los pequeños Estados insulares en desarrollo y los países en desarrollo sin litoral, en consonancia con sus planes y programas nacionales</t>
  </si>
  <si>
    <t>10.b.1 Corriente total de recursos para el desarrollo, desglosada por país receptor y país donante y el tipo de corriente (por ejemplo, asistencia oficial para el desarrollo, inversión extranjera directa y otras corrientes)</t>
  </si>
  <si>
    <t>parcial</t>
  </si>
  <si>
    <t>Inversión Extranjera Directa con relación al PIB</t>
  </si>
  <si>
    <t>Indicador que mide la reIación entre la Inversión Extranjera Directa y el PIB</t>
  </si>
  <si>
    <t>IED/PIB x 100</t>
  </si>
  <si>
    <t>IED BRUTA</t>
  </si>
  <si>
    <t>PIB en USD</t>
  </si>
  <si>
    <t>Instituto Nacional de Estadística y Banco Central de Bolivia</t>
  </si>
  <si>
    <t>BCB, INE</t>
  </si>
  <si>
    <t>Banco Central de Bolivia e Instituto Nacional de Estadística</t>
  </si>
  <si>
    <t xml:space="preserve">Registro de Inversión Extranjera y Operaciones Financieras con el Exterior (RIOF)
Cuentas Nacionales </t>
  </si>
  <si>
    <t xml:space="preserve"> Entre 80% y 90%.      </t>
  </si>
  <si>
    <t>IED 
PIB</t>
  </si>
  <si>
    <t>Banco Central de Bolivia 
Instituto Nacional de Estadística</t>
  </si>
  <si>
    <t xml:space="preserve">Asesoría de Política Económica
Departamento de Cuentas Nacionales
</t>
  </si>
  <si>
    <t xml:space="preserve">Asesoría de Política Económica - Subgerencia del Sector Externo
Departamento de Cuentas Nacionales
</t>
  </si>
  <si>
    <t>BCB - 2662301
 - 2662202
INE- 2222333</t>
  </si>
  <si>
    <t>0504</t>
  </si>
  <si>
    <t>Triplicar las Reservas Financieras Internacionales.</t>
  </si>
  <si>
    <t>5.4.1</t>
  </si>
  <si>
    <t>5.4.141</t>
  </si>
  <si>
    <t>Reservas Financieras</t>
  </si>
  <si>
    <t>REFI</t>
  </si>
  <si>
    <t>Reservas Financieras Internacionale</t>
  </si>
  <si>
    <t xml:space="preserve">RIN, Oro Monetario, Producto Interno Bruto PIB  </t>
  </si>
  <si>
    <t xml:space="preserve">Las reservas financieras muestran la solvencia y liquidez para atender la demanda regular de divisas en las transacciones internas de la economía y en las relaciones del estado con el exterior, incluyendo la provisión de recursos para el financiamiento de programas y proyectos estratégicos incluidos en el Plan. </t>
  </si>
  <si>
    <t xml:space="preserve">Reservas Internacionales Netas del BCB menos el Oro Monetario en dólares  </t>
  </si>
  <si>
    <t xml:space="preserve">Producto Interno Bruto a precios corrientes en dólares </t>
  </si>
  <si>
    <t>INE-BCB</t>
  </si>
  <si>
    <t xml:space="preserve">RIN diario y PIB trimestral </t>
  </si>
  <si>
    <t>2000-2018  ejecutado a marzo RIN  y PIB 2000-2017</t>
  </si>
  <si>
    <t>Los datos que corresponden a "Variacion al 2016,2017" representan Puntos Porcentuales.</t>
  </si>
  <si>
    <t xml:space="preserve">Asesoría de Política Económica del BCB </t>
  </si>
  <si>
    <t>Lic. Raul Mendoza Patiño 2662301</t>
  </si>
  <si>
    <t>-15,60pp</t>
  </si>
  <si>
    <t>-10pp</t>
  </si>
  <si>
    <t>-12pp</t>
  </si>
  <si>
    <t>-16pp</t>
  </si>
  <si>
    <t>0505</t>
  </si>
  <si>
    <t>Mercados justos.</t>
  </si>
  <si>
    <t>5.5.1</t>
  </si>
  <si>
    <t>5.5.142</t>
  </si>
  <si>
    <t>Mercados Justos</t>
  </si>
  <si>
    <t>2.c Adoptar medidas para asegurar el buen funcionamiento de los mercados de productos básicos alimentarios y sus derivados y facilitar el acceso oportuno a la información sobre los mercados, incluso sobre las reservas de alimentos, a fin de ayudar a limitar la extrema volatilidad de los precios de los alimentos</t>
  </si>
  <si>
    <t>2.c.1* Indicador de anomalías en los precios (de los alimentos)</t>
  </si>
  <si>
    <t>Participación del volumen de producción del cultivo de trigo en el mercado interno</t>
  </si>
  <si>
    <t>Corresponde a la participación porcentual del volumen de producción nacional del cultivo de trigo respecto de la suma del consumo intermedio, consumo final, variación de existencias y perdidas post cosecha (mercado interno)</t>
  </si>
  <si>
    <t>Volumen de producción del cultivo de trigo del j - esimo año</t>
  </si>
  <si>
    <t>Instituto Nacional de Estadística y Observatorio Agroambiental y Productivo</t>
  </si>
  <si>
    <t>Suma del consumo intermedio, consumo final, variación de existencias y perdidas post cosecha del cultivo de trigo del j - esimo año</t>
  </si>
  <si>
    <t>Instituto Nacional de Estadística</t>
  </si>
  <si>
    <t>Encuesta, censo y registros administrativos</t>
  </si>
  <si>
    <t>Se dispone las variables de producción, importaciones, exportaciones, consumo intermedio, consumo final, variación de existencias y perdidas post cosecha del cultivo de trigo</t>
  </si>
  <si>
    <t>Producción, importaciones, consumo intermedio, consumo final, exportaciones y variación de existencias</t>
  </si>
  <si>
    <t xml:space="preserve">Ministerio de Planificación del Desarrollo </t>
  </si>
  <si>
    <t>Instituto Nacional de Estadísticas - INE</t>
  </si>
  <si>
    <t>-1pp</t>
  </si>
  <si>
    <t>4,24pp</t>
  </si>
  <si>
    <t>Participación del volumen de producción del cultivo de arroz en el mercado interno</t>
  </si>
  <si>
    <t>Corresponde a la participación porcentual del volumen de producción nacional del cultivo de arroz respecto de la suma del consumo intermedio, consumo final, variación de existencias y perdidas post cosecha (mercado interno)</t>
  </si>
  <si>
    <t>Volumen de producción del cultivo de arroz del j - esimo año</t>
  </si>
  <si>
    <t>Suma del consumo intermedio, consumo final, variación de existencias y perdidas post cosecha del cultivo de arroz del j - esimo año</t>
  </si>
  <si>
    <t>Se dispone las variables de producción, importaciones, exportaciones, consumo intermedio, consumo final, variación de existencias y perdidas post cosecha del cultivo de arroz</t>
  </si>
  <si>
    <t>-0,02pp</t>
  </si>
  <si>
    <t>5.5.143</t>
  </si>
  <si>
    <t>Participación del volumen de producción del cultivo de maíz duro y blando en el mercado interno</t>
  </si>
  <si>
    <t>Corresponde a la participación porcentual del volumen de producción nacional del cultivo de maíz duro y blando respecto de la suma del consumo intermedio, consumo final,  variación de existencias y perdidas post cosecha (mercado interno)</t>
  </si>
  <si>
    <t>Volumen de producción del cultivo de maíz duro y blando del j - esimo año</t>
  </si>
  <si>
    <t>Suma del consumo intermedio, consumo final, variación de existencias y perdidas post cosecha del cultivo de maíz duro y blando del j - esimo año</t>
  </si>
  <si>
    <t>Se dispone las variables de producción, importaciones, exportaciones, consumo intermedio, consumo final, variación de existencias y perdidas post cosecha del cultivo de maíz duro y blando</t>
  </si>
  <si>
    <t>-6,69pp</t>
  </si>
  <si>
    <t>-1,85pp</t>
  </si>
  <si>
    <t>5.5.144</t>
  </si>
  <si>
    <t>Participación del volumen de producción del cultivo de quinua en el mercado interno</t>
  </si>
  <si>
    <t>Corresponde a la participación porcentual del volumen de producción nacional del cultivo de quinua respecto de la suma del consumo intermedio, consumo final, variación de existencias y perdidas post cosecha (mercado interno)</t>
  </si>
  <si>
    <t>Volumen de producción del cultivo de quinua del j - esimo año</t>
  </si>
  <si>
    <t>Suma del consumo intermedio, consumo final, variación de existencias y perdidas post cosecha del cultivo de quinua del j - esimo año</t>
  </si>
  <si>
    <t>Se dispone las variables de producción, importaciones, exportaciones, consumo intermedio, consumo final, variación de existencias y perdidas post cosecha del cultivo de quinua</t>
  </si>
  <si>
    <t>-1,80pp</t>
  </si>
  <si>
    <t>-2,15pp</t>
  </si>
  <si>
    <t>Participación del volumen de producción del cultivo de sorgo en el mercado interno</t>
  </si>
  <si>
    <t>Corresponde a la participación porcentual del volumen de producción nacional del cultivo de sorgo respecto de la suma del consumo intermedio, consumo final, variación de existencias y perdidas post cosecha (mercado interno)</t>
  </si>
  <si>
    <t>Volumen de producción del cultivo de sorgo del j - esimo año</t>
  </si>
  <si>
    <t>Suma del consumo intermedio, consumo final, variación de existencias y perdidas post cosecha del cultivo de sorgo del j - esimo año</t>
  </si>
  <si>
    <t>Se dispone las variables de producción, importaciones, exportaciones, consumo intermedio, consumo final, variación de existencias y perdidas post cosecha del cultivo de sorgo</t>
  </si>
  <si>
    <t>Participación del volumen de producción de los cultivos de haba, arveja, frijol, garbanzo, poroto y otros en el mercado interno</t>
  </si>
  <si>
    <t>Corresponde a la participación porcentual del volumen de producción nacional de los  cultivos de haba, arveja, frijol, garbanzo, poroto y otros, respecto de la suma del consumo intermedio, consumo final, variación de existencias y perdidas post cosecha (mercado interno)</t>
  </si>
  <si>
    <t>Volumen de producción de los cultivos de haba, arveja, frijol, garbanzo, poroto y otros del j - esimo año</t>
  </si>
  <si>
    <t>Suma del consumo intermedio, consumo final, variación de existencias y perdidas post cosecha de los cultivos de haba, arveja, frijol, garbanzo, poroto y otros del j - esimo año</t>
  </si>
  <si>
    <t>Se dispone las variables de producción, importaciones, exportaciones, consumo intermedio, consumo final, variación de existencias y perdidas post cosecha de los cultivos de  haba, arveja, frijol, garbanzo, poroto y otros</t>
  </si>
  <si>
    <t>Participación del volumen de producción de los cultivos de  cebolla, zanahoria, ajo, rábano y otros en el mercado interno</t>
  </si>
  <si>
    <t>Corresponde a la participación porcentual del volumen de producción nacional de los cultivos de cebolla, zanahoria, ajo, rábano y otros respecto de la suma del consumo intermedio, consumo final, variación de existencias y perdidas post cosecha (mercado interno)</t>
  </si>
  <si>
    <t>Volumen de producción de los cultivos de cebolla, zanahoria, ajo, rábano y otros del j - esimo año</t>
  </si>
  <si>
    <t>Suma del consumo intermedio, consumo final, variación de existencias y perdidas post cosecha de los cultivos de cebolla, zanahoria, ajo, rábano y otros del j - esimo año</t>
  </si>
  <si>
    <t>Se dispone las variables de producción, importaciones, exportaciones, consumo intermedio, consumo final, variación de existencias y perdidas post cosecha de los cultivos de cebolla, zanahoria, ajo, rábano y otros</t>
  </si>
  <si>
    <t>Participación del volumen de producción de los cultivos de   lechuga, repollo, coliflor, brócoli y otros en el mercado interno</t>
  </si>
  <si>
    <t>Corresponde a la participación porcentual del volumen de producción nacional de los cultivos de lechuga, repollo, coliflor, brócoli y otros respecto de la suma del consumo intermedio, consumo final, variación de existencias y perdidas post cosecha (mercado interno)</t>
  </si>
  <si>
    <t>Volumen de producción de los cultivos de lechuga, repollo, coliflor, brócoli y otros del j - esimo año</t>
  </si>
  <si>
    <t>Suma del consumo intermedio, consumo final, variación de existencias y perdidas post cosecha de los cultivos de lechuga, repollo, coliflor, brócoli y otros del j - esimo año</t>
  </si>
  <si>
    <t>Se dispone las variables de producción, importaciones, exportaciones, consumo intermedio, consumo final, variación de existencias y perdidas post cosecha de los cultivos de lechuga, repollo, coliflor, brócoli y otros</t>
  </si>
  <si>
    <t>Participación del volumen de producción de los cultivos de  tomate, pepino, zapallo, ají, locoto, maíz choclo y otros en el mercado interno</t>
  </si>
  <si>
    <t>Corresponde a la participación porcentual del volumen de producción nacional de los cultivos de tomate, pepino, zapallo, ají, locoto, maíz choclo y otros respecto de la suma del consumo intermedio, consumo final, variación de existencias y perdidas post cosecha (mercado interno)</t>
  </si>
  <si>
    <t>Volumen de producción de los cultivos de tomate, pepino, zapallo, ají, locoto, maíz choclo y otros del j - esimo año</t>
  </si>
  <si>
    <t>Suma del consumo intermedio, consumo final, variación de existencias y perdidas post cosecha de los cultivos de tomate, pepino, ají, locoto, maíz choclo y otros del j - esimo año</t>
  </si>
  <si>
    <t>Se dispone las variables de producción, importaciones, exportaciones, consumo intermedio, consumo final, variación de existencias y perdidas post cosecha de los cultivos de tomate, pepino, ají, locoto, maíz choclo y otros</t>
  </si>
  <si>
    <t>Participación del volumen de producción del cultivo de  papa, tunta y chuño en el mercado interno</t>
  </si>
  <si>
    <t>Corresponde a la participación porcentual del volumen de producción nacional del cultivo de papa, tunta y chuño respecto de la suma del consumo intermedio, consumo final, variación de existencias y perdidas post cosecha (mercado interno)</t>
  </si>
  <si>
    <t>Volumen de producción del cultivo de papa, tunta y chuño del j - esimo año</t>
  </si>
  <si>
    <t>Suma del consumo intermedio, consumo final, variación de existencias y perdidas post cosecha del cultivo de papa, tunta y chuño del j - esimo año</t>
  </si>
  <si>
    <t>Se dispone las variables de producción, importaciones, exportaciones, consumo intermedio, consumo final, variación de existencias y perdidas post cosecha del cultivo de  papa, tunta y chuño</t>
  </si>
  <si>
    <t>Participación del volumen de producción de los cultivos de alfalfa, avena berza, sorgo forrajero y otros en el mercado interno</t>
  </si>
  <si>
    <t>Corresponde a la participación porcentual del volumen de producción nacional de los cultivos de alfalfa, avena berza, sorgo forrajero y otros respecto de la suma del consumo intermedio, consumo final, variación de existencias y perdidas post cosecha (mercado interno)</t>
  </si>
  <si>
    <t>Volumen de producción de los cultivos de alfalfa, avena berza, sorgo forrajero y otros del j - esimo año</t>
  </si>
  <si>
    <t>Suma del consumo intermedio, consumo final, variación de existencias y perdidas post cosecha de los cultivos de alfalfa, avena berza, sorgo forrajero y otros del j - esimo año</t>
  </si>
  <si>
    <t>Se dispone las variables de producción, importaciones, exportaciones, consumo intermedio, consumo final, variación de existencias y perdidas post cosecha de los cultivos de alfalfa, avena berza, sorgo forrajero y otros</t>
  </si>
  <si>
    <t>Participación del volumen de producción del cultivo de  caña de azúcar en el mercado interno</t>
  </si>
  <si>
    <t>Corresponde a la participación porcentual del volumen de producción nacional del cultivo de caña de azúcar respecto de la suma del consumo intermedio, consumo final, variación de existencias y perdidas post cosecha (mercado interno)</t>
  </si>
  <si>
    <t>Volumen de producción del cultivo de caña de azúcar del j - esimo año</t>
  </si>
  <si>
    <t>Suma del consumo intermedio, consumo final, variación de existencias y perdidas post cosecha del cultivo de caña de azúcar del j - esimo año</t>
  </si>
  <si>
    <t>Se dispone las variables de producción, importaciones, exportaciones, consumo intermedio, consumo final, variación de existencias y perdidas post cosecha del cultivo de caña de azúcar</t>
  </si>
  <si>
    <t>Participación del volumen de producción de ganado bovino en el mercado interno</t>
  </si>
  <si>
    <t>Corresponde a la participación porcentual del volumen de producción nacional de ganado bovino respecto de la suma del consumo intermedio, consumo final, formación bruta de capital fijo y variación de existencias (mercado interno)</t>
  </si>
  <si>
    <t>Volumen de producción de ganado bovino del j - esimo año</t>
  </si>
  <si>
    <t>Suma del consumo intermedio, consumo final, formación bruta de capital  y variación de existencias del ganado bovino del j - esimo año</t>
  </si>
  <si>
    <t>Se dispone las variables de producción, importaciones, exportaciones, consumo intermedio, consumo final, formación bruta de capital fijo y  variación de existencias de ganado bovino</t>
  </si>
  <si>
    <t>Producción, importaciones, consumo intermedio, consumo final, formación bruta de capital fijo y variación de existencias</t>
  </si>
  <si>
    <t>05051421</t>
  </si>
  <si>
    <t>Participación del volumen de producción de ganado ovino en el mercado interno</t>
  </si>
  <si>
    <t>Corresponde a la participación porcentual del volumen de producción nacional de ganado ovino respecto de la suma del consumo intermedio, consumo final, formación bruta de capital fijo y variación de existencias (mercado interno)</t>
  </si>
  <si>
    <t>Volumen de producción de ganado ovino del j - esimo año</t>
  </si>
  <si>
    <t>Suma del consumo intermedio, consumo final, formación bruta de capital  y variación de existencias del ganado ovino del j - esimo año</t>
  </si>
  <si>
    <t>050514211</t>
  </si>
  <si>
    <t>Se dispone las variables de producción, importaciones, exportaciones, consumo intermedio, consumo final, formación bruta de capital fijo y  variación de existencias de ganado ovino</t>
  </si>
  <si>
    <t>Participación del volumen de producción de ganado caprino en el mercado interno</t>
  </si>
  <si>
    <t>Corresponde a la participación porcentual del volumen de producción nacional de ganado caprino respecto de la suma del consumo intermedio, consumo final, formación bruta de capital fijo y variación de existencias (mercado interno)</t>
  </si>
  <si>
    <t>Volumen de producción de ganado caprino del j - esimo año</t>
  </si>
  <si>
    <t>Suma del consumo intermedio, consumo final, formación bruta de capital  y variación de existencias del ganado caprino del j - esimo año</t>
  </si>
  <si>
    <t>Se dispone las variables de producción, importaciones, exportaciones, consumo intermedio, consumo final, formación bruta de capital fijo y  variación de existencias de ganado caprino</t>
  </si>
  <si>
    <t>Participación del volumen de producción de ganado porcino en el mercado interno</t>
  </si>
  <si>
    <t>Corresponde a la participación porcentual del volumen de producción nacional de ganado porcino respecto de la suma del consumo intermedio, consumo final, formación bruta de capital fijo y variación de existencias (mercado interno)</t>
  </si>
  <si>
    <t>Volumen de producción de ganado porcino del j - esimo año</t>
  </si>
  <si>
    <t>Suma del consumo intermedio, consumo final, formación bruta de capital  y variación de existencias del ganado porcino del j - esimo año</t>
  </si>
  <si>
    <t>Se dispone las variables de producción, importaciones, exportaciones, consumo intermedio, consumo final, formación bruta de capital fijo y  variación de existencias de ganado porcino</t>
  </si>
  <si>
    <t>Participación del volumen de producción de llamas en el mercado interno</t>
  </si>
  <si>
    <t>Corresponde a la participación porcentual del volumen de producción nacional de llamas respecto de la suma del consumo intermedio, consumo final, formación bruta de capital fijo y variación de existencias (mercado interno)</t>
  </si>
  <si>
    <t>Volumen de producción de  llamas del j - esimo año</t>
  </si>
  <si>
    <t>Suma del consumo intermedio, consumo final, formación bruta de capital  y variación de existencias de llamas del j - esimo año</t>
  </si>
  <si>
    <t>Se dispone las variables de producción, importaciones, exportaciones, consumo intermedio, consumo final, formación bruta de capital fijo y  variación de existencias de llamas</t>
  </si>
  <si>
    <t>Participación del volumen de producción de alpacas en el mercado interno</t>
  </si>
  <si>
    <t>Corresponde a la participación porcentual del volumen de producción nacional de alpacas respecto de la suma del consumo intermedio, consumo final, formación bruta de capital fijo y variación de existencias (mercado interno)</t>
  </si>
  <si>
    <t>Volumen de producción de alpacas del j - esimo año</t>
  </si>
  <si>
    <t>Suma del consumo intermedio, consumo final, formación bruta de capital  y variación de existencias de alpacas del j - esimo año</t>
  </si>
  <si>
    <t>Se dispone las variables de producción, importaciones, exportaciones, consumo intermedio, consumo final, formación bruta de capital fijo y  variación de existencias de alpacas</t>
  </si>
  <si>
    <t>Participación del volumen de producción de aves en el mercado interno</t>
  </si>
  <si>
    <t>Corresponde a la participación porcentual del volumen de producción nacional de aves respecto de la suma del consumo intermedio, consumo final, formación bruta de capital fijo y variación de existencias (mercado interno)</t>
  </si>
  <si>
    <t>Volumen de producción de  aves del j - esimo año</t>
  </si>
  <si>
    <t>Suma del consumo intermedio, consumo final, formación bruta de capital  y variación de existencias de aves del j - esimo año</t>
  </si>
  <si>
    <t>Se dispone las variables de producción, importaciones, exportaciones, consumo intermedio, consumo final, formación bruta de capital fijo y  variación de existencias de aves</t>
  </si>
  <si>
    <t>5.5.3</t>
  </si>
  <si>
    <t>Número de unidades económicas que comercializan productos con sello social boliviano.</t>
  </si>
  <si>
    <t>Área geográfica (departamento, provincia)</t>
  </si>
  <si>
    <t>Cuantificación de las unidades económicas que comercializan productos con sello social boliviano</t>
  </si>
  <si>
    <t>Suma del Numero de Unidades Económicas con sello social boliviano</t>
  </si>
  <si>
    <t>Registros de Autorización de uso del sello social boliviano de PROMUEVE BOLIVIA</t>
  </si>
  <si>
    <t>SSB</t>
  </si>
  <si>
    <t>Sistema de Registro SSB</t>
  </si>
  <si>
    <t>Provincial</t>
  </si>
  <si>
    <t xml:space="preserve">Unidades Economicos Productivas con Sello Social Boliviano.
Productos de la agricultura familiar sustentable
</t>
  </si>
  <si>
    <t xml:space="preserve">El SSB solamente es aplicable a los productos provenientes de la agricultura familiar sustentable.
Se disponen los datos a partir de Diciembre de 2017.
Actualmente se dispone de tres municipios registrados. </t>
  </si>
  <si>
    <t>VICEMINISTERIO DE COMERCIO INTERNO DEL MDPyEP</t>
  </si>
  <si>
    <t>VICEMINISTERIO DE COMERCIO INTERNO</t>
  </si>
  <si>
    <t>Unidad de Desarrollo y Promoción de Comercio Interno</t>
  </si>
  <si>
    <t>(591)22372054</t>
  </si>
  <si>
    <t xml:space="preserve">Número de familias  que comercializan productos ecológicos y orgánicos con sello ecológico boliviano </t>
  </si>
  <si>
    <t>Familias</t>
  </si>
  <si>
    <t>Cuantificación de las familias  que comercializan productos con sello ecologico boliviano</t>
  </si>
  <si>
    <t>UC-CNAPE                          SENASAG</t>
  </si>
  <si>
    <t>Unidad de Coordinacion Consejo Nacional de Produccion Ecologica UC-CNAPE                                                                             Servicio Nacional de Sanidad Agropecuaria e Inocuidad Alimentaria SENASAG</t>
  </si>
  <si>
    <t>Familias que comercializan Productos ecologicos  con Sello ecologico Boliviano.</t>
  </si>
  <si>
    <t xml:space="preserve">El UC CNAPE-SENASAG  es aplicable a los productos Ecologica producidos bajo la Norma Tecnica Nacional.
Registran la UC CNAPE y SENASAG </t>
  </si>
  <si>
    <t>MINISTERIO DE DESARROLLO RURAL Y TIERRAS                             MDRyT</t>
  </si>
  <si>
    <t>VICEMINISTERIO DE DESARROLLO RURAL Y AGROPECUARIO                                   VDRA</t>
  </si>
  <si>
    <t xml:space="preserve">(591)22414028                          (591)-3-46228105 </t>
  </si>
  <si>
    <t>5.5.4</t>
  </si>
  <si>
    <t>5.5.145</t>
  </si>
  <si>
    <t>N° de reclamaciones de Usuarios/as y Consumidores/as atendidas por los centros de defensa.</t>
  </si>
  <si>
    <t>Usuarios y Consumidores que acuden a Centros de  Atencion  del  VDDUC, para realizar reclamaciones en busca de una solucion inmediata</t>
  </si>
  <si>
    <t>Se cuentan con Datos desde Septiembre de 2015</t>
  </si>
  <si>
    <t>R.A.</t>
  </si>
  <si>
    <t>MJTI - VDDUC</t>
  </si>
  <si>
    <t xml:space="preserve">Trimestral </t>
  </si>
  <si>
    <t xml:space="preserve">Principales Ciudades Capitales de los Departamentos </t>
  </si>
  <si>
    <t xml:space="preserve">Usuarios y Consumidores finales. 
</t>
  </si>
  <si>
    <t>MJTI a traves del VDDUC es competente en el sector no regulado
Se cuenta con informacion fisica, pero no sistematizada.</t>
  </si>
  <si>
    <t xml:space="preserve"> Ministerio de Justicia y  Transparencia Institucional - MJTI</t>
  </si>
  <si>
    <t>Viceministerio de Defensa de los Derechos de las Usuarias, los Usuarios y de las Consumidoras y los Consumidores - VDDUC.</t>
  </si>
  <si>
    <t>Centro de Atencion al Usuario y  Consumidor</t>
  </si>
  <si>
    <t>2141040 Int. 1118</t>
  </si>
  <si>
    <t xml:space="preserve">N° de Reclamaciones solucionadas  
</t>
  </si>
  <si>
    <t xml:space="preserve">Reclamaciones solucionadas de los Usuarios y  Consumidores que acuden a los Centros de Atencion del Usuario y Consumidor.
    </t>
  </si>
  <si>
    <t xml:space="preserve">2017-Enero </t>
  </si>
  <si>
    <t>Datos desde Enero de 2017</t>
  </si>
  <si>
    <t>2017(Enero)-2018(Diciembre)</t>
  </si>
  <si>
    <t>Sector no regulado</t>
  </si>
  <si>
    <t>MJTI a traves del VDDUC es competente en el sector no regulado</t>
  </si>
  <si>
    <t xml:space="preserve">2017(Enero) </t>
  </si>
  <si>
    <t xml:space="preserve">N° de verificativos realizados
</t>
  </si>
  <si>
    <t xml:space="preserve">Total Usuarios y  Consumidores protegidos a traves de controles  realizados  a proveedores de productos y servicios. </t>
  </si>
  <si>
    <t xml:space="preserve">Sumatoria de Usuarios y  Consumidores protegidos a traves de controles  realizados  a proveedores de productos y servicios. </t>
  </si>
  <si>
    <t>Datos desde Septiembre de 2015</t>
  </si>
  <si>
    <t>2015 (sept.)-2017(Enero)</t>
  </si>
  <si>
    <t>0205</t>
  </si>
  <si>
    <t>El 100% de las bolivianas y los bolivianos acceden a viviendas dignas con servicios básicos.</t>
  </si>
  <si>
    <t>2.5.1</t>
  </si>
  <si>
    <t>2.5.70</t>
  </si>
  <si>
    <t>Vivienda</t>
  </si>
  <si>
    <t>11.1 De aquí a 2030, asegurar el acceso de todas las personas a viviendas y servicios básicos adecuados, seguros y asequibles y mejorar los barrios marginales</t>
  </si>
  <si>
    <t>11.1.1 Proporción de la población urbana que vive en barrios marginales, asentamientos improvisados o viviendas inadecuadas</t>
  </si>
  <si>
    <t xml:space="preserve">El déficit de vivienda aproxima la cantidad de hogares con carencia de vivienda o que habitan viviendas inadecuadas </t>
  </si>
  <si>
    <t>Deficit habitacional</t>
  </si>
  <si>
    <t>porcentaje</t>
  </si>
  <si>
    <t xml:space="preserve">Es la suma del déficit cuantitativo y déficit cualitativo. 
Déficit cuantitativo: proporción de hogares allegados y que habitan viviendas irrecuperales
Déficit cualitativo: proporcion de hogares que habitan en viviendas con carencias o insatisfacciones en servicos básicos y espacio disponble. </t>
  </si>
  <si>
    <t>Número de hogares con déficit cuantitativo y déficit cualitativo / Total de hogares * 100</t>
  </si>
  <si>
    <t>Número de hogares con déficit cuantitativo y déficit cualitativo</t>
  </si>
  <si>
    <t>Total de hogares</t>
  </si>
  <si>
    <t>Dato Preliminar del año 2017 actualizada hasta Marzo/2018.</t>
  </si>
  <si>
    <t>Encuestas</t>
  </si>
  <si>
    <t>Caracteristicas de la vivienda</t>
  </si>
  <si>
    <t>RInstituto Nacional de Estadística (INE)</t>
  </si>
  <si>
    <t>Dirección de Estadísticas e Indicadores Económicos y Sociales; 
Unidad de Estadísticas e Indicadores Sociales</t>
  </si>
  <si>
    <t>2222333 INT 147</t>
  </si>
  <si>
    <t>2.5.2</t>
  </si>
  <si>
    <t>2.5.71</t>
  </si>
  <si>
    <t>NO DISPONIBLE</t>
  </si>
  <si>
    <t>Número de viviendas nuevas construidas al 2020</t>
  </si>
  <si>
    <t>Número de viviendas</t>
  </si>
  <si>
    <t>Es el número de viviendas de dotación estatal construidas destinadas a población de menores ingresos, vulnerables del área rural y urbana, en el marco de Constitución Política del Estado Art. 19, que establece que toda persona tiene derecho a un hábitat y vivienda adecuada, que dignifique la vida familiar y comunitaria a través de planes, programas y proyectos del Gobierno Central en coordinación con las Entidades Territoriales Autónomas.</t>
  </si>
  <si>
    <t>N° de viviendas nuevas construidas</t>
  </si>
  <si>
    <t xml:space="preserve">Numero de viviendas nuevas construidas </t>
  </si>
  <si>
    <t>AEVIVIENDA</t>
  </si>
  <si>
    <t>Dato consolidado hasta la gestion 2017</t>
  </si>
  <si>
    <t>Agencia Estatal de Vivienda</t>
  </si>
  <si>
    <t xml:space="preserve">Nacional, </t>
  </si>
  <si>
    <t>Departamento- Municipio</t>
  </si>
  <si>
    <t>Las viviendas nuevas construidas son unifamiliares, multifamiliares y complejos habitacionales, asi como reposicion por atencion de desastres naturales, en area rural y area urbana.</t>
  </si>
  <si>
    <t>Existen varias modalidades de acceso para vivienda nueva</t>
  </si>
  <si>
    <t xml:space="preserve">AGENCIA ESTATAL DE VIVIENDA - AEVIVIENDA </t>
  </si>
  <si>
    <t>VICEMINISTERIO DE VIVIENDA Y URBANISMO - VMVU</t>
  </si>
  <si>
    <t>Dirección General de Vivienda y Urbanismo - DGVU</t>
  </si>
  <si>
    <t>2119999 int 404</t>
  </si>
  <si>
    <t>2.5.3</t>
  </si>
  <si>
    <t>2.5.72</t>
  </si>
  <si>
    <t>Número de viviendas mejoradas, ampliadas y/o renovadas al 2020</t>
  </si>
  <si>
    <t>Es el número de viviendas de dotación estatal mejoradas y ampliadas y/o ampliadas destinadas a población de menores ingresos, vulnerables y en condición de hacinamiento del área rural y urbana, en el marco de Constitución Política del Estado Art. 19, que establece que toda persona tiene derecho a un hábitat y vivienda adecuada, que dignifique la vida familiar y comunitaria a través de planes, programas y proyectos del Gobierno Central en coordinación con las Entidades Territoriales Autónomas.</t>
  </si>
  <si>
    <t xml:space="preserve">N° de viviendas mejoradas, ampliadas y/o renovadas </t>
  </si>
  <si>
    <t>Numero de viviendas mejoradas, ampliadas y/o renovadas</t>
  </si>
  <si>
    <t>Las viviendas mejoradas, ampliadas y/o renovadas, son bajo la modalidad de autoconstrucion asistida tanto en el area rural  y urbana</t>
  </si>
  <si>
    <t>Las viviendas son bajo la modalidad de autoconstruccion</t>
  </si>
  <si>
    <t>Porcentaje de hogares con vivienda propia</t>
  </si>
  <si>
    <t xml:space="preserve">Nacional, Departamental (Uniendo Beni y Pando, a partir de 2011), Urbano-Rural. </t>
  </si>
  <si>
    <t>El indicador identifica a los hogares con vivienda propia, como porcentaje del total de viviendas particulares con ocupantes presentes. La condición de tenencia de la vivienda comprende las categorías: a) propia y totalmente pagada; b) propia y la están pagando.</t>
  </si>
  <si>
    <t>Número de hogares con vivienda  i.
donde i es el tipo de tenencia:  a) propia y totalmente pagada; b) propia y la estan pagando</t>
  </si>
  <si>
    <t>Total de hogares en viviendas particulares</t>
  </si>
  <si>
    <t>Dato Preliminar del año 2017 actualizada hasta Marzo/2018.
Se utilizará como línea de base el dato 2016 debido a que el dato 2015 no presenta un comportamiento regular</t>
  </si>
  <si>
    <t>Porcentaje de hogares que habitan en viviendas inadecuadas</t>
  </si>
  <si>
    <t>El indicador identifica a los hogares que ocupan o habitan una vivienda inadecuada como porcentaje del total de viviendas particulares con ocupantes presentes. El tipo de vivienda inadecuada comprende: a) habitaciones sueltas; b) vivienda improvisada o vivienda móvil; c) Local no destinado para habitacion.</t>
  </si>
  <si>
    <t>Número de hogares con vivienda  i.
donde i es el tipo de vivienda: a) habitaciones sueltas; b) viviendas improvisadas o vivienda móvil; c) local no destinado para habitacion</t>
  </si>
  <si>
    <t xml:space="preserve">Instituto Nacional de Estadística (INE); 
</t>
  </si>
  <si>
    <t>Se ha avanzado sustancialmente en la reducción de la violencia escolar en centros educativos y en la erradicación de toda forma de abuso, agresión, acoso y violencia por discriminación y racismo en instituciones públicas, privadas y centros laborales.</t>
  </si>
  <si>
    <t>Número de unidades educativas que realizan eventos relacionados a la prevención de la violencia</t>
  </si>
  <si>
    <t>Es el número de unidades educativas que desarrollan eventos (talleres, ferias, charlas, reuniones) que contengan la temática de prevención de violencia</t>
  </si>
  <si>
    <t>UEE</t>
  </si>
  <si>
    <t xml:space="preserve">UEE: Undidades educativas que desarrollan eventos que contengan la temática de prevención de violencia </t>
  </si>
  <si>
    <t>---</t>
  </si>
  <si>
    <t>El dato presentado se registra de forma anual (no es acumulado) y debe interpretarse de la misma forma</t>
  </si>
  <si>
    <t>UPIIP - ME</t>
  </si>
  <si>
    <t>Unidad de Politicas de Intraculturalidad Interculturalidad y Plurilinguismo - Ministero de Edcuación</t>
  </si>
  <si>
    <t>Unidades Educativas que desarrollan eventos que contengan la temática de prevención de violencia</t>
  </si>
  <si>
    <t>Ministerio de Educación -ME</t>
  </si>
  <si>
    <t>Dirección General de Planificación - DGP</t>
  </si>
  <si>
    <t>Unidad de Politicas de Intraculturalidad Interculturalidad y Plurilinguismo - UPIIP</t>
  </si>
  <si>
    <t>(591) 2681200</t>
  </si>
  <si>
    <t>0303</t>
  </si>
  <si>
    <t>Acceso universal a la educación.</t>
  </si>
  <si>
    <t>3.3.94</t>
  </si>
  <si>
    <t>Educación</t>
  </si>
  <si>
    <t>M.Educación</t>
  </si>
  <si>
    <t xml:space="preserve">4.1 De aquí a 2030, asegurar que todas las niñas y todos los niños terminen la enseñanza primaria y secundaria, que ha de ser gratuita, equitativa y de calidad y producir resultados de aprendizaje pertinentes y efectivos
4.2 De aquí a 2030, asegurar que todas las niñas y todos los niños tengan acceso a servicios de atención y desarrollo en la primera infancia y educación preescolar de calidad, a fin de que estén preparados para la enseñanza primaria </t>
  </si>
  <si>
    <t>4.1.1 Porcentaje de niños/jóvenes: a) en los grados 2/3; b) al final de la enseñanza primaria; y c) al final de la enseñanza secundaria inferior, que han alcanzado al menos un nivel mínimo de competencia en: i) lectura y ii) matemáticas.
Desglose: por sexo, ubicación, recursos económicos (y otras características, donde se disponga de datos)
4.2.2 Tasa de participación en la enseñanza organizada (un año antes de la edad oficial de ingreso en la enseñanza primaria), desglosada por sexo</t>
  </si>
  <si>
    <t xml:space="preserve">Tasa de Asistencia de Educación Regular de 4 a 17 años </t>
  </si>
  <si>
    <t>PA: Población que asiste a la educación regular</t>
  </si>
  <si>
    <t>PT: Población de 4 a 17 años de edad</t>
  </si>
  <si>
    <t>El informe incorporará el dato de cobertura neta  2016 que proviene del  estudio "OPERATIVO PARA LA VALIDACIÓN DE LA INFORMACIÓN RECABADA POR EL SIE A TRAVÉS DEL RUDE Y ESTIMACIÓN DE LA COBERTURA DEL ESCOLAR"
La desagregación por edad contempla el rango de 4 a 17 años.</t>
  </si>
  <si>
    <t>Matriculación, Asistencia, Empleo, Salud, Ingresos, Pobreza</t>
  </si>
  <si>
    <t>Los factores de expansión  para serie 2011-2016 se actualizaron con el CNPV-2012</t>
  </si>
  <si>
    <t>4.1 De aquí a 2030, asegurar que todas las niñas y todos los niños terminen la enseñanza primaria y secundaria, que ha de ser gratuita, equitativa y de calidad y producir resultados de aprendizaje pertinentes y efectivos</t>
  </si>
  <si>
    <t>4.1.1 Porcentaje de niños/jóvenes: a) en los grados 2/3; b) al final de la enseñanza primaria; y c) al final de la enseñanza secundaria inferior, que han alcanzado al menos un nivel mínimo de competencia en: i) lectura y ii) matemáticas.
Desglose: por sexo, ubicación, recursos económicos (y otras características, donde se disponga de datos)</t>
  </si>
  <si>
    <t>Tasa de abandono escolar de 4 a 17 años de edad</t>
  </si>
  <si>
    <t>Departamental, Municipal, Urbano - Rural, Sexo, Dependencia (Público Privado),  Nivel Educativo</t>
  </si>
  <si>
    <t>Es el porcentaje de estudiantes que antes de finalizar la gestión escolar abandonaron el año de escolaridad en el cual se matricularon, en relación con el total de estudiantes matriculados en ese año de escolaridad.</t>
  </si>
  <si>
    <t>RA: Estudiantes retirados por abandono del año de escolaridad de 4 a 17 años</t>
  </si>
  <si>
    <t>PM: Estudiantes matriculados de 4 a 17 años de edad</t>
  </si>
  <si>
    <t>2000-2016</t>
  </si>
  <si>
    <t>SIE - ME</t>
  </si>
  <si>
    <t>Sistema de Información Educativa - Ministerio de Educación</t>
  </si>
  <si>
    <t>Población matriculada de 4 a 17 años de edad, en el Subsistema de Educación Regular</t>
  </si>
  <si>
    <t>Sistema de Información Educatiava - SIE</t>
  </si>
  <si>
    <t>(358) 2442144</t>
  </si>
  <si>
    <t>3.3.95</t>
  </si>
  <si>
    <t>4.6 De aquí a 2030, asegurar que todos los jóvenes y una proporción considerable de los adultos, tanto hombres como mujeres, estén alfabetizados y tengan nociones elementales de aritmética</t>
  </si>
  <si>
    <t xml:space="preserve">4.6.1 Proporción de población en un grupo de edad determinado que alcanza por lo menos un nivel fijo de competencia funcional en a) alfabetización y b) aritmética elemental, desglosado por sexo </t>
  </si>
  <si>
    <t>Personas jóvenes y adultas que concluyen el programa de post-alfabetización (6° de primaria)</t>
  </si>
  <si>
    <t>Es el número total de personas jóvenes y adultas de 15 o más años de edad que se gradúan del programa de post alfabetización en un periodo determinado</t>
  </si>
  <si>
    <t>PPA: Personas participantes de 15 años de edad o más graduadas del programa de post alfabetización</t>
  </si>
  <si>
    <t>El dato presentado es acumulado de forma anual y debe interpretarse de la misma forma</t>
  </si>
  <si>
    <t>PNP - ME</t>
  </si>
  <si>
    <t>Programa Nacional de Post Alfabetización - Ministerio de Educación</t>
  </si>
  <si>
    <t>Población no alfabetizada de 15 años o más que participa en el Programa de Post Alfabetización</t>
  </si>
  <si>
    <t>Ministerio de Educación - ME</t>
  </si>
  <si>
    <t>Dirección General de Post Alfabetización - DGPA</t>
  </si>
  <si>
    <t>Programa Nacional de Post Alfabetización - PNP</t>
  </si>
  <si>
    <t xml:space="preserve">Tasa de Alfabetismo de 15 a 24 años </t>
  </si>
  <si>
    <t>Sexo, Urbano-Rural, Departamental</t>
  </si>
  <si>
    <t>Población de 15 a 24 años alfabeta</t>
  </si>
  <si>
    <t>PA: Población alfabeta</t>
  </si>
  <si>
    <t>PT: Población de 15 a 24 años de edad</t>
  </si>
  <si>
    <t>La desagregación por edad contempla el rango de 15 a 24 años</t>
  </si>
  <si>
    <t>Alfabetismo,Matriculación, Asistencia, Empleo, Salud, Ingresos, Pobreza</t>
  </si>
  <si>
    <t xml:space="preserve">Tasa de Alfabetismo y nociones elementales Aritméticas de la población de 15 a 24 años </t>
  </si>
  <si>
    <t>Población de 15 a 24 años alfabetas y con habilidades en aritmética (es capaz de sumar y multiplicar números ya sea en papel o mentalmente)</t>
  </si>
  <si>
    <t>PAA: Población que sabe leer y escribir y es capaz de sumar y multiplicar números ya sea en papel o mentalmente</t>
  </si>
  <si>
    <t>La pregunta sobre alfabetismo en aritmetica se incluyo a partir del año 2016.
La desagregación por edad contempla el rango de 15 a 24 años</t>
  </si>
  <si>
    <t>3.3.4</t>
  </si>
  <si>
    <t>3.3.97</t>
  </si>
  <si>
    <t>4.3 De aquí a 2030, asegurar el acceso igualitario de todos los hombres y las mujeres a una formación técnica, profesional y superior de calidad, incluida la enseñanza universitaria</t>
  </si>
  <si>
    <t>4.3.1 Tasa de participación de los jóvenes y adultos en la enseñanza académica y no académica, y en la capacitación en los últimos 12 meses</t>
  </si>
  <si>
    <t xml:space="preserve">Tasa de matriculación en la educación superior  de 19 a 23 años </t>
  </si>
  <si>
    <t xml:space="preserve">Población de 19 a 23 años matriculada en educación superior </t>
  </si>
  <si>
    <t>PM: Población de 19 a 23 años matriculada/inscrita en la educación superior que incluye: Normal, universidad, postgrado, técnico de universidad, técnico de instituto (duración mayor o igual a 2 años), instituto de formación militar y policial</t>
  </si>
  <si>
    <t>PT:Población de 19 a 23 años de edad</t>
  </si>
  <si>
    <t>La desagregación por edad contempla el rango de 19 a 23 años.
Se incorporara las meta al 2020 de 50,1  propuesta por el ME, misma que se aclarará y justificará en el informe.</t>
  </si>
  <si>
    <t>Proporción de la población de 19 a 23 años con más de 12 años de estudio</t>
  </si>
  <si>
    <t>P+12E: Es el númro de personas de 19 a 23 años con más de 12 años de estudio</t>
  </si>
  <si>
    <t>PT: Población de 19 a 23 años de edad</t>
  </si>
  <si>
    <t>La desagregación por edad contempla el rango de 19 a 23 años</t>
  </si>
  <si>
    <t>3.3.5</t>
  </si>
  <si>
    <t>3.3.98</t>
  </si>
  <si>
    <t xml:space="preserve">Personas Matriculadas con 15 o más años de edad en educación alternativa técnica (EAT) </t>
  </si>
  <si>
    <t>Personas con 15 o más años de edad que acceden a educación  alternativa técnica</t>
  </si>
  <si>
    <t>EAT: Estuduantes matriculados con 15 o más años de edad en educación alternativa técnica</t>
  </si>
  <si>
    <t>Población matriculada de 15 o más años de edad en educación alternativa</t>
  </si>
  <si>
    <t>Información proveniente solo de Centros de Educación Alternativa</t>
  </si>
  <si>
    <t>3.3.6</t>
  </si>
  <si>
    <t>3.3.99</t>
  </si>
  <si>
    <t xml:space="preserve">Escuelas Bolivianas Interculturales para formación artística
</t>
  </si>
  <si>
    <t>Es el número Escuelas Bolivianas Interculturales creadas para la formación en áreas artísticas a nivel de licenciatura.</t>
  </si>
  <si>
    <t>NEBI: Número de Escuelas Bolivianas Interculturales para formación artística</t>
  </si>
  <si>
    <t>2011- 2017</t>
  </si>
  <si>
    <t>DGESTTLA - ME</t>
  </si>
  <si>
    <t>Dirección General de Educación Superior Técnica, Tecnológica, Lingüística y Artística - Ministerio de Educación</t>
  </si>
  <si>
    <t>Escuelas Bolivianas Interculturales creadas para formación artística</t>
  </si>
  <si>
    <t>Viceministerio de Educación Superior de Formación Profesional - VESFP</t>
  </si>
  <si>
    <t>Dirección General de Educación Superior Técnica, Tecnológica, Lingüística y Artística - DGESTTLA</t>
  </si>
  <si>
    <t>0304</t>
  </si>
  <si>
    <t>Fortalecimiento del sistema educativo.</t>
  </si>
  <si>
    <t>3.4.3</t>
  </si>
  <si>
    <t>3.4.103</t>
  </si>
  <si>
    <t>4.c De aquí a 2030, aumentar considerablemente la oferta de docentes calificados, incluso mediante la cooperación internacional para la formación de docentes en los países en desarrollo, especialmente los países menos adelantados y los pequeños Estados insulares en desarrollo</t>
  </si>
  <si>
    <t>4.c.1 Porcentaje de maestros en la enseñanza: a) preescolar; b) primaria; c) secundaria inferior y d) secundaria superior que han recibido al menos el mínimo de formación docente organizada (por ejemplo, formación pedagógica); requisitos de práctica previa a la docencia o durante su ejercicio para la enseñanza a un nivel dado en un país determinado.
Desglose: por sexo (y otras características, donde se disponga de datos)</t>
  </si>
  <si>
    <t>Tasa de maestros en ejercicio con formación Post-Gradual en la Universidad Pedagógica</t>
  </si>
  <si>
    <t xml:space="preserve">Porcentaje de maestros en ejercicio con formación Post-Gradual en la Universidad Pedagógica </t>
  </si>
  <si>
    <t>MPG: Número de maestros de dependencia pública en ejercicio que cuentan con formación Post-Gradual , con pertinencia en el marco del  modelo educativo</t>
  </si>
  <si>
    <t>MSEP:  Número de maestros de dependencia publica en ejercicio que forman parte del Sistema Educativo Plurinacional</t>
  </si>
  <si>
    <t>DGFM - ME</t>
  </si>
  <si>
    <t>Dirección General de Formación de Maestros - Ministerio de Educación</t>
  </si>
  <si>
    <t>Maestros en Ejercicio de dependencia pública</t>
  </si>
  <si>
    <t>Dirección General de Formación de Maestros - DGFM</t>
  </si>
  <si>
    <t>Unidad de Gestión de Personal del Sistema Educativo Plurinacional UGP - SEP</t>
  </si>
  <si>
    <t>Maestros titulados por el PROFOCOM</t>
  </si>
  <si>
    <t>Maestros titulados a nivel de licenciatura por el PROFOCOM en ejercicio formados para implementar el nuevo currículo (en el marco del Modelo Educativo Socio Comunitario Productivo MESCP).</t>
  </si>
  <si>
    <t>MF: Maestros titulados a nivel licenciatura por el PROFOCOM en ejercicio formados para implementar el nuevo currículo (en el marco del MESCP).</t>
  </si>
  <si>
    <t>UGP - SEP - ME</t>
  </si>
  <si>
    <t>Unidad de Gestión de Personal del Sistema Educativo Plurinacional - Ministerio de Educación</t>
  </si>
  <si>
    <t xml:space="preserve">Unidad de Gestión de Personal del Sistema Educativo Plurinacional </t>
  </si>
  <si>
    <t xml:space="preserve">Porcentaje de maestros con formación para el bachillerato técnico humanístico </t>
  </si>
  <si>
    <t>Porcentaje de maestros en ejercicio con formación para el bachillerato técnico humanístico que forman parte del Sistema Educativo Plurinacional</t>
  </si>
  <si>
    <t xml:space="preserve">MPG: Número de maestros de dependencia pública en ejercicio que cuentan con formación Post-Gradual </t>
  </si>
  <si>
    <t>Dirección General de Formación de Maestros-DGFM</t>
  </si>
  <si>
    <t>3.4.4</t>
  </si>
  <si>
    <t>3.4.104</t>
  </si>
  <si>
    <t>Porcentaje de unidades educativas que participan de las Olimpiadas Científicas Estudiantiles</t>
  </si>
  <si>
    <t>Es el porcentaje de unidades educativas del Subsitema de Educación Regular que participan en las olimpiadas cientificas en sus diferentes disciplinas</t>
  </si>
  <si>
    <t>UOCE: Es el número total de unidades educativas  del nivel primario y secundario del Subsistema de Eduación Regular que participan de las Olimpiadas Científicas Estudiantiles.</t>
  </si>
  <si>
    <t>UES: Es el número total de unidades educativas  del nivel  primario y secundario que forman parte del Subsistema de Educación Regular.</t>
  </si>
  <si>
    <t>El indicador no se puede desagregar por nivel educativo
No se ha definido una meta cuantitativa</t>
  </si>
  <si>
    <t>DGCyT - ME</t>
  </si>
  <si>
    <t>Dirección General de Ciencia y Tecnología - Ministero de Educación</t>
  </si>
  <si>
    <t>Unidades educativas pertenecientes al Subsistema de Educación Regular</t>
  </si>
  <si>
    <t>Viceministerio de Ciencia y Tecnología - VCT</t>
  </si>
  <si>
    <t>Dirección General de Ciencia y Tecnología -DGCyT</t>
  </si>
  <si>
    <t>3.4.5</t>
  </si>
  <si>
    <t>3.4.105</t>
  </si>
  <si>
    <t>Porcentaje de Unidades Educativas Plenas que implementan el Bachillerato Técnico Humanístico</t>
  </si>
  <si>
    <t>Es el porcentaje de unidades educativas que implementan la Educación Técnica Tecnológica para el Bachillerato Técnico Humanístico y el modelo de gestión educativa comunitaria</t>
  </si>
  <si>
    <t>UEP: Unidades Educativas que han implementado el Bachillerato Técnico Humanístico (Unidades Educativas Plenas)</t>
  </si>
  <si>
    <t>UE: Unidades Educativas que son parte del Subsistema de Educación Regular que cuentan con el nivel secundario</t>
  </si>
  <si>
    <t>Se incorporarála meta para el 2020 de 6,42%, propuesta por el ME, misma que se aclarará y justificará en el informe.</t>
  </si>
  <si>
    <t>Sistema de Información Educativa - Ministero de Educación</t>
  </si>
  <si>
    <t>Unidades Educativas plenas que implemntan el Bachillerato Técnico Humanístico (BTH) del Subsistema de Educación Regular</t>
  </si>
  <si>
    <t>Dirección General de Planificación - Dirección General de Educación Secunadria</t>
  </si>
  <si>
    <t>3.4.6</t>
  </si>
  <si>
    <t>3.4.106</t>
  </si>
  <si>
    <t>Estudiantes con  Bachillerato Técnico – Humanístico</t>
  </si>
  <si>
    <t>Es el número de estudiantes que obtienen el Diploma de Bachiller Técnico Humanístico y con grado de Técnico Medio, de acuerdo a las vocaciones y potencialidades productivas de las regiones, en el subsistema de educación regular</t>
  </si>
  <si>
    <t>BTH: Estudiantes que obtienen el Diploma de Bachiller Técnico Humanístico y con grado de Técnico Medio, de acuerdo a las vocaciones y potencialidades productivas de las regiones</t>
  </si>
  <si>
    <t>El dato presentado es acumulado de forma anual y debe interpretarse de la misma forma.
Se incorporará las meta para el 2020 de 70.000 propuesta por el ME, misma que se aclarará y justificará en el informe.</t>
  </si>
  <si>
    <t>Sistema de Información Educativa - Ministero de Edcuación</t>
  </si>
  <si>
    <t>Población matriculada en el Subsistema de Educación Regular</t>
  </si>
  <si>
    <t>3.4.8</t>
  </si>
  <si>
    <t>3.4.108</t>
  </si>
  <si>
    <t>Profesionales beneficiados con becas de post-grado en universidades extranjeras de excelencia</t>
  </si>
  <si>
    <t>Departamental, Especialidad</t>
  </si>
  <si>
    <t>Es el número de profesionales, que fueron  becados en las mejores universidades del mundo en las áreas científicas vinculadas al desarrollo de sectores estratégicos del país</t>
  </si>
  <si>
    <t>PB: Número de profesionales beneficiados con becas de Post-Grado en universidades extranjeras de excelencia</t>
  </si>
  <si>
    <t>El dato presentado es acumulado de forma anual y debe interpretarse de la misma forma.
Se incorporara las meta al 2020 de 300 propuesta por el ME, misma que se aclarará y justificará en el informe</t>
  </si>
  <si>
    <t>DGESU - ME</t>
  </si>
  <si>
    <t>Dirección General de Educación Superior Universitaria - Ministero de Edcuación</t>
  </si>
  <si>
    <t>Profesionales bolivianos a nivel de licenciatura o maestría en áreas cientificas tecnológicas, de salud y nuclear</t>
  </si>
  <si>
    <t>Viceminsterio de Educación Superior de Formación Profesional</t>
  </si>
  <si>
    <t>Dirección General de Educación Superior Universitaria - DGESU</t>
  </si>
  <si>
    <t>3.4.9</t>
  </si>
  <si>
    <t>3.4.109</t>
  </si>
  <si>
    <t>Institutos de Lengua y Cultura  en las Naciones y Pueblos Indigena Originarios (NyPIOs).</t>
  </si>
  <si>
    <t>Nacional, por NPIOC</t>
  </si>
  <si>
    <t>Es el número de Institutos de Lenguas y Culturas creados para cada Nación y Pueblo Indigena Originarios y Afroboliviano (NPIOyA), por el Instituto Plurinacional de Estudios de Lengua y Culturas (IPELC)</t>
  </si>
  <si>
    <t xml:space="preserve">ILC: Creación de Institutos de Lengua y Cultura por cada Nación y Pueblo Indigena Originario
</t>
  </si>
  <si>
    <t>Naciones y Pueblos Indígena Originarios y Afroboliviano</t>
  </si>
  <si>
    <t>Unidad de Politicas de Intraculturalidad interculturalidad y Plurilinguismo</t>
  </si>
  <si>
    <t>Unidad de Politicas de Intraculturalidad interculturalidad y Plurilinguismo - UPIIP</t>
  </si>
  <si>
    <t>0405</t>
  </si>
  <si>
    <t>Formación y especialización profesional científica.</t>
  </si>
  <si>
    <t>4.5.2</t>
  </si>
  <si>
    <t>4.5.134</t>
  </si>
  <si>
    <t>Profesionales beneficiados con becas de post-grado en universidades extranjeras de excelencia, incorporados laboralmente a las empresas y entidades del estado</t>
  </si>
  <si>
    <t>Es el número de profesionales, que fueron  becados en las mejores universidades del mundo que retornan al país luego de alcanzar el el titulo de post grado, incorporados laboralmente a las empresas y entidades del estado</t>
  </si>
  <si>
    <t>PBIL: Número de profesionales que retornan al país luego de alcanzar el titulo de post grado, incorporados laboralmente a empresas del estado</t>
  </si>
  <si>
    <t>Dirección General de Educación Superior Universitaria - Ministero de Educación</t>
  </si>
  <si>
    <t>El ministerio de Educación realiza las gestiones para incorporarlos en trabajo, Programa de becas y soberania tecnologica</t>
  </si>
  <si>
    <t xml:space="preserve"> (327) 2442144</t>
  </si>
  <si>
    <t>0802</t>
  </si>
  <si>
    <t>Acceso universal a la Alimentación Complementaria Escolar (ACE).</t>
  </si>
  <si>
    <t>8.2.2</t>
  </si>
  <si>
    <t>8.2.228</t>
  </si>
  <si>
    <t>Reformular indicador en basea porcentaje de avance respecto a la meta (150 días al año)</t>
  </si>
  <si>
    <t>Estudiantes que reciben Alimentación Complementaria Escolar por más de 150 días al año</t>
  </si>
  <si>
    <t>Es el porcentaje de estudiantes matriculados en unidades educativas públicas y/o de convenio que reciben desayuno/almuerzo o merienda escolar por 8, 9 y 10 meses durante la gestión escolar</t>
  </si>
  <si>
    <t xml:space="preserve">ErACE: Número de estudiantes matriculados en unidades educativas públicas y/o de convenio que reciben la Alimentación Complementaria Escolar (desayuno/almuerzo o merienda escolar) por  8, 9 y 10 meses durante la gestión escolar  </t>
  </si>
  <si>
    <t>TE: Total de Estudiantes matriculados en unidades educativas públicas y/o de convenio</t>
  </si>
  <si>
    <t>La pregunta sobre cuántos meses durante la gestión recibió desayuno/almuerzo o merienda escolar fue introducida a partir del año 2016</t>
  </si>
  <si>
    <t>Cabe señalar que la distribución de la Alimentación Complementaria Escolar, depende completamente de los Gobiernos Autónomos Municipales, los cuales coordinan directamente con las juntas y organizaciones regionales en función a los recursos disponibles</t>
  </si>
  <si>
    <t xml:space="preserve">4.2 De aquí a 2030, asegurar que todas las niñas y todos los niños tengan acceso a servicios de atención y desarrollo en la primera infancia y educación preescolar de calidad, a fin de que estén preparados para la enseñanza primaria </t>
  </si>
  <si>
    <t>Tasa de participación en la enseñanza organizada (un año antes de la edad oficial de ingreso en la enseñanza primaria)</t>
  </si>
  <si>
    <t>Porcentaje de niños en un rango de edad dado que participan en uno o más programas de aprendizaje, incluidos los programas que combinan educación y cuidado. El rango de edad variará por país dependiendo de la edad oficial de ingreso a la educación primaria.</t>
  </si>
  <si>
    <t>Instituto de Estadísticas de la UNESCO (UIS)</t>
  </si>
  <si>
    <t>El denominador es provisto por la UIS y a efectos de cálculo del indicador se mantendría el dato</t>
  </si>
  <si>
    <t>DGP-ME</t>
  </si>
  <si>
    <t>Dirección General de Planificación - Ministerio de Educación</t>
  </si>
  <si>
    <t>Matriculación, población</t>
  </si>
  <si>
    <t>En cumplimiento de la Ley Nº 393 de Servicios Financieros, se prioriza el financiamiento para la vivienda de interés social y al sector productivo. 
La cartera destinada al sector productivo (SP) está conformada por los créditos de tipo empresarial, microcrédito o PYME, cuyo destino corresponde a las categorías del Código de Actividad Económica y Destino del Crédito (CAEDEC) utilizado por ASFI.                                                                                                                                             Crédito de vivienda de interés social (VIS) es aquél financiamiento otorgado para la compra (terreno o vivienda), construcción, refacción, remodelación, ampliación, mejoramiento de una vivienda de interés social. Se entiende por vivienda de interés social a aquella única vivienda sin fines comerciales destinada a los hogares de menores ingresos, cuyo valor comercial o el costo final para su construcción incluido el valor del terreno, no supere UFV400.000.- cuando se trate de departamento y de UFV460.000.- para casas.</t>
  </si>
  <si>
    <t xml:space="preserve">Niv.Cartera Observado (Banco Múltiple): Compuesto por cartera bruta de los bancos múltiples destinada al sector productivo; y  la cartera bruta de los bancos múltiples destinada a vivienda de interés social; y Cartera bruta total de los bancos múltiples.                    *Niv.Cartera Observado (Banco Múltiple):                     2015: 46.17% 
2016: 51.44% 
2017: 56.92% </t>
  </si>
  <si>
    <t>Niv.Cartera Meta (Banco Múltiple)  Meta que estará en función a lo etsablecido en el DS N° 1842 del 13 de julio de 2016 y de manera anual con base  la RM N°031 de 23 de enero de 2015, para créditos destinados al sector productivo y de vivienda de interés social sobre la cartera total de créditos.                                *Niv.Cartera Meta(Banco Múltiple)                        2015: 42.80%
2016: 48.54% 
2017: 54.27%</t>
  </si>
  <si>
    <t>La cartera destinada al sector productivo (SP) está conformada por los créditos de tipo empresarial, microcrédito o PYME, cuyo destino corresponde a las siguientes categorías del Código de Actividad Económica y Destino del Crédito (CAEDEC) utilizado por ASFI: a. Agricultura y Ganadería; b. Caza, Silvicultura y Pesca; c. Extracción de Petróleo Crudo y Gas Natural; d. Minerales Metálicos y No Metálicos; e. Industria Manufacturera; f. Producción y Distribución de Energía Eléctrica; g. Construcción.
Asimismo, serán consideradas como financiamiento al sector productivo, las operaciones de crédito destinadas al sector turismo y a la producción intelectual. El financiamiento otorgado al sector productivo mediante Inversiones que realicen las Entidades de Intermediación Financiera (EIF) en cuotas de participación de Fondos de Inversión Cerrados que tengan por objeto invertir en valores u otro tipo de instrumentos que permitan financiar al sector productivo; las inversiones que realicen las EIF en valores emitidos en procesos de titularización que tengan por objeto financiar al sector productivo; las inversiones que realicen las EIF en valores de empresas cuya actividad económica se encuentra comprendida en el sector productivo; los préstamos de una EIF a otra, destinados al financiamiento de operaciones de crédito al sector productivo; y el financiamiento de las EIF mediante alianzas estratégicas también serán consideras como financiamiento al sector productivo.</t>
  </si>
  <si>
    <t xml:space="preserve">Niv.Cartera Observado (Banco PYME): Compuesto por cartera bruta de los bancos múltiples destinada al sector productivo y la cartera bruta total de los bancos PYME.                                                                                       *Niv.Cartera Observado   (Banco PYME):                               2015: 39,56% 
2016: 41,22% 
2017: 48,48% </t>
  </si>
  <si>
    <t>Niv.Cartera Meta (Banco PYME)  Meta que estará en función a lo etsablecido en el DS N° 1842 del 13 de julio de 2016 y de manera anual con base  la RM N°031 de 23 de enero de 2015, para créditos destinados al sector productivo y de vivienda de interés social sobre la cartera total de créditos.                        *Niv.Cartera Meta(Banco PYME)                        2015: 33,87%
2016: 39,23% 
2017: 44,62%</t>
  </si>
  <si>
    <t xml:space="preserve">Crédito de vivienda de interés social (VIS) es aquél financiamiento otorgado para la compra (terreno o vivienda), construcción, refacción, remodelación, ampliación, mejoramiento de una vivienda de interés social. Se entiende por vivienda de interés social a aquella única vivienda sin fines comerciales destinada a los hogares de menores ingresos, cuyo valor comercial o el costo final para su construcción incluido el valor del terreno, no supere UFV400.000.- (Cuatrocientas Mil Unidades de Fomento a la Vivienda) cuando se trate de departamento y de UFV460.000.- (Cuatrocientas Sesenta Mil Unidades de Fomento a la Vivienda) para casas.
</t>
  </si>
  <si>
    <t xml:space="preserve">Niv.Cartera Observado (EFV): Compuesto por Cartera VIS que representa la cartera bruta de las entidades financieras de vivienda destinada a vivienda de interés social y la cartera bruta total de las entidades financieras de vivienda.                  *Niv.Cartera Observado                       (EFV):                                                         2015: 24,40% 
2016: 31,38% 
2017: 43,63% </t>
  </si>
  <si>
    <t>Niv.Cartera Meta (EFV)  Meta que estará en función a lo etsablecido en el DS N° 1842 del 13 de julio de 2016 y de manera anual con base  la RM N°031 de 23 de enero de 2015, para créditos destinados al sector productivo y de vivienda de interés social sobre la cartera total de créditos.    *Niv.Cartera Meta(EFV)                        2015: 23,75%
2016: 36,87% 
2017: 50%</t>
  </si>
  <si>
    <t>Numero de Municipios con cobertura: Un municipio tendrá cobertura geográfica de servicios financieros si en el mismo existe instalado, al menos, un Punto de Atención Financiera (PAF)                     *Municipio con Cobertura:            2010: 113                                                       2011: 133                                              2012: 144                                           2013: 157                                              2014: 162                                           2015: 163
2016: 164 
2017: 190</t>
  </si>
  <si>
    <t>Tomar encuenta para el calculo del indicador al 2017:                                                   Mediante el DS N°3033 del 28 de diciembre de 2016, se define el grado de crecimiento y expansión de la cobertura geogáfica del Sistema Financiero, a través de la instalación de punos de ATENCIÓN Fianciera en el territorio Nacional en el marco de lo previsto en la Ley N° 393. Es asi que el Indicador se encuentra oficialmente disponible a partir del 2017.</t>
  </si>
  <si>
    <t xml:space="preserve">Las reservas financieras son el resultado del cociente entre las reservas internacionales netas menos el Oro Monetario sobre el Producto Interno Bruto 
REFI= RIN-ORO/PIB </t>
  </si>
  <si>
    <r>
      <t>Eficacia</t>
    </r>
    <r>
      <rPr>
        <sz val="11"/>
        <rFont val="Arial"/>
        <family val="2"/>
      </rPr>
      <t>: Miden nivel de cumplimiento de los objetivos</t>
    </r>
  </si>
  <si>
    <t>Sexo, edad, Urbano-Rural, Departamental
Por edad teórica según nivel educativo (Inicial/Primaria/Secundaria) vía grupos de Edad</t>
  </si>
  <si>
    <t>Población de 4 a17 años que asiste al nivel y cusrso al que se incribiró en una determinada gestión escolar</t>
  </si>
  <si>
    <t>Sexo, Departamental</t>
  </si>
  <si>
    <r>
      <t>PROL</t>
    </r>
    <r>
      <rPr>
        <vertAlign val="subscript"/>
        <sz val="11"/>
        <rFont val="Arial"/>
        <family val="2"/>
      </rPr>
      <t>0,AG(a-1)</t>
    </r>
    <r>
      <rPr>
        <sz val="11"/>
        <rFont val="Arial"/>
        <family val="2"/>
      </rPr>
      <t xml:space="preserve"> = </t>
    </r>
    <r>
      <rPr>
        <u/>
        <sz val="11"/>
        <rFont val="Arial"/>
        <family val="2"/>
      </rPr>
      <t>E</t>
    </r>
    <r>
      <rPr>
        <u/>
        <vertAlign val="subscript"/>
        <sz val="11"/>
        <rFont val="Arial"/>
        <family val="2"/>
      </rPr>
      <t xml:space="preserve">0,AG(a-1)
</t>
    </r>
    <r>
      <rPr>
        <vertAlign val="subscript"/>
        <sz val="11"/>
        <rFont val="Arial"/>
        <family val="2"/>
      </rPr>
      <t xml:space="preserve">                              </t>
    </r>
    <r>
      <rPr>
        <sz val="11"/>
        <rFont val="Arial"/>
        <family val="2"/>
      </rPr>
      <t>SAP</t>
    </r>
    <r>
      <rPr>
        <vertAlign val="subscript"/>
        <sz val="11"/>
        <rFont val="Arial"/>
        <family val="2"/>
      </rPr>
      <t xml:space="preserve">AG(a-1)
</t>
    </r>
    <r>
      <rPr>
        <sz val="11"/>
        <rFont val="Arial"/>
        <family val="2"/>
      </rPr>
      <t xml:space="preserve">
donde:
PROL</t>
    </r>
    <r>
      <rPr>
        <vertAlign val="subscript"/>
        <sz val="11"/>
        <rFont val="Arial"/>
        <family val="2"/>
      </rPr>
      <t>0,AG(a-1)</t>
    </r>
    <r>
      <rPr>
        <sz val="11"/>
        <rFont val="Arial"/>
        <family val="2"/>
      </rPr>
      <t xml:space="preserve"> = tasa de participación en programas educativos un año antes respecto a la edad normativa de ingreso a la educación primaria </t>
    </r>
  </si>
  <si>
    <r>
      <t>E</t>
    </r>
    <r>
      <rPr>
        <vertAlign val="subscript"/>
        <sz val="11"/>
        <rFont val="Arial"/>
        <family val="2"/>
      </rPr>
      <t>0,AG(a-1)</t>
    </r>
    <r>
      <rPr>
        <sz val="11"/>
        <rFont val="Arial"/>
        <family val="2"/>
      </rPr>
      <t xml:space="preserve"> = matrícula de educación de la primera infancia (nivel CINE 0) un año antes respecto a la edad normativa de ingreso a la educación primaria</t>
    </r>
  </si>
  <si>
    <r>
      <t>SAP</t>
    </r>
    <r>
      <rPr>
        <vertAlign val="subscript"/>
        <sz val="11"/>
        <rFont val="Arial"/>
        <family val="2"/>
      </rPr>
      <t>AG(a-1)</t>
    </r>
    <r>
      <rPr>
        <sz val="11"/>
        <rFont val="Arial"/>
        <family val="2"/>
      </rPr>
      <t xml:space="preserve"> = población en edad escolar un año antes respecto a la edad normativa de ingreso a la educación primaria</t>
    </r>
  </si>
  <si>
    <t>Empleo</t>
  </si>
  <si>
    <t>Poblaciones vulnerables MG y MCT</t>
  </si>
  <si>
    <t>Poblaciones vulnerables MJTI</t>
  </si>
  <si>
    <t>Medicina tradicional</t>
  </si>
  <si>
    <t>Deportes</t>
  </si>
  <si>
    <t>Agua y saneamiento</t>
  </si>
  <si>
    <t>Seguridad ciudadana, transparencia institucional y defensa integral</t>
  </si>
  <si>
    <t>Industria</t>
  </si>
  <si>
    <t>Turismo</t>
  </si>
  <si>
    <t>Infraestructura</t>
  </si>
  <si>
    <t>Mineria</t>
  </si>
  <si>
    <t>Desarrollo tecnológico</t>
  </si>
  <si>
    <t xml:space="preserve">Energía </t>
  </si>
  <si>
    <t>Financiero</t>
  </si>
  <si>
    <t>Mecanismos de integración y participación en Organimos internacionales</t>
  </si>
  <si>
    <t>Acuerdos sobre cambio climático, Madre Tierra y Asuntos Consulares</t>
  </si>
  <si>
    <t>Alimentación (productivo)</t>
  </si>
  <si>
    <t>Alimentación (nutrición)</t>
  </si>
  <si>
    <t>Ambiental</t>
  </si>
  <si>
    <t>Interculturalidad</t>
  </si>
  <si>
    <t>Comisión. Pobreza Desigualdad / Empleo y Previsión Social</t>
  </si>
  <si>
    <t>Comisión: Servicios básicos</t>
  </si>
  <si>
    <t>Comisión: Seguridad ciudadana y transparencia institucional</t>
  </si>
  <si>
    <t>Comisión: Productivo</t>
  </si>
  <si>
    <t>Comisión: Financiero</t>
  </si>
  <si>
    <t>Comisión: Integración</t>
  </si>
  <si>
    <t>Comisión: Soberanía ambiental con desarrollo integral</t>
  </si>
  <si>
    <t>Comisión: Disfrute y felicidad</t>
  </si>
  <si>
    <t>Etiquetas de columna</t>
  </si>
  <si>
    <t>Cuenta de NOMBRE DE INDICADOR</t>
  </si>
  <si>
    <t>PDES ODS</t>
  </si>
  <si>
    <t>Directa/parcial</t>
  </si>
  <si>
    <t>28/05/2018</t>
  </si>
  <si>
    <t>18/05/2018</t>
  </si>
  <si>
    <t>30/04/2018</t>
  </si>
  <si>
    <t>24/04/2018</t>
  </si>
  <si>
    <t>09/04/2018</t>
  </si>
  <si>
    <t>23/04/2018</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</si>
</sst>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5">
    <numFmt numFmtId="43" formatCode="_-* #,##0.00_-;\-* #,##0.00_-;_-* &quot;-&quot;??_-;_-@_-"/>
    <numFmt numFmtId="164" formatCode="_(* #,##0.00_);_(* \(#,##0.00\);_(* &quot;-&quot;??_);_(@_)"/>
    <numFmt numFmtId="165" formatCode="0.0%"/>
    <numFmt numFmtId="166" formatCode="0.0"/>
    <numFmt numFmtId="167" formatCode="#,##0.0"/>
    <numFmt numFmtId="168" formatCode="0_);\(0\)"/>
    <numFmt numFmtId="169" formatCode="_(* #,##0_);_(* \(#,##0\);_(* &quot;-&quot;??_);_(@_)"/>
    <numFmt numFmtId="170" formatCode="0_ ;\-0\ "/>
    <numFmt numFmtId="171" formatCode="#,##0_ ;\-#,##0\ "/>
    <numFmt numFmtId="172" formatCode="0.000%"/>
    <numFmt numFmtId="173" formatCode="_(* #,##0.0_);_(* \(#,##0.0\);_(* &quot;-&quot;??_);_(@_)"/>
    <numFmt numFmtId="174" formatCode="0.000"/>
    <numFmt numFmtId="175" formatCode="_-* #,##0\ _€_-;\-* #,##0\ _€_-;_-* &quot;-&quot;??\ _€_-;_-@_-"/>
    <numFmt numFmtId="176" formatCode="_-* #,##0_-;\-* #,##0_-;_-* &quot;-&quot;??_-;_-@_-"/>
    <numFmt numFmtId="177" formatCode="_-* #,##0.0_-;\-* #,##0.0_-;_-* &quot;-&quot;??_-;_-@_-"/>
  </numFmts>
  <fonts count="56" x14ac:knownFonts="1">
    <font>
      <sz val="11"/>
      <color theme="1"/>
      <name val="Calibri"/>
      <family val="2"/>
      <scheme val="minor"/>
    </font>
    <font>
      <sz val="11"/>
      <color theme="1"/>
      <name val="Calibri"/>
      <family val="2"/>
      <scheme val="minor"/>
    </font>
    <font>
      <b/>
      <sz val="11"/>
      <color theme="1"/>
      <name val="Calibri"/>
      <family val="2"/>
      <scheme val="minor"/>
    </font>
    <font>
      <sz val="11"/>
      <color theme="1"/>
      <name val="Calibri"/>
      <family val="2"/>
      <scheme val="minor"/>
    </font>
    <font>
      <sz val="10"/>
      <color theme="1"/>
      <name val="Calibri"/>
      <family val="2"/>
      <scheme val="minor"/>
    </font>
    <font>
      <b/>
      <sz val="10"/>
      <color rgb="FF000000"/>
      <name val="Calibri"/>
      <family val="2"/>
      <scheme val="minor"/>
    </font>
    <font>
      <b/>
      <sz val="10"/>
      <name val="Calibri"/>
      <family val="2"/>
    </font>
    <font>
      <b/>
      <sz val="14"/>
      <color rgb="FF000000"/>
      <name val="Calibri"/>
      <family val="2"/>
      <scheme val="minor"/>
    </font>
    <font>
      <b/>
      <sz val="14"/>
      <color theme="1"/>
      <name val="Calibri"/>
      <family val="2"/>
      <scheme val="minor"/>
    </font>
    <font>
      <b/>
      <sz val="10"/>
      <color rgb="FFFFFFFF"/>
      <name val="Calibri"/>
      <family val="2"/>
      <scheme val="minor"/>
    </font>
    <font>
      <b/>
      <sz val="10"/>
      <color theme="0"/>
      <name val="Calibri"/>
      <family val="2"/>
      <scheme val="minor"/>
    </font>
    <font>
      <b/>
      <sz val="10"/>
      <color theme="0"/>
      <name val="Calibri"/>
      <family val="2"/>
    </font>
    <font>
      <sz val="10"/>
      <color theme="0"/>
      <name val="Calibri"/>
      <family val="2"/>
    </font>
    <font>
      <b/>
      <sz val="10"/>
      <name val="Calibri"/>
      <family val="2"/>
      <scheme val="minor"/>
    </font>
    <font>
      <sz val="10"/>
      <name val="Calibri"/>
      <family val="2"/>
    </font>
    <font>
      <sz val="12"/>
      <color theme="1"/>
      <name val="Calibri"/>
      <family val="2"/>
      <scheme val="minor"/>
    </font>
    <font>
      <sz val="10"/>
      <name val="Calibri"/>
      <family val="2"/>
      <scheme val="minor"/>
    </font>
    <font>
      <b/>
      <sz val="12"/>
      <color theme="1"/>
      <name val="Calibri"/>
      <family val="2"/>
      <scheme val="minor"/>
    </font>
    <font>
      <sz val="8"/>
      <color rgb="FF000000"/>
      <name val="Trebuchet MS"/>
      <family val="2"/>
    </font>
    <font>
      <b/>
      <sz val="13.5"/>
      <color rgb="FF000000"/>
      <name val="Trebuchet MS"/>
      <family val="2"/>
    </font>
    <font>
      <b/>
      <sz val="24"/>
      <color rgb="FF3C6DA9"/>
      <name val="Trebuchet MS"/>
      <family val="2"/>
    </font>
    <font>
      <sz val="11"/>
      <color theme="1"/>
      <name val="Trebuchet MS"/>
      <family val="2"/>
    </font>
    <font>
      <b/>
      <sz val="11"/>
      <color theme="1"/>
      <name val="Trebuchet MS"/>
      <family val="2"/>
    </font>
    <font>
      <b/>
      <sz val="13.5"/>
      <color theme="1"/>
      <name val="Trebuchet MS"/>
      <family val="2"/>
    </font>
    <font>
      <b/>
      <sz val="18"/>
      <color theme="1"/>
      <name val="Trebuchet MS"/>
      <family val="2"/>
    </font>
    <font>
      <sz val="11"/>
      <color rgb="FFFF0000"/>
      <name val="Trebuchet MS"/>
      <family val="2"/>
    </font>
    <font>
      <b/>
      <sz val="11"/>
      <color theme="0"/>
      <name val="Calibri"/>
      <family val="2"/>
      <scheme val="minor"/>
    </font>
    <font>
      <b/>
      <sz val="8"/>
      <color theme="0"/>
      <name val="Calibri"/>
      <family val="2"/>
      <scheme val="minor"/>
    </font>
    <font>
      <b/>
      <sz val="8"/>
      <name val="Calibri"/>
      <family val="2"/>
      <scheme val="minor"/>
    </font>
    <font>
      <b/>
      <sz val="11"/>
      <name val="Calibri"/>
      <family val="2"/>
      <scheme val="minor"/>
    </font>
    <font>
      <sz val="8"/>
      <color theme="1"/>
      <name val="Calibri"/>
      <family val="2"/>
      <scheme val="minor"/>
    </font>
    <font>
      <b/>
      <sz val="11"/>
      <color rgb="FF000000"/>
      <name val="Calibri"/>
      <family val="2"/>
      <scheme val="minor"/>
    </font>
    <font>
      <b/>
      <sz val="14"/>
      <name val="Calibri"/>
      <family val="2"/>
      <scheme val="minor"/>
    </font>
    <font>
      <b/>
      <sz val="9"/>
      <color rgb="FF000000"/>
      <name val="Calibri"/>
      <family val="2"/>
      <scheme val="minor"/>
    </font>
    <font>
      <sz val="8"/>
      <color theme="0"/>
      <name val="Calibri"/>
      <family val="2"/>
      <scheme val="minor"/>
    </font>
    <font>
      <sz val="8"/>
      <name val="Calibri"/>
      <family val="2"/>
      <scheme val="minor"/>
    </font>
    <font>
      <b/>
      <sz val="8"/>
      <color rgb="FF000000"/>
      <name val="Calibri"/>
      <family val="2"/>
      <scheme val="minor"/>
    </font>
    <font>
      <b/>
      <sz val="10"/>
      <color rgb="FF66FFCC"/>
      <name val="Calibri"/>
      <family val="2"/>
      <scheme val="minor"/>
    </font>
    <font>
      <sz val="10"/>
      <color theme="1"/>
      <name val="Arial"/>
      <family val="2"/>
    </font>
    <font>
      <b/>
      <sz val="9"/>
      <name val="Calibri"/>
      <family val="2"/>
      <scheme val="minor"/>
    </font>
    <font>
      <sz val="9"/>
      <color theme="1"/>
      <name val="Calibri"/>
      <family val="2"/>
      <scheme val="minor"/>
    </font>
    <font>
      <b/>
      <sz val="9"/>
      <color indexed="81"/>
      <name val="Tahoma"/>
      <family val="2"/>
    </font>
    <font>
      <sz val="9"/>
      <color indexed="81"/>
      <name val="Tahoma"/>
      <family val="2"/>
    </font>
    <font>
      <b/>
      <sz val="11"/>
      <color theme="1"/>
      <name val="Arial"/>
      <family val="2"/>
    </font>
    <font>
      <b/>
      <sz val="10"/>
      <color theme="1"/>
      <name val="Arial"/>
      <family val="2"/>
    </font>
    <font>
      <sz val="11"/>
      <name val="Calibri"/>
      <family val="2"/>
      <scheme val="minor"/>
    </font>
    <font>
      <sz val="10"/>
      <color rgb="FF000000"/>
      <name val="Arial"/>
      <family val="2"/>
    </font>
    <font>
      <sz val="11"/>
      <name val="Arial"/>
      <family val="2"/>
    </font>
    <font>
      <u/>
      <sz val="11"/>
      <name val="Arial"/>
      <family val="2"/>
    </font>
    <font>
      <strike/>
      <sz val="11"/>
      <name val="Arial"/>
      <family val="2"/>
    </font>
    <font>
      <i/>
      <sz val="11"/>
      <name val="Arial"/>
      <family val="2"/>
    </font>
    <font>
      <vertAlign val="subscript"/>
      <sz val="11"/>
      <name val="Arial"/>
      <family val="2"/>
    </font>
    <font>
      <sz val="11"/>
      <color theme="1"/>
      <name val="Arial"/>
      <family val="2"/>
    </font>
    <font>
      <u/>
      <sz val="11"/>
      <color theme="10"/>
      <name val="Calibri"/>
      <family val="2"/>
      <scheme val="minor"/>
    </font>
    <font>
      <u/>
      <vertAlign val="subscript"/>
      <sz val="11"/>
      <name val="Arial"/>
      <family val="2"/>
    </font>
    <font>
      <sz val="8"/>
      <color rgb="FF000000"/>
      <name val="Calibri"/>
      <family val="2"/>
      <scheme val="minor"/>
    </font>
  </fonts>
  <fills count="18">
    <fill>
      <patternFill patternType="none"/>
    </fill>
    <fill>
      <patternFill patternType="gray125"/>
    </fill>
    <fill>
      <patternFill patternType="solid">
        <fgColor rgb="FFC00000"/>
        <bgColor indexed="64"/>
      </patternFill>
    </fill>
    <fill>
      <patternFill patternType="solid">
        <fgColor theme="4" tint="-0.249977111117893"/>
        <bgColor indexed="64"/>
      </patternFill>
    </fill>
    <fill>
      <patternFill patternType="solid">
        <fgColor rgb="FF7030A0"/>
        <bgColor indexed="64"/>
      </patternFill>
    </fill>
    <fill>
      <patternFill patternType="solid">
        <fgColor rgb="FF00B0F0"/>
        <bgColor indexed="64"/>
      </patternFill>
    </fill>
    <fill>
      <patternFill patternType="solid">
        <fgColor rgb="FFFFC000"/>
        <bgColor indexed="64"/>
      </patternFill>
    </fill>
    <fill>
      <patternFill patternType="solid">
        <fgColor rgb="FF00B050"/>
        <bgColor indexed="64"/>
      </patternFill>
    </fill>
    <fill>
      <patternFill patternType="solid">
        <fgColor rgb="FF2F75B5"/>
        <bgColor indexed="64"/>
      </patternFill>
    </fill>
    <fill>
      <patternFill patternType="solid">
        <fgColor theme="9"/>
        <bgColor indexed="64"/>
      </patternFill>
    </fill>
    <fill>
      <patternFill patternType="solid">
        <fgColor rgb="FFFFFF00"/>
        <bgColor indexed="64"/>
      </patternFill>
    </fill>
    <fill>
      <patternFill patternType="solid">
        <fgColor theme="0"/>
        <bgColor indexed="64"/>
      </patternFill>
    </fill>
    <fill>
      <patternFill patternType="solid">
        <fgColor rgb="FF9DBCD2"/>
        <bgColor indexed="64"/>
      </patternFill>
    </fill>
    <fill>
      <patternFill patternType="solid">
        <fgColor rgb="FF66FFCC"/>
        <bgColor indexed="64"/>
      </patternFill>
    </fill>
    <fill>
      <patternFill patternType="solid">
        <fgColor theme="7" tint="0.39997558519241921"/>
        <bgColor indexed="64"/>
      </patternFill>
    </fill>
    <fill>
      <patternFill patternType="solid">
        <fgColor theme="9" tint="0.39997558519241921"/>
        <bgColor indexed="64"/>
      </patternFill>
    </fill>
    <fill>
      <patternFill patternType="solid">
        <fgColor rgb="FF8BCDFF"/>
        <bgColor indexed="64"/>
      </patternFill>
    </fill>
    <fill>
      <patternFill patternType="solid">
        <fgColor theme="9" tint="0.79998168889431442"/>
        <bgColor indexed="64"/>
      </patternFill>
    </fill>
  </fills>
  <borders count="6">
    <border>
      <left/>
      <right/>
      <top/>
      <bottom/>
      <diagonal/>
    </border>
    <border>
      <left style="thin">
        <color auto="1"/>
      </left>
      <right style="thin">
        <color auto="1"/>
      </right>
      <top style="thin">
        <color auto="1"/>
      </top>
      <bottom style="thin">
        <color auto="1"/>
      </bottom>
      <diagonal/>
    </border>
    <border>
      <left/>
      <right style="thin">
        <color auto="1"/>
      </right>
      <top style="thin">
        <color auto="1"/>
      </top>
      <bottom style="thin">
        <color auto="1"/>
      </bottom>
      <diagonal/>
    </border>
    <border>
      <left style="thin">
        <color indexed="64"/>
      </left>
      <right style="thin">
        <color indexed="64"/>
      </right>
      <top style="thin">
        <color indexed="64"/>
      </top>
      <bottom/>
      <diagonal/>
    </border>
    <border>
      <left/>
      <right style="thin">
        <color rgb="FF000000"/>
      </right>
      <top/>
      <bottom style="thin">
        <color rgb="FF000000"/>
      </bottom>
      <diagonal/>
    </border>
    <border>
      <left/>
      <right/>
      <top/>
      <bottom style="thin">
        <color rgb="FF000000"/>
      </bottom>
      <diagonal/>
    </border>
  </borders>
  <cellStyleXfs count="7">
    <xf numFmtId="0" fontId="0" fillId="0" borderId="0"/>
    <xf numFmtId="9" fontId="1" fillId="0" borderId="0" applyFont="0" applyFill="0" applyBorder="0" applyAlignment="0" applyProtection="0"/>
    <xf numFmtId="0" fontId="3" fillId="0" borderId="0"/>
    <xf numFmtId="164" fontId="1" fillId="0" borderId="0" applyFont="0" applyFill="0" applyBorder="0" applyAlignment="0" applyProtection="0"/>
    <xf numFmtId="0" fontId="1" fillId="0" borderId="0"/>
    <xf numFmtId="0" fontId="53" fillId="0" borderId="0" applyNumberFormat="0" applyFill="0" applyBorder="0" applyAlignment="0" applyProtection="0"/>
    <xf numFmtId="164" fontId="1" fillId="0" borderId="0" applyFont="0" applyFill="0" applyBorder="0" applyAlignment="0" applyProtection="0"/>
  </cellStyleXfs>
  <cellXfs count="303">
    <xf numFmtId="0" fontId="0" fillId="0" borderId="0" xfId="0"/>
    <xf numFmtId="0" fontId="0" fillId="0" borderId="0" xfId="0" applyFont="1"/>
    <xf numFmtId="0" fontId="4" fillId="0" borderId="0" xfId="0" applyFont="1"/>
    <xf numFmtId="0" fontId="17" fillId="0" borderId="0" xfId="0" applyFont="1"/>
    <xf numFmtId="0" fontId="0" fillId="0" borderId="0" xfId="0" applyFont="1" applyFill="1"/>
    <xf numFmtId="0" fontId="0" fillId="0" borderId="0" xfId="0" applyFont="1" applyAlignment="1">
      <alignment vertical="center"/>
    </xf>
    <xf numFmtId="0" fontId="0" fillId="0" borderId="0" xfId="0" applyAlignment="1">
      <alignment wrapText="1"/>
    </xf>
    <xf numFmtId="0" fontId="0" fillId="0" borderId="0" xfId="0" pivotButton="1" applyAlignment="1">
      <alignment wrapText="1"/>
    </xf>
    <xf numFmtId="0" fontId="0" fillId="0" borderId="0" xfId="0" applyAlignment="1">
      <alignment horizontal="left" wrapText="1"/>
    </xf>
    <xf numFmtId="0" fontId="0" fillId="0" borderId="0" xfId="0" applyNumberFormat="1" applyAlignment="1">
      <alignment wrapText="1"/>
    </xf>
    <xf numFmtId="0" fontId="2" fillId="0" borderId="0" xfId="0" pivotButton="1" applyFont="1" applyAlignment="1">
      <alignment wrapText="1"/>
    </xf>
    <xf numFmtId="0" fontId="0" fillId="12" borderId="0" xfId="0" applyFill="1"/>
    <xf numFmtId="0" fontId="20" fillId="0" borderId="0" xfId="0" applyFont="1" applyAlignment="1">
      <alignment horizontal="center" vertical="center" wrapText="1"/>
    </xf>
    <xf numFmtId="0" fontId="0" fillId="0" borderId="0" xfId="0" applyAlignment="1">
      <alignment horizontal="left" vertical="center" wrapText="1"/>
    </xf>
    <xf numFmtId="0" fontId="18" fillId="0" borderId="0" xfId="0" applyFont="1" applyAlignment="1">
      <alignment horizontal="left" vertical="center" wrapText="1"/>
    </xf>
    <xf numFmtId="0" fontId="22" fillId="0" borderId="0" xfId="0" applyFont="1" applyAlignment="1">
      <alignment vertical="center" wrapText="1"/>
    </xf>
    <xf numFmtId="0" fontId="22" fillId="0" borderId="0" xfId="0" applyFont="1" applyAlignment="1">
      <alignment horizontal="right" vertical="center" wrapText="1"/>
    </xf>
    <xf numFmtId="0" fontId="21" fillId="12" borderId="0" xfId="0" applyFont="1" applyFill="1" applyAlignment="1">
      <alignment horizontal="left" vertical="center" wrapText="1"/>
    </xf>
    <xf numFmtId="0" fontId="21" fillId="12" borderId="0" xfId="0" applyFont="1" applyFill="1" applyAlignment="1">
      <alignment horizontal="right" vertical="center" wrapText="1"/>
    </xf>
    <xf numFmtId="0" fontId="21" fillId="12" borderId="0" xfId="0" applyFont="1" applyFill="1" applyAlignment="1">
      <alignment vertical="center" wrapText="1"/>
    </xf>
    <xf numFmtId="0" fontId="19" fillId="0" borderId="0" xfId="0" applyFont="1" applyAlignment="1">
      <alignment horizontal="left" vertical="center" wrapText="1"/>
    </xf>
    <xf numFmtId="0" fontId="25" fillId="12" borderId="0" xfId="0" applyFont="1" applyFill="1" applyAlignment="1">
      <alignment vertical="center" wrapText="1"/>
    </xf>
    <xf numFmtId="0" fontId="21" fillId="12" borderId="0" xfId="0" applyFont="1" applyFill="1" applyAlignment="1">
      <alignment horizontal="center" vertical="center" wrapText="1"/>
    </xf>
    <xf numFmtId="0" fontId="15" fillId="0" borderId="0" xfId="0" applyFont="1"/>
    <xf numFmtId="0" fontId="0" fillId="0" borderId="0" xfId="0" applyFont="1" applyFill="1" applyAlignment="1">
      <alignment vertical="center"/>
    </xf>
    <xf numFmtId="0" fontId="0" fillId="0" borderId="1" xfId="0" applyFont="1" applyBorder="1"/>
    <xf numFmtId="0" fontId="0" fillId="0" borderId="0" xfId="0" applyFont="1" applyBorder="1"/>
    <xf numFmtId="0" fontId="0" fillId="0" borderId="0" xfId="0" applyBorder="1"/>
    <xf numFmtId="0" fontId="0" fillId="0" borderId="0" xfId="0" applyFont="1" applyBorder="1" applyAlignment="1">
      <alignment horizontal="center"/>
    </xf>
    <xf numFmtId="0" fontId="0" fillId="0" borderId="0" xfId="0" applyFont="1" applyFill="1" applyBorder="1"/>
    <xf numFmtId="0" fontId="0" fillId="0" borderId="0" xfId="0" applyFont="1" applyBorder="1" applyAlignment="1">
      <alignment vertical="center"/>
    </xf>
    <xf numFmtId="0" fontId="40" fillId="0" borderId="0" xfId="0" applyFont="1" applyBorder="1"/>
    <xf numFmtId="0" fontId="0" fillId="0" borderId="0" xfId="0" applyFont="1" applyBorder="1" applyAlignment="1">
      <alignment horizontal="center" vertical="center"/>
    </xf>
    <xf numFmtId="0" fontId="1" fillId="0" borderId="0" xfId="0" applyFont="1" applyBorder="1"/>
    <xf numFmtId="0" fontId="0" fillId="0" borderId="0" xfId="0" applyFont="1" applyBorder="1" applyAlignment="1">
      <alignment horizontal="left"/>
    </xf>
    <xf numFmtId="0" fontId="7" fillId="0" borderId="1" xfId="0" applyFont="1" applyBorder="1" applyAlignment="1">
      <alignment horizontal="center" vertical="center" wrapText="1"/>
    </xf>
    <xf numFmtId="0" fontId="0" fillId="0" borderId="1" xfId="0" applyFont="1" applyFill="1" applyBorder="1"/>
    <xf numFmtId="0" fontId="0" fillId="0" borderId="0" xfId="0" applyFont="1" applyFill="1" applyAlignment="1">
      <alignment wrapText="1"/>
    </xf>
    <xf numFmtId="0" fontId="43" fillId="0" borderId="0" xfId="0" applyFont="1" applyAlignment="1">
      <alignment horizontal="center" vertical="center" wrapText="1"/>
    </xf>
    <xf numFmtId="0" fontId="43" fillId="0" borderId="0" xfId="0" applyFont="1" applyBorder="1" applyAlignment="1">
      <alignment horizontal="center" vertical="center" wrapText="1"/>
    </xf>
    <xf numFmtId="0" fontId="45" fillId="0" borderId="0" xfId="0" applyFont="1" applyFill="1"/>
    <xf numFmtId="167" fontId="4" fillId="0" borderId="0" xfId="0" applyNumberFormat="1" applyFont="1" applyAlignment="1">
      <alignment horizontal="center" vertical="center"/>
    </xf>
    <xf numFmtId="167" fontId="4" fillId="0" borderId="0" xfId="0" applyNumberFormat="1" applyFont="1"/>
    <xf numFmtId="167" fontId="4" fillId="11" borderId="0" xfId="0" applyNumberFormat="1" applyFont="1" applyFill="1"/>
    <xf numFmtId="0" fontId="4" fillId="11" borderId="0" xfId="0" applyFont="1" applyFill="1"/>
    <xf numFmtId="0" fontId="4" fillId="10" borderId="0" xfId="0" applyFont="1" applyFill="1"/>
    <xf numFmtId="0" fontId="16" fillId="11" borderId="0" xfId="0" applyFont="1" applyFill="1"/>
    <xf numFmtId="0" fontId="4" fillId="0" borderId="0" xfId="0" applyFont="1" applyAlignment="1">
      <alignment horizontal="center" vertical="center" wrapText="1"/>
    </xf>
    <xf numFmtId="0" fontId="4" fillId="17" borderId="0" xfId="0" applyFont="1" applyFill="1"/>
    <xf numFmtId="0" fontId="38" fillId="0" borderId="0" xfId="0" applyFont="1" applyAlignment="1">
      <alignment vertical="center"/>
    </xf>
    <xf numFmtId="0" fontId="38" fillId="0" borderId="0" xfId="0" applyFont="1"/>
    <xf numFmtId="0" fontId="38" fillId="0" borderId="0" xfId="0" applyFont="1" applyFill="1" applyAlignment="1">
      <alignment vertical="center"/>
    </xf>
    <xf numFmtId="0" fontId="0" fillId="0" borderId="2" xfId="0" applyFont="1" applyFill="1" applyBorder="1"/>
    <xf numFmtId="10" fontId="30" fillId="0" borderId="2" xfId="1" applyNumberFormat="1" applyFont="1" applyBorder="1" applyAlignment="1">
      <alignment horizontal="center" vertical="center"/>
    </xf>
    <xf numFmtId="0" fontId="13" fillId="16" borderId="3" xfId="0" applyFont="1" applyFill="1" applyBorder="1" applyAlignment="1">
      <alignment horizontal="center" vertical="center" wrapText="1"/>
    </xf>
    <xf numFmtId="2" fontId="13" fillId="6" borderId="3" xfId="0" applyNumberFormat="1" applyFont="1" applyFill="1" applyBorder="1" applyAlignment="1">
      <alignment horizontal="center" vertical="center" wrapText="1"/>
    </xf>
    <xf numFmtId="0" fontId="13" fillId="6" borderId="3" xfId="0" applyFont="1" applyFill="1" applyBorder="1" applyAlignment="1">
      <alignment horizontal="center" vertical="center" wrapText="1"/>
    </xf>
    <xf numFmtId="0" fontId="5" fillId="9" borderId="3" xfId="0" applyFont="1" applyFill="1" applyBorder="1" applyAlignment="1">
      <alignment horizontal="center" vertical="center" wrapText="1"/>
    </xf>
    <xf numFmtId="0" fontId="13" fillId="9" borderId="3" xfId="0" applyFont="1" applyFill="1" applyBorder="1" applyAlignment="1">
      <alignment horizontal="center" vertical="center" wrapText="1"/>
    </xf>
    <xf numFmtId="0" fontId="13" fillId="9" borderId="3" xfId="0" applyFont="1" applyFill="1" applyBorder="1" applyAlignment="1">
      <alignment horizontal="left" vertical="center" wrapText="1"/>
    </xf>
    <xf numFmtId="0" fontId="9" fillId="8" borderId="3" xfId="0" applyFont="1" applyFill="1" applyBorder="1" applyAlignment="1">
      <alignment horizontal="center" vertical="center" wrapText="1"/>
    </xf>
    <xf numFmtId="0" fontId="13" fillId="13" borderId="3" xfId="0" applyFont="1" applyFill="1" applyBorder="1" applyAlignment="1">
      <alignment horizontal="center" vertical="center" wrapText="1"/>
    </xf>
    <xf numFmtId="0" fontId="33" fillId="13" borderId="3" xfId="0" applyFont="1" applyFill="1" applyBorder="1" applyAlignment="1">
      <alignment horizontal="left" vertical="center" wrapText="1"/>
    </xf>
    <xf numFmtId="0" fontId="10" fillId="3" borderId="3" xfId="0" applyFont="1" applyFill="1" applyBorder="1" applyAlignment="1">
      <alignment horizontal="center" vertical="center" wrapText="1"/>
    </xf>
    <xf numFmtId="0" fontId="26" fillId="3" borderId="3" xfId="0" applyFont="1" applyFill="1" applyBorder="1" applyAlignment="1">
      <alignment horizontal="center" vertical="center" wrapText="1"/>
    </xf>
    <xf numFmtId="0" fontId="10" fillId="3" borderId="3" xfId="0" applyFont="1" applyFill="1" applyBorder="1" applyAlignment="1">
      <alignment horizontal="left" vertical="center" wrapText="1"/>
    </xf>
    <xf numFmtId="0" fontId="13" fillId="16" borderId="3" xfId="0" applyFont="1" applyFill="1" applyBorder="1" applyAlignment="1">
      <alignment horizontal="left" vertical="center" wrapText="1"/>
    </xf>
    <xf numFmtId="0" fontId="10" fillId="3" borderId="3" xfId="2" applyFont="1" applyFill="1" applyBorder="1" applyAlignment="1">
      <alignment horizontal="center" vertical="center" wrapText="1"/>
    </xf>
    <xf numFmtId="0" fontId="10" fillId="4" borderId="3" xfId="2" applyFont="1" applyFill="1" applyBorder="1" applyAlignment="1">
      <alignment horizontal="center" vertical="center" wrapText="1"/>
    </xf>
    <xf numFmtId="0" fontId="10" fillId="5" borderId="3" xfId="2" applyFont="1" applyFill="1" applyBorder="1" applyAlignment="1">
      <alignment horizontal="center" vertical="center" wrapText="1"/>
    </xf>
    <xf numFmtId="0" fontId="13" fillId="6" borderId="3" xfId="2" applyFont="1" applyFill="1" applyBorder="1" applyAlignment="1">
      <alignment horizontal="center" vertical="center" wrapText="1"/>
    </xf>
    <xf numFmtId="0" fontId="10" fillId="7" borderId="3" xfId="2" applyFont="1" applyFill="1" applyBorder="1" applyAlignment="1">
      <alignment horizontal="center" vertical="center" wrapText="1"/>
    </xf>
    <xf numFmtId="0" fontId="10" fillId="2" borderId="3" xfId="2" applyFont="1" applyFill="1" applyBorder="1" applyAlignment="1">
      <alignment horizontal="center" vertical="center" wrapText="1"/>
    </xf>
    <xf numFmtId="0" fontId="13" fillId="13" borderId="3" xfId="2" applyFont="1" applyFill="1" applyBorder="1" applyAlignment="1">
      <alignment horizontal="center" vertical="center" wrapText="1"/>
    </xf>
    <xf numFmtId="0" fontId="13" fillId="14" borderId="3" xfId="2" applyFont="1" applyFill="1" applyBorder="1" applyAlignment="1">
      <alignment horizontal="center" vertical="center" wrapText="1"/>
    </xf>
    <xf numFmtId="0" fontId="13" fillId="15" borderId="3" xfId="2" applyFont="1" applyFill="1" applyBorder="1" applyAlignment="1">
      <alignment horizontal="center" vertical="center" wrapText="1"/>
    </xf>
    <xf numFmtId="0" fontId="47" fillId="0" borderId="1" xfId="0" applyFont="1" applyFill="1" applyBorder="1" applyAlignment="1">
      <alignment horizontal="left"/>
    </xf>
    <xf numFmtId="0" fontId="47" fillId="0" borderId="1" xfId="0" applyFont="1" applyFill="1" applyBorder="1"/>
    <xf numFmtId="0" fontId="47" fillId="0" borderId="1" xfId="0" applyFont="1" applyFill="1" applyBorder="1" applyAlignment="1">
      <alignment vertical="center"/>
    </xf>
    <xf numFmtId="0" fontId="47" fillId="0" borderId="1" xfId="0" applyFont="1" applyFill="1" applyBorder="1" applyAlignment="1">
      <alignment horizontal="left" vertical="center"/>
    </xf>
    <xf numFmtId="9" fontId="47" fillId="0" borderId="1" xfId="0" applyNumberFormat="1" applyFont="1" applyFill="1" applyBorder="1" applyAlignment="1">
      <alignment horizontal="center" vertical="center" wrapText="1"/>
    </xf>
    <xf numFmtId="9" fontId="47" fillId="0" borderId="1" xfId="1" applyFont="1" applyFill="1" applyBorder="1" applyAlignment="1">
      <alignment horizontal="center" vertical="center" wrapText="1"/>
    </xf>
    <xf numFmtId="9" fontId="47" fillId="0" borderId="1" xfId="1" applyFont="1" applyFill="1" applyBorder="1" applyAlignment="1">
      <alignment vertical="center" wrapText="1"/>
    </xf>
    <xf numFmtId="0" fontId="47" fillId="0" borderId="1" xfId="0" applyFont="1" applyFill="1" applyBorder="1" applyAlignment="1">
      <alignment vertical="center" wrapText="1"/>
    </xf>
    <xf numFmtId="0" fontId="48" fillId="0" borderId="1" xfId="0" applyFont="1" applyFill="1" applyBorder="1" applyAlignment="1">
      <alignment horizontal="left" vertical="center" wrapText="1"/>
    </xf>
    <xf numFmtId="0" fontId="47" fillId="0" borderId="1" xfId="0" applyFont="1" applyFill="1" applyBorder="1" applyAlignment="1">
      <alignment horizontal="justify" vertical="top" wrapText="1"/>
    </xf>
    <xf numFmtId="0" fontId="47" fillId="0" borderId="1" xfId="0" applyNumberFormat="1" applyFont="1" applyFill="1" applyBorder="1" applyAlignment="1">
      <alignment horizontal="center" vertical="center" wrapText="1"/>
    </xf>
    <xf numFmtId="164" fontId="47" fillId="0" borderId="1" xfId="3" applyFont="1" applyFill="1" applyBorder="1" applyAlignment="1">
      <alignment horizontal="center" vertical="center" wrapText="1"/>
    </xf>
    <xf numFmtId="164" fontId="47" fillId="0" borderId="1" xfId="3" applyFont="1" applyFill="1" applyBorder="1" applyAlignment="1">
      <alignment horizontal="center" vertical="center"/>
    </xf>
    <xf numFmtId="10" fontId="47" fillId="0" borderId="1" xfId="0" applyNumberFormat="1" applyFont="1" applyFill="1" applyBorder="1" applyAlignment="1">
      <alignment horizontal="center" vertical="center"/>
    </xf>
    <xf numFmtId="0" fontId="47" fillId="0" borderId="1" xfId="0" applyFont="1" applyFill="1" applyBorder="1" applyAlignment="1">
      <alignment horizontal="justify" vertical="center" wrapText="1"/>
    </xf>
    <xf numFmtId="10" fontId="47" fillId="0" borderId="1" xfId="0" applyNumberFormat="1" applyFont="1" applyFill="1" applyBorder="1" applyAlignment="1" applyProtection="1">
      <alignment horizontal="center" vertical="center" wrapText="1"/>
    </xf>
    <xf numFmtId="0" fontId="47" fillId="0" borderId="1" xfId="0" applyFont="1" applyFill="1" applyBorder="1" applyAlignment="1">
      <alignment horizontal="left" wrapText="1"/>
    </xf>
    <xf numFmtId="1" fontId="47" fillId="0" borderId="1" xfId="1" applyNumberFormat="1" applyFont="1" applyFill="1" applyBorder="1" applyAlignment="1">
      <alignment horizontal="center" vertical="center" wrapText="1"/>
    </xf>
    <xf numFmtId="2" fontId="47" fillId="0" borderId="1" xfId="1" applyNumberFormat="1" applyFont="1" applyFill="1" applyBorder="1" applyAlignment="1">
      <alignment horizontal="center" vertical="center"/>
    </xf>
    <xf numFmtId="0" fontId="47" fillId="0" borderId="1" xfId="0" quotePrefix="1" applyFont="1" applyFill="1" applyBorder="1" applyAlignment="1">
      <alignment vertical="center" wrapText="1"/>
    </xf>
    <xf numFmtId="0" fontId="47" fillId="0" borderId="1" xfId="0" quotePrefix="1" applyFont="1" applyFill="1" applyBorder="1" applyAlignment="1">
      <alignment horizontal="left" vertical="center" wrapText="1"/>
    </xf>
    <xf numFmtId="2" fontId="47" fillId="0" borderId="1" xfId="0" applyNumberFormat="1" applyFont="1" applyFill="1" applyBorder="1" applyAlignment="1">
      <alignment vertical="center" wrapText="1"/>
    </xf>
    <xf numFmtId="2" fontId="47" fillId="0" borderId="1" xfId="0" applyNumberFormat="1" applyFont="1" applyFill="1" applyBorder="1" applyAlignment="1">
      <alignment horizontal="right" vertical="center" wrapText="1"/>
    </xf>
    <xf numFmtId="168" fontId="47" fillId="0" borderId="1" xfId="1" applyNumberFormat="1" applyFont="1" applyFill="1" applyBorder="1" applyAlignment="1">
      <alignment horizontal="center" vertical="center"/>
    </xf>
    <xf numFmtId="9" fontId="47" fillId="0" borderId="1" xfId="0" applyNumberFormat="1" applyFont="1" applyFill="1" applyBorder="1" applyAlignment="1">
      <alignment horizontal="right" vertical="center"/>
    </xf>
    <xf numFmtId="0" fontId="47" fillId="0" borderId="1" xfId="0" applyFont="1" applyFill="1" applyBorder="1" applyAlignment="1">
      <alignment horizontal="right" vertical="center"/>
    </xf>
    <xf numFmtId="10" fontId="47" fillId="0" borderId="1" xfId="1" applyNumberFormat="1" applyFont="1" applyFill="1" applyBorder="1" applyAlignment="1">
      <alignment horizontal="right" vertical="center"/>
    </xf>
    <xf numFmtId="10" fontId="47" fillId="0" borderId="1" xfId="1" applyNumberFormat="1" applyFont="1" applyFill="1" applyBorder="1" applyAlignment="1">
      <alignment horizontal="right" vertical="center" wrapText="1"/>
    </xf>
    <xf numFmtId="10" fontId="47" fillId="0" borderId="1" xfId="0" applyNumberFormat="1" applyFont="1" applyFill="1" applyBorder="1" applyAlignment="1">
      <alignment horizontal="right" vertical="center"/>
    </xf>
    <xf numFmtId="0" fontId="47" fillId="0" borderId="1" xfId="0" applyFont="1" applyFill="1" applyBorder="1" applyAlignment="1">
      <alignment horizontal="right" vertical="center" wrapText="1"/>
    </xf>
    <xf numFmtId="10" fontId="47" fillId="0" borderId="1" xfId="0" applyNumberFormat="1" applyFont="1" applyFill="1" applyBorder="1" applyAlignment="1">
      <alignment vertical="center" wrapText="1"/>
    </xf>
    <xf numFmtId="9" fontId="47" fillId="0" borderId="1" xfId="0" applyNumberFormat="1" applyFont="1" applyFill="1" applyBorder="1" applyAlignment="1">
      <alignment vertical="center" wrapText="1"/>
    </xf>
    <xf numFmtId="0" fontId="49" fillId="0" borderId="1" xfId="0" applyFont="1" applyFill="1" applyBorder="1" applyAlignment="1">
      <alignment horizontal="left" vertical="center"/>
    </xf>
    <xf numFmtId="0" fontId="49" fillId="0" borderId="1" xfId="0" applyFont="1" applyFill="1" applyBorder="1" applyAlignment="1">
      <alignment horizontal="center" vertical="center" wrapText="1"/>
    </xf>
    <xf numFmtId="1" fontId="47" fillId="0" borderId="1" xfId="0" applyNumberFormat="1" applyFont="1" applyFill="1" applyBorder="1" applyAlignment="1">
      <alignment horizontal="right" vertical="center" wrapText="1"/>
    </xf>
    <xf numFmtId="0" fontId="47" fillId="0" borderId="1" xfId="0" applyFont="1" applyFill="1" applyBorder="1" applyAlignment="1">
      <alignment horizontal="right"/>
    </xf>
    <xf numFmtId="10" fontId="47" fillId="0" borderId="1" xfId="0" applyNumberFormat="1" applyFont="1" applyFill="1" applyBorder="1" applyAlignment="1">
      <alignment horizontal="right" vertical="center" wrapText="1"/>
    </xf>
    <xf numFmtId="3" fontId="47" fillId="0" borderId="1" xfId="0" applyNumberFormat="1" applyFont="1" applyFill="1" applyBorder="1" applyAlignment="1">
      <alignment horizontal="center" vertical="center" wrapText="1"/>
    </xf>
    <xf numFmtId="0" fontId="47" fillId="0" borderId="1" xfId="0" quotePrefix="1" applyFont="1" applyFill="1" applyBorder="1" applyAlignment="1">
      <alignment horizontal="center" vertical="center" wrapText="1"/>
    </xf>
    <xf numFmtId="165" fontId="47" fillId="0" borderId="1" xfId="0" applyNumberFormat="1" applyFont="1" applyFill="1" applyBorder="1" applyAlignment="1">
      <alignment horizontal="center" vertical="center"/>
    </xf>
    <xf numFmtId="0" fontId="47" fillId="0" borderId="1" xfId="0" applyFont="1" applyFill="1" applyBorder="1" applyAlignment="1">
      <alignment wrapText="1"/>
    </xf>
    <xf numFmtId="0" fontId="50" fillId="0" borderId="1" xfId="0" applyFont="1" applyFill="1" applyBorder="1" applyAlignment="1">
      <alignment horizontal="center" vertical="top" wrapText="1"/>
    </xf>
    <xf numFmtId="0" fontId="47" fillId="0" borderId="1" xfId="0" applyFont="1" applyFill="1" applyBorder="1" applyAlignment="1">
      <alignment horizontal="center" wrapText="1"/>
    </xf>
    <xf numFmtId="4" fontId="47" fillId="0" borderId="1" xfId="0" applyNumberFormat="1" applyFont="1" applyFill="1" applyBorder="1" applyAlignment="1">
      <alignment vertical="center" wrapText="1"/>
    </xf>
    <xf numFmtId="167" fontId="47" fillId="0" borderId="1" xfId="0" applyNumberFormat="1" applyFont="1" applyFill="1" applyBorder="1" applyAlignment="1">
      <alignment vertical="center" wrapText="1"/>
    </xf>
    <xf numFmtId="166" fontId="47" fillId="0" borderId="1" xfId="0" applyNumberFormat="1" applyFont="1" applyFill="1" applyBorder="1" applyAlignment="1">
      <alignment vertical="center" wrapText="1"/>
    </xf>
    <xf numFmtId="14" fontId="47" fillId="0" borderId="1" xfId="0" applyNumberFormat="1" applyFont="1" applyFill="1" applyBorder="1" applyAlignment="1">
      <alignment horizontal="center" vertical="center"/>
    </xf>
    <xf numFmtId="167" fontId="47" fillId="0" borderId="1" xfId="0" applyNumberFormat="1" applyFont="1" applyFill="1" applyBorder="1" applyAlignment="1">
      <alignment horizontal="left"/>
    </xf>
    <xf numFmtId="165" fontId="47" fillId="0" borderId="1" xfId="0" applyNumberFormat="1" applyFont="1" applyFill="1" applyBorder="1" applyAlignment="1">
      <alignment horizontal="center" vertical="center" wrapText="1"/>
    </xf>
    <xf numFmtId="166" fontId="47" fillId="0" borderId="1" xfId="0" applyNumberFormat="1" applyFont="1" applyFill="1" applyBorder="1" applyAlignment="1">
      <alignment horizontal="center" vertical="center" wrapText="1"/>
    </xf>
    <xf numFmtId="9" fontId="47" fillId="0" borderId="1" xfId="1" applyNumberFormat="1" applyFont="1" applyFill="1" applyBorder="1" applyAlignment="1">
      <alignment horizontal="center" vertical="center"/>
    </xf>
    <xf numFmtId="17" fontId="47" fillId="0" borderId="1" xfId="0" applyNumberFormat="1" applyFont="1" applyFill="1" applyBorder="1" applyAlignment="1">
      <alignment horizontal="center" vertical="center"/>
    </xf>
    <xf numFmtId="9" fontId="47" fillId="0" borderId="1" xfId="0" applyNumberFormat="1" applyFont="1" applyFill="1" applyBorder="1" applyAlignment="1">
      <alignment horizontal="right" vertical="center" wrapText="1"/>
    </xf>
    <xf numFmtId="166" fontId="47" fillId="0" borderId="1" xfId="0" applyNumberFormat="1" applyFont="1" applyFill="1" applyBorder="1" applyAlignment="1">
      <alignment horizontal="right" vertical="center" wrapText="1"/>
    </xf>
    <xf numFmtId="3" fontId="47" fillId="0" borderId="1" xfId="0" applyNumberFormat="1" applyFont="1" applyFill="1" applyBorder="1" applyAlignment="1">
      <alignment vertical="center" wrapText="1"/>
    </xf>
    <xf numFmtId="165" fontId="47" fillId="0" borderId="1" xfId="0" applyNumberFormat="1" applyFont="1" applyFill="1" applyBorder="1" applyAlignment="1">
      <alignment horizontal="right" vertical="center" wrapText="1"/>
    </xf>
    <xf numFmtId="0" fontId="47" fillId="0" borderId="1" xfId="0" applyFont="1" applyFill="1" applyBorder="1" applyAlignment="1">
      <alignment horizontal="right" vertical="center" wrapText="1" indent="1"/>
    </xf>
    <xf numFmtId="49" fontId="47" fillId="0" borderId="1" xfId="0" applyNumberFormat="1" applyFont="1" applyFill="1" applyBorder="1" applyAlignment="1">
      <alignment horizontal="center" vertical="top" wrapText="1"/>
    </xf>
    <xf numFmtId="3" fontId="47" fillId="0" borderId="1" xfId="0" applyNumberFormat="1" applyFont="1" applyFill="1" applyBorder="1" applyAlignment="1">
      <alignment horizontal="right" vertical="center" wrapText="1"/>
    </xf>
    <xf numFmtId="0" fontId="47" fillId="0" borderId="1" xfId="0" applyFont="1" applyFill="1" applyBorder="1" applyAlignment="1">
      <alignment horizontal="center" vertical="top" wrapText="1"/>
    </xf>
    <xf numFmtId="170" fontId="47" fillId="0" borderId="1" xfId="3" applyNumberFormat="1" applyFont="1" applyFill="1" applyBorder="1" applyAlignment="1">
      <alignment horizontal="right" vertical="center" wrapText="1"/>
    </xf>
    <xf numFmtId="171" fontId="47" fillId="0" borderId="1" xfId="3" applyNumberFormat="1" applyFont="1" applyFill="1" applyBorder="1" applyAlignment="1">
      <alignment horizontal="right" vertical="center" wrapText="1"/>
    </xf>
    <xf numFmtId="2" fontId="47" fillId="0" borderId="1" xfId="1" applyNumberFormat="1" applyFont="1" applyFill="1" applyBorder="1" applyAlignment="1">
      <alignment horizontal="center" vertical="center" wrapText="1"/>
    </xf>
    <xf numFmtId="9" fontId="47" fillId="0" borderId="1" xfId="1" applyFont="1" applyFill="1" applyBorder="1" applyAlignment="1">
      <alignment horizontal="center" vertical="center"/>
    </xf>
    <xf numFmtId="10" fontId="47" fillId="0" borderId="1" xfId="1" applyNumberFormat="1" applyFont="1" applyFill="1" applyBorder="1" applyAlignment="1">
      <alignment horizontal="center" vertical="center" wrapText="1"/>
    </xf>
    <xf numFmtId="2" fontId="47" fillId="0" borderId="1" xfId="0" applyNumberFormat="1" applyFont="1" applyFill="1" applyBorder="1" applyAlignment="1">
      <alignment vertical="center"/>
    </xf>
    <xf numFmtId="17" fontId="47" fillId="0" borderId="1" xfId="0" applyNumberFormat="1" applyFont="1" applyFill="1" applyBorder="1" applyAlignment="1">
      <alignment horizontal="right" vertical="center" wrapText="1"/>
    </xf>
    <xf numFmtId="17" fontId="47" fillId="0" borderId="1" xfId="0" applyNumberFormat="1" applyFont="1" applyFill="1" applyBorder="1" applyAlignment="1">
      <alignment horizontal="right" vertical="center"/>
    </xf>
    <xf numFmtId="17" fontId="47" fillId="0" borderId="1" xfId="0" applyNumberFormat="1" applyFont="1" applyFill="1" applyBorder="1" applyAlignment="1">
      <alignment horizontal="center" vertical="center" wrapText="1"/>
    </xf>
    <xf numFmtId="17" fontId="47" fillId="0" borderId="1" xfId="0" applyNumberFormat="1" applyFont="1" applyFill="1" applyBorder="1" applyAlignment="1">
      <alignment horizontal="left" vertical="center" wrapText="1"/>
    </xf>
    <xf numFmtId="1" fontId="47" fillId="0" borderId="1" xfId="3" applyNumberFormat="1" applyFont="1" applyFill="1" applyBorder="1" applyAlignment="1">
      <alignment horizontal="center" vertical="center" wrapText="1"/>
    </xf>
    <xf numFmtId="2" fontId="47" fillId="0" borderId="1" xfId="3" applyNumberFormat="1" applyFont="1" applyFill="1" applyBorder="1" applyAlignment="1">
      <alignment horizontal="center" vertical="center" wrapText="1"/>
    </xf>
    <xf numFmtId="4" fontId="47" fillId="0" borderId="1" xfId="0" applyNumberFormat="1" applyFont="1" applyFill="1" applyBorder="1" applyAlignment="1">
      <alignment horizontal="right" vertical="center"/>
    </xf>
    <xf numFmtId="17" fontId="47" fillId="0" borderId="1" xfId="0" applyNumberFormat="1" applyFont="1" applyFill="1" applyBorder="1" applyAlignment="1">
      <alignment vertical="center"/>
    </xf>
    <xf numFmtId="165" fontId="47" fillId="0" borderId="1" xfId="1" applyNumberFormat="1" applyFont="1" applyFill="1" applyBorder="1" applyAlignment="1">
      <alignment horizontal="center" vertical="center" wrapText="1"/>
    </xf>
    <xf numFmtId="9" fontId="47" fillId="0" borderId="1" xfId="1" applyNumberFormat="1" applyFont="1" applyFill="1" applyBorder="1" applyAlignment="1">
      <alignment vertical="center" wrapText="1"/>
    </xf>
    <xf numFmtId="9" fontId="47" fillId="0" borderId="1" xfId="0" applyNumberFormat="1" applyFont="1" applyFill="1" applyBorder="1" applyAlignment="1">
      <alignment vertical="center"/>
    </xf>
    <xf numFmtId="49" fontId="47" fillId="0" borderId="1" xfId="0" applyNumberFormat="1" applyFont="1" applyFill="1" applyBorder="1" applyAlignment="1">
      <alignment vertical="center" wrapText="1"/>
    </xf>
    <xf numFmtId="1" fontId="47" fillId="0" borderId="1" xfId="0" applyNumberFormat="1" applyFont="1" applyFill="1" applyBorder="1" applyAlignment="1">
      <alignment vertical="center" wrapText="1"/>
    </xf>
    <xf numFmtId="9" fontId="47" fillId="0" borderId="1" xfId="1" applyFont="1" applyFill="1" applyBorder="1" applyAlignment="1">
      <alignment vertical="center"/>
    </xf>
    <xf numFmtId="10" fontId="47" fillId="0" borderId="1" xfId="1" applyNumberFormat="1" applyFont="1" applyFill="1" applyBorder="1" applyAlignment="1">
      <alignment vertical="center"/>
    </xf>
    <xf numFmtId="10" fontId="47" fillId="0" borderId="1" xfId="0" applyNumberFormat="1" applyFont="1" applyFill="1" applyBorder="1" applyAlignment="1">
      <alignment vertical="center"/>
    </xf>
    <xf numFmtId="9" fontId="47" fillId="0" borderId="1" xfId="1" applyFont="1" applyFill="1" applyBorder="1" applyAlignment="1">
      <alignment horizontal="right" vertical="center"/>
    </xf>
    <xf numFmtId="10" fontId="47" fillId="0" borderId="1" xfId="1" applyNumberFormat="1" applyFont="1" applyFill="1" applyBorder="1"/>
    <xf numFmtId="9" fontId="47" fillId="0" borderId="1" xfId="1" applyFont="1" applyFill="1" applyBorder="1"/>
    <xf numFmtId="10" fontId="47" fillId="0" borderId="1" xfId="0" applyNumberFormat="1" applyFont="1" applyFill="1" applyBorder="1"/>
    <xf numFmtId="3" fontId="47" fillId="0" borderId="1" xfId="0" applyNumberFormat="1" applyFont="1" applyFill="1" applyBorder="1" applyAlignment="1">
      <alignment vertical="center"/>
    </xf>
    <xf numFmtId="0" fontId="47" fillId="0" borderId="1" xfId="0" applyFont="1" applyFill="1" applyBorder="1" applyAlignment="1">
      <alignment vertical="top" wrapText="1"/>
    </xf>
    <xf numFmtId="0" fontId="47" fillId="0" borderId="1" xfId="0" applyFont="1" applyFill="1" applyBorder="1" applyAlignment="1">
      <alignment horizontal="left" vertical="top" wrapText="1"/>
    </xf>
    <xf numFmtId="169" fontId="47" fillId="0" borderId="1" xfId="3" applyNumberFormat="1" applyFont="1" applyFill="1" applyBorder="1" applyAlignment="1">
      <alignment horizontal="center" vertical="center" wrapText="1"/>
    </xf>
    <xf numFmtId="169" fontId="47" fillId="0" borderId="1" xfId="3" applyNumberFormat="1" applyFont="1" applyFill="1" applyBorder="1" applyAlignment="1">
      <alignment horizontal="center" vertical="center"/>
    </xf>
    <xf numFmtId="169" fontId="47" fillId="0" borderId="1" xfId="3" applyNumberFormat="1" applyFont="1" applyFill="1" applyBorder="1" applyAlignment="1">
      <alignment vertical="center" wrapText="1"/>
    </xf>
    <xf numFmtId="165" fontId="47" fillId="0" borderId="1" xfId="0" applyNumberFormat="1" applyFont="1" applyFill="1" applyBorder="1" applyAlignment="1">
      <alignment vertical="center" wrapText="1"/>
    </xf>
    <xf numFmtId="165" fontId="47" fillId="0" borderId="1" xfId="0" applyNumberFormat="1" applyFont="1" applyFill="1" applyBorder="1" applyAlignment="1">
      <alignment vertical="center"/>
    </xf>
    <xf numFmtId="165" fontId="47" fillId="0" borderId="1" xfId="1" applyNumberFormat="1" applyFont="1" applyFill="1" applyBorder="1" applyAlignment="1">
      <alignment horizontal="center" vertical="center"/>
    </xf>
    <xf numFmtId="0" fontId="44" fillId="0" borderId="1" xfId="0" applyFont="1" applyBorder="1" applyAlignment="1">
      <alignment horizontal="center" vertical="center" wrapText="1"/>
    </xf>
    <xf numFmtId="1" fontId="47" fillId="0" borderId="1" xfId="0" applyNumberFormat="1" applyFont="1" applyFill="1" applyBorder="1" applyAlignment="1">
      <alignment horizontal="center" vertical="center" wrapText="1"/>
    </xf>
    <xf numFmtId="2" fontId="47" fillId="0" borderId="1" xfId="0" applyNumberFormat="1" applyFont="1" applyFill="1" applyBorder="1" applyAlignment="1">
      <alignment horizontal="center" vertical="center" wrapText="1"/>
    </xf>
    <xf numFmtId="3" fontId="47" fillId="0" borderId="1" xfId="1" applyNumberFormat="1" applyFont="1" applyFill="1" applyBorder="1" applyAlignment="1">
      <alignment horizontal="center" vertical="center"/>
    </xf>
    <xf numFmtId="3" fontId="47" fillId="0" borderId="1" xfId="0" applyNumberFormat="1" applyFont="1" applyFill="1" applyBorder="1" applyAlignment="1">
      <alignment horizontal="center" vertical="center"/>
    </xf>
    <xf numFmtId="1" fontId="47" fillId="0" borderId="1" xfId="1" applyNumberFormat="1" applyFont="1" applyFill="1" applyBorder="1" applyAlignment="1">
      <alignment horizontal="center" vertical="center"/>
    </xf>
    <xf numFmtId="167" fontId="47" fillId="0" borderId="1" xfId="1" applyNumberFormat="1" applyFont="1" applyFill="1" applyBorder="1" applyAlignment="1">
      <alignment horizontal="center" vertical="center"/>
    </xf>
    <xf numFmtId="166" fontId="47" fillId="0" borderId="1" xfId="1" applyNumberFormat="1" applyFont="1" applyFill="1" applyBorder="1" applyAlignment="1">
      <alignment horizontal="center" vertical="center"/>
    </xf>
    <xf numFmtId="2" fontId="47" fillId="0" borderId="1" xfId="0" applyNumberFormat="1" applyFont="1" applyFill="1" applyBorder="1" applyAlignment="1">
      <alignment horizontal="center"/>
    </xf>
    <xf numFmtId="2" fontId="47" fillId="0" borderId="1" xfId="0" applyNumberFormat="1" applyFont="1" applyFill="1" applyBorder="1" applyAlignment="1">
      <alignment horizontal="center" vertical="center"/>
    </xf>
    <xf numFmtId="0" fontId="47" fillId="0" borderId="1" xfId="0" applyFont="1" applyFill="1" applyBorder="1" applyAlignment="1">
      <alignment horizontal="center"/>
    </xf>
    <xf numFmtId="4" fontId="47" fillId="0" borderId="1" xfId="1" applyNumberFormat="1" applyFont="1" applyFill="1" applyBorder="1" applyAlignment="1">
      <alignment horizontal="center" vertical="center"/>
    </xf>
    <xf numFmtId="4" fontId="47" fillId="0" borderId="1" xfId="0" applyNumberFormat="1" applyFont="1" applyFill="1" applyBorder="1" applyAlignment="1">
      <alignment horizontal="center" vertical="center" wrapText="1"/>
    </xf>
    <xf numFmtId="167" fontId="47" fillId="0" borderId="1" xfId="0" applyNumberFormat="1" applyFont="1" applyFill="1" applyBorder="1" applyAlignment="1">
      <alignment horizontal="center" vertical="center"/>
    </xf>
    <xf numFmtId="167" fontId="47" fillId="0" borderId="1" xfId="0" applyNumberFormat="1" applyFont="1" applyFill="1" applyBorder="1" applyAlignment="1">
      <alignment horizontal="center" vertical="center" wrapText="1"/>
    </xf>
    <xf numFmtId="9" fontId="47" fillId="0" borderId="1" xfId="0" applyNumberFormat="1" applyFont="1" applyFill="1" applyBorder="1" applyAlignment="1">
      <alignment horizontal="center" vertical="center"/>
    </xf>
    <xf numFmtId="10" fontId="47" fillId="0" borderId="1" xfId="0" applyNumberFormat="1" applyFont="1" applyFill="1" applyBorder="1" applyAlignment="1">
      <alignment horizontal="center" vertical="center" wrapText="1"/>
    </xf>
    <xf numFmtId="10" fontId="47" fillId="0" borderId="1" xfId="1" applyNumberFormat="1" applyFont="1" applyFill="1" applyBorder="1" applyAlignment="1">
      <alignment horizontal="center" vertical="center"/>
    </xf>
    <xf numFmtId="0" fontId="47" fillId="0" borderId="1" xfId="0" applyFont="1" applyFill="1" applyBorder="1" applyAlignment="1">
      <alignment horizontal="left" vertical="center" wrapText="1"/>
    </xf>
    <xf numFmtId="0" fontId="52" fillId="0" borderId="0" xfId="0" applyFont="1" applyFill="1" applyBorder="1"/>
    <xf numFmtId="0" fontId="52" fillId="0" borderId="0" xfId="0" applyFont="1" applyFill="1"/>
    <xf numFmtId="10" fontId="52" fillId="0" borderId="0" xfId="1" applyNumberFormat="1" applyFont="1" applyFill="1" applyBorder="1" applyAlignment="1">
      <alignment horizontal="left" vertical="center"/>
    </xf>
    <xf numFmtId="0" fontId="40" fillId="0" borderId="0" xfId="0" applyFont="1" applyFill="1" applyBorder="1" applyAlignment="1">
      <alignment horizontal="left" vertical="justify"/>
    </xf>
    <xf numFmtId="0" fontId="47" fillId="0" borderId="1" xfId="0" applyFont="1" applyFill="1" applyBorder="1" applyAlignment="1">
      <alignment vertical="top"/>
    </xf>
    <xf numFmtId="49" fontId="47" fillId="0" borderId="1" xfId="0" applyNumberFormat="1" applyFont="1" applyFill="1" applyBorder="1" applyAlignment="1">
      <alignment horizontal="left" vertical="center" wrapText="1"/>
    </xf>
    <xf numFmtId="1" fontId="47" fillId="0" borderId="1" xfId="0" applyNumberFormat="1" applyFont="1" applyFill="1" applyBorder="1" applyAlignment="1">
      <alignment horizontal="left" vertical="center" wrapText="1"/>
    </xf>
    <xf numFmtId="0" fontId="50" fillId="0" borderId="1" xfId="0" applyFont="1" applyFill="1" applyBorder="1" applyAlignment="1">
      <alignment horizontal="center" vertical="top"/>
    </xf>
    <xf numFmtId="0" fontId="47" fillId="0" borderId="1" xfId="0" applyFont="1" applyFill="1" applyBorder="1" applyAlignment="1">
      <alignment horizontal="center" vertical="top"/>
    </xf>
    <xf numFmtId="10" fontId="47" fillId="0" borderId="1" xfId="0" quotePrefix="1" applyNumberFormat="1" applyFont="1" applyFill="1" applyBorder="1" applyAlignment="1">
      <alignment horizontal="center" vertical="top" wrapText="1"/>
    </xf>
    <xf numFmtId="0" fontId="47" fillId="0" borderId="1" xfId="0" quotePrefix="1" applyFont="1" applyFill="1" applyBorder="1" applyAlignment="1">
      <alignment horizontal="center" vertical="top"/>
    </xf>
    <xf numFmtId="10" fontId="47" fillId="0" borderId="1" xfId="0" applyNumberFormat="1" applyFont="1" applyFill="1" applyBorder="1" applyAlignment="1">
      <alignment horizontal="center" vertical="top" wrapText="1"/>
    </xf>
    <xf numFmtId="0" fontId="47" fillId="0" borderId="1" xfId="0" applyFont="1" applyFill="1" applyBorder="1" applyAlignment="1">
      <alignment horizontal="center" vertical="justify"/>
    </xf>
    <xf numFmtId="1" fontId="47" fillId="0" borderId="1" xfId="0" applyNumberFormat="1" applyFont="1" applyFill="1" applyBorder="1" applyAlignment="1">
      <alignment horizontal="center" vertical="top" wrapText="1"/>
    </xf>
    <xf numFmtId="165" fontId="47" fillId="0" borderId="1" xfId="1" applyNumberFormat="1" applyFont="1" applyFill="1" applyBorder="1" applyAlignment="1">
      <alignment horizontal="center" vertical="top" wrapText="1"/>
    </xf>
    <xf numFmtId="10" fontId="47" fillId="0" borderId="1" xfId="1" applyNumberFormat="1" applyFont="1" applyFill="1" applyBorder="1" applyAlignment="1">
      <alignment horizontal="center" vertical="top" wrapText="1"/>
    </xf>
    <xf numFmtId="0" fontId="47" fillId="0" borderId="1" xfId="0" applyFont="1" applyFill="1" applyBorder="1" applyAlignment="1">
      <alignment horizontal="left" vertical="justify"/>
    </xf>
    <xf numFmtId="0" fontId="47" fillId="0" borderId="1" xfId="0" applyNumberFormat="1" applyFont="1" applyFill="1" applyBorder="1" applyAlignment="1">
      <alignment vertical="center"/>
    </xf>
    <xf numFmtId="165" fontId="47" fillId="0" borderId="1" xfId="1" applyNumberFormat="1" applyFont="1" applyFill="1" applyBorder="1" applyAlignment="1">
      <alignment vertical="center"/>
    </xf>
    <xf numFmtId="0" fontId="47" fillId="0" borderId="1" xfId="0" applyNumberFormat="1" applyFont="1" applyFill="1" applyBorder="1" applyAlignment="1">
      <alignment vertical="center" wrapText="1"/>
    </xf>
    <xf numFmtId="0" fontId="50" fillId="0" borderId="1" xfId="0" applyFont="1" applyFill="1" applyBorder="1" applyAlignment="1">
      <alignment vertical="center" wrapText="1"/>
    </xf>
    <xf numFmtId="166" fontId="47" fillId="0" borderId="1" xfId="0" applyNumberFormat="1" applyFont="1" applyFill="1" applyBorder="1" applyAlignment="1">
      <alignment vertical="center"/>
    </xf>
    <xf numFmtId="9" fontId="47" fillId="0" borderId="1" xfId="3" applyNumberFormat="1" applyFont="1" applyFill="1" applyBorder="1" applyAlignment="1">
      <alignment vertical="center"/>
    </xf>
    <xf numFmtId="9" fontId="47" fillId="0" borderId="1" xfId="3" applyNumberFormat="1" applyFont="1" applyFill="1" applyBorder="1" applyAlignment="1">
      <alignment horizontal="center" vertical="center" wrapText="1"/>
    </xf>
    <xf numFmtId="2" fontId="47" fillId="0" borderId="1" xfId="0" applyNumberFormat="1" applyFont="1" applyFill="1" applyBorder="1" applyAlignment="1">
      <alignment horizontal="left" vertical="center" wrapText="1"/>
    </xf>
    <xf numFmtId="10" fontId="47" fillId="0" borderId="1" xfId="1" applyNumberFormat="1" applyFont="1" applyFill="1" applyBorder="1" applyAlignment="1">
      <alignment horizontal="left" vertical="center"/>
    </xf>
    <xf numFmtId="49" fontId="47" fillId="0" borderId="1" xfId="0" applyNumberFormat="1" applyFont="1" applyFill="1" applyBorder="1" applyAlignment="1">
      <alignment horizontal="center" vertical="center"/>
    </xf>
    <xf numFmtId="2" fontId="47" fillId="0" borderId="1" xfId="0" applyNumberFormat="1" applyFont="1" applyFill="1" applyBorder="1" applyAlignment="1" applyProtection="1">
      <alignment horizontal="center" vertical="center" wrapText="1"/>
    </xf>
    <xf numFmtId="1" fontId="47" fillId="0" borderId="1" xfId="0" applyNumberFormat="1" applyFont="1" applyFill="1" applyBorder="1" applyAlignment="1">
      <alignment horizontal="center" vertical="center"/>
    </xf>
    <xf numFmtId="165" fontId="47" fillId="0" borderId="1" xfId="1" applyNumberFormat="1" applyFont="1" applyFill="1" applyBorder="1" applyAlignment="1" applyProtection="1">
      <alignment horizontal="center" vertical="center" wrapText="1"/>
    </xf>
    <xf numFmtId="172" fontId="47" fillId="0" borderId="1" xfId="1" applyNumberFormat="1" applyFont="1" applyFill="1" applyBorder="1" applyAlignment="1">
      <alignment horizontal="center" vertical="center"/>
    </xf>
    <xf numFmtId="173" fontId="47" fillId="0" borderId="1" xfId="3" applyNumberFormat="1" applyFont="1" applyFill="1" applyBorder="1" applyAlignment="1">
      <alignment horizontal="center" vertical="center"/>
    </xf>
    <xf numFmtId="0" fontId="47" fillId="0" borderId="1" xfId="1" applyNumberFormat="1" applyFont="1" applyFill="1" applyBorder="1" applyAlignment="1">
      <alignment horizontal="center" vertical="center"/>
    </xf>
    <xf numFmtId="0" fontId="48" fillId="0" borderId="1" xfId="5" applyFont="1" applyFill="1" applyBorder="1" applyAlignment="1">
      <alignment vertical="center" wrapText="1"/>
    </xf>
    <xf numFmtId="0" fontId="47" fillId="0" borderId="1" xfId="4" applyFont="1" applyFill="1" applyBorder="1" applyAlignment="1">
      <alignment vertical="center" wrapText="1"/>
    </xf>
    <xf numFmtId="0" fontId="47" fillId="0" borderId="1" xfId="0" applyFont="1" applyFill="1" applyBorder="1" applyAlignment="1">
      <alignment horizontal="left" vertical="top"/>
    </xf>
    <xf numFmtId="2" fontId="47" fillId="0" borderId="1" xfId="0" applyNumberFormat="1" applyFont="1" applyFill="1" applyBorder="1" applyAlignment="1">
      <alignment horizontal="center" vertical="top" wrapText="1"/>
    </xf>
    <xf numFmtId="2" fontId="47" fillId="0" borderId="1" xfId="1" applyNumberFormat="1" applyFont="1" applyFill="1" applyBorder="1" applyAlignment="1">
      <alignment horizontal="center" vertical="top"/>
    </xf>
    <xf numFmtId="10" fontId="47" fillId="0" borderId="1" xfId="1" applyNumberFormat="1" applyFont="1" applyFill="1" applyBorder="1" applyAlignment="1">
      <alignment horizontal="center" vertical="top"/>
    </xf>
    <xf numFmtId="2" fontId="47" fillId="0" borderId="1" xfId="0" applyNumberFormat="1" applyFont="1" applyFill="1" applyBorder="1" applyAlignment="1">
      <alignment horizontal="center" vertical="top"/>
    </xf>
    <xf numFmtId="10" fontId="47" fillId="0" borderId="1" xfId="0" applyNumberFormat="1" applyFont="1" applyFill="1" applyBorder="1" applyAlignment="1">
      <alignment horizontal="center" vertical="top"/>
    </xf>
    <xf numFmtId="9" fontId="47" fillId="0" borderId="1" xfId="0" applyNumberFormat="1" applyFont="1" applyFill="1" applyBorder="1" applyAlignment="1">
      <alignment vertical="top"/>
    </xf>
    <xf numFmtId="10" fontId="47" fillId="0" borderId="1" xfId="0" applyNumberFormat="1" applyFont="1" applyFill="1" applyBorder="1" applyAlignment="1">
      <alignment vertical="top" wrapText="1"/>
    </xf>
    <xf numFmtId="10" fontId="47" fillId="0" borderId="1" xfId="0" applyNumberFormat="1" applyFont="1" applyFill="1" applyBorder="1" applyAlignment="1">
      <alignment vertical="top"/>
    </xf>
    <xf numFmtId="166" fontId="47" fillId="0" borderId="1" xfId="1" applyNumberFormat="1" applyFont="1" applyFill="1" applyBorder="1" applyAlignment="1">
      <alignment horizontal="center" vertical="top"/>
    </xf>
    <xf numFmtId="175" fontId="47" fillId="0" borderId="1" xfId="6" applyNumberFormat="1" applyFont="1" applyFill="1" applyBorder="1" applyAlignment="1">
      <alignment horizontal="center" vertical="center" wrapText="1"/>
    </xf>
    <xf numFmtId="174" fontId="47" fillId="0" borderId="1" xfId="1" applyNumberFormat="1" applyFont="1" applyFill="1" applyBorder="1" applyAlignment="1">
      <alignment horizontal="center" vertical="center"/>
    </xf>
    <xf numFmtId="2" fontId="47" fillId="0" borderId="1" xfId="0" applyNumberFormat="1" applyFont="1" applyFill="1" applyBorder="1"/>
    <xf numFmtId="169" fontId="47" fillId="0" borderId="1" xfId="6" applyNumberFormat="1" applyFont="1" applyFill="1" applyBorder="1" applyAlignment="1">
      <alignment horizontal="center" vertical="center" wrapText="1"/>
    </xf>
    <xf numFmtId="169" fontId="47" fillId="0" borderId="1" xfId="6" applyNumberFormat="1" applyFont="1" applyFill="1" applyBorder="1" applyAlignment="1">
      <alignment horizontal="center" vertical="center"/>
    </xf>
    <xf numFmtId="175" fontId="47" fillId="0" borderId="1" xfId="3" applyNumberFormat="1" applyFont="1" applyFill="1" applyBorder="1" applyAlignment="1">
      <alignment horizontal="center" vertical="center"/>
    </xf>
    <xf numFmtId="4" fontId="47" fillId="0" borderId="1" xfId="0" applyNumberFormat="1" applyFont="1" applyFill="1" applyBorder="1" applyAlignment="1">
      <alignment horizontal="center" vertical="center"/>
    </xf>
    <xf numFmtId="175" fontId="47" fillId="0" borderId="1" xfId="3" applyNumberFormat="1" applyFont="1" applyFill="1" applyBorder="1" applyAlignment="1">
      <alignment horizontal="center" vertical="center" wrapText="1"/>
    </xf>
    <xf numFmtId="171" fontId="47" fillId="0" borderId="1" xfId="3" applyNumberFormat="1" applyFont="1" applyFill="1" applyBorder="1" applyAlignment="1">
      <alignment horizontal="center" vertical="center" wrapText="1"/>
    </xf>
    <xf numFmtId="0" fontId="45" fillId="0" borderId="0" xfId="0" applyFont="1" applyBorder="1"/>
    <xf numFmtId="0" fontId="47" fillId="0" borderId="1" xfId="0" applyNumberFormat="1" applyFont="1" applyFill="1" applyBorder="1" applyAlignment="1">
      <alignment horizontal="left" vertical="center" wrapText="1"/>
    </xf>
    <xf numFmtId="0" fontId="47" fillId="0" borderId="1" xfId="0" applyNumberFormat="1" applyFont="1" applyFill="1" applyBorder="1" applyAlignment="1">
      <alignment horizontal="left" vertical="center"/>
    </xf>
    <xf numFmtId="164" fontId="47" fillId="0" borderId="1" xfId="1" applyNumberFormat="1" applyFont="1" applyFill="1" applyBorder="1" applyAlignment="1">
      <alignment horizontal="center" vertical="center"/>
    </xf>
    <xf numFmtId="2" fontId="47" fillId="0" borderId="1" xfId="0" quotePrefix="1" applyNumberFormat="1" applyFont="1" applyFill="1" applyBorder="1" applyAlignment="1">
      <alignment horizontal="center" vertical="center" wrapText="1"/>
    </xf>
    <xf numFmtId="0" fontId="47" fillId="0" borderId="1" xfId="0" applyFont="1" applyFill="1" applyBorder="1" applyAlignment="1">
      <alignment horizontal="justify" vertical="center"/>
    </xf>
    <xf numFmtId="10" fontId="47" fillId="0" borderId="1" xfId="3" applyNumberFormat="1" applyFont="1" applyFill="1" applyBorder="1" applyAlignment="1">
      <alignment horizontal="left" vertical="center" wrapText="1"/>
    </xf>
    <xf numFmtId="10" fontId="47" fillId="0" borderId="1" xfId="3" applyNumberFormat="1" applyFont="1" applyFill="1" applyBorder="1" applyAlignment="1">
      <alignment horizontal="center" vertical="center" wrapText="1"/>
    </xf>
    <xf numFmtId="10" fontId="47" fillId="0" borderId="1" xfId="1" quotePrefix="1" applyNumberFormat="1" applyFont="1" applyFill="1" applyBorder="1" applyAlignment="1">
      <alignment horizontal="center" vertical="center"/>
    </xf>
    <xf numFmtId="2" fontId="47" fillId="0" borderId="1" xfId="0" applyNumberFormat="1" applyFont="1" applyFill="1" applyBorder="1" applyAlignment="1">
      <alignment horizontal="right" vertical="center"/>
    </xf>
    <xf numFmtId="176" fontId="47" fillId="0" borderId="1" xfId="3" applyNumberFormat="1" applyFont="1" applyFill="1" applyBorder="1" applyAlignment="1">
      <alignment horizontal="center" vertical="center"/>
    </xf>
    <xf numFmtId="43" fontId="47" fillId="0" borderId="1" xfId="3" applyNumberFormat="1" applyFont="1" applyFill="1" applyBorder="1" applyAlignment="1">
      <alignment horizontal="center" vertical="center"/>
    </xf>
    <xf numFmtId="0" fontId="50" fillId="0" borderId="1" xfId="0" applyFont="1" applyFill="1" applyBorder="1" applyAlignment="1">
      <alignment horizontal="center" vertical="center" wrapText="1"/>
    </xf>
    <xf numFmtId="0" fontId="47" fillId="0" borderId="1" xfId="0" quotePrefix="1" applyFont="1" applyFill="1" applyBorder="1" applyAlignment="1">
      <alignment horizontal="center" vertical="center"/>
    </xf>
    <xf numFmtId="176" fontId="47" fillId="0" borderId="1" xfId="3" applyNumberFormat="1" applyFont="1" applyFill="1" applyBorder="1" applyAlignment="1">
      <alignment horizontal="center" vertical="center" wrapText="1"/>
    </xf>
    <xf numFmtId="177" fontId="47" fillId="0" borderId="1" xfId="3" applyNumberFormat="1" applyFont="1" applyFill="1" applyBorder="1" applyAlignment="1">
      <alignment horizontal="center" vertical="center" wrapText="1"/>
    </xf>
    <xf numFmtId="10" fontId="47" fillId="0" borderId="1" xfId="3" applyNumberFormat="1" applyFont="1" applyFill="1" applyBorder="1" applyAlignment="1">
      <alignment horizontal="center" vertical="center"/>
    </xf>
    <xf numFmtId="177" fontId="47" fillId="0" borderId="1" xfId="3" applyNumberFormat="1" applyFont="1" applyFill="1" applyBorder="1" applyAlignment="1">
      <alignment horizontal="center" vertical="center"/>
    </xf>
    <xf numFmtId="176" fontId="47" fillId="0" borderId="1" xfId="1" applyNumberFormat="1" applyFont="1" applyFill="1" applyBorder="1" applyAlignment="1">
      <alignment horizontal="center" vertical="center"/>
    </xf>
    <xf numFmtId="176" fontId="47" fillId="0" borderId="1" xfId="6" applyNumberFormat="1" applyFont="1" applyFill="1" applyBorder="1" applyAlignment="1">
      <alignment horizontal="center" vertical="center" wrapText="1"/>
    </xf>
    <xf numFmtId="176" fontId="47" fillId="0" borderId="1" xfId="6" applyNumberFormat="1" applyFont="1" applyFill="1" applyBorder="1" applyAlignment="1">
      <alignment horizontal="center" vertical="center"/>
    </xf>
    <xf numFmtId="164" fontId="47" fillId="0" borderId="1" xfId="6" applyFont="1" applyFill="1" applyBorder="1" applyAlignment="1">
      <alignment horizontal="center" vertical="center"/>
    </xf>
    <xf numFmtId="43" fontId="47" fillId="0" borderId="1" xfId="3" applyNumberFormat="1" applyFont="1" applyFill="1" applyBorder="1" applyAlignment="1">
      <alignment horizontal="center" vertical="center" wrapText="1"/>
    </xf>
    <xf numFmtId="0" fontId="47" fillId="0" borderId="1" xfId="0" applyNumberFormat="1" applyFont="1" applyFill="1" applyBorder="1" applyAlignment="1">
      <alignment vertical="top" wrapText="1"/>
    </xf>
    <xf numFmtId="0" fontId="2" fillId="0" borderId="0" xfId="0" applyFont="1"/>
    <xf numFmtId="49" fontId="47" fillId="0" borderId="1" xfId="0" applyNumberFormat="1" applyFont="1" applyFill="1" applyBorder="1" applyAlignment="1">
      <alignment horizontal="center" vertical="center" wrapText="1"/>
    </xf>
    <xf numFmtId="0" fontId="0" fillId="0" borderId="0" xfId="0" pivotButton="1"/>
    <xf numFmtId="0" fontId="0" fillId="0" borderId="0" xfId="0" applyAlignment="1">
      <alignment horizontal="left"/>
    </xf>
    <xf numFmtId="0" fontId="0" fillId="0" borderId="0" xfId="0" applyNumberFormat="1"/>
    <xf numFmtId="0" fontId="0" fillId="0" borderId="0" xfId="0" applyAlignment="1">
      <alignment horizontal="left" indent="1"/>
    </xf>
    <xf numFmtId="9" fontId="0" fillId="0" borderId="0" xfId="1" applyFont="1"/>
    <xf numFmtId="0" fontId="47" fillId="0" borderId="1" xfId="0" applyFont="1" applyFill="1" applyBorder="1" applyAlignment="1">
      <alignment horizontal="center" vertical="center"/>
    </xf>
    <xf numFmtId="0" fontId="47" fillId="0" borderId="1" xfId="0" applyFont="1" applyFill="1" applyBorder="1" applyAlignment="1">
      <alignment horizontal="center" vertical="center" wrapText="1"/>
    </xf>
    <xf numFmtId="0" fontId="55" fillId="0" borderId="1" xfId="0" applyFont="1" applyBorder="1" applyAlignment="1">
      <alignment horizontal="left" vertical="center" wrapText="1"/>
    </xf>
    <xf numFmtId="0" fontId="47" fillId="0" borderId="4" xfId="0" applyFont="1" applyFill="1" applyBorder="1" applyAlignment="1">
      <alignment horizontal="center" vertical="center"/>
    </xf>
    <xf numFmtId="0" fontId="47" fillId="0" borderId="4" xfId="0" applyFont="1" applyFill="1" applyBorder="1" applyAlignment="1">
      <alignment horizontal="center" vertical="center" wrapText="1"/>
    </xf>
    <xf numFmtId="0" fontId="47" fillId="0" borderId="4" xfId="0" applyFont="1" applyFill="1" applyBorder="1" applyAlignment="1">
      <alignment vertical="center" wrapText="1"/>
    </xf>
    <xf numFmtId="0" fontId="47" fillId="0" borderId="5" xfId="0" applyFont="1" applyFill="1" applyBorder="1" applyAlignment="1">
      <alignment horizontal="center" vertical="center"/>
    </xf>
    <xf numFmtId="0" fontId="47" fillId="0" borderId="0" xfId="0" applyFont="1" applyFill="1" applyBorder="1" applyAlignment="1">
      <alignment vertical="center" wrapText="1"/>
    </xf>
    <xf numFmtId="0" fontId="47" fillId="0" borderId="0" xfId="0" applyFont="1" applyFill="1" applyBorder="1"/>
    <xf numFmtId="0" fontId="38" fillId="0" borderId="1" xfId="0" applyFont="1" applyBorder="1" applyAlignment="1">
      <alignment vertical="center"/>
    </xf>
    <xf numFmtId="10" fontId="47" fillId="0" borderId="2" xfId="1" applyNumberFormat="1" applyFont="1" applyFill="1" applyBorder="1" applyAlignment="1">
      <alignment horizontal="center" vertical="center"/>
    </xf>
    <xf numFmtId="10" fontId="38" fillId="0" borderId="1" xfId="1" applyNumberFormat="1" applyFont="1" applyBorder="1" applyAlignment="1">
      <alignment horizontal="center" vertical="center"/>
    </xf>
    <xf numFmtId="10" fontId="46" fillId="0" borderId="1" xfId="0" applyNumberFormat="1" applyFont="1" applyBorder="1" applyAlignment="1">
      <alignment horizontal="center" vertical="center"/>
    </xf>
    <xf numFmtId="0" fontId="47" fillId="0" borderId="2" xfId="0" applyFont="1" applyFill="1" applyBorder="1"/>
    <xf numFmtId="2" fontId="7" fillId="0" borderId="1" xfId="0" applyNumberFormat="1" applyFont="1" applyBorder="1" applyAlignment="1">
      <alignment horizontal="center" vertical="center" wrapText="1"/>
    </xf>
    <xf numFmtId="0" fontId="8" fillId="0" borderId="1" xfId="2" applyFont="1" applyBorder="1" applyAlignment="1">
      <alignment horizontal="center" vertical="center" wrapText="1"/>
    </xf>
    <xf numFmtId="0" fontId="7" fillId="0" borderId="1" xfId="0" applyFont="1" applyBorder="1" applyAlignment="1">
      <alignment horizontal="center" vertical="center" wrapText="1"/>
    </xf>
    <xf numFmtId="0" fontId="8" fillId="0" borderId="1" xfId="0" applyFont="1" applyBorder="1" applyAlignment="1">
      <alignment horizontal="center" vertical="center" wrapText="1"/>
    </xf>
    <xf numFmtId="0" fontId="8" fillId="0" borderId="1" xfId="0" applyFont="1" applyBorder="1" applyAlignment="1">
      <alignment horizontal="center" vertical="center"/>
    </xf>
    <xf numFmtId="0" fontId="32" fillId="0" borderId="1" xfId="0" applyFont="1" applyFill="1" applyBorder="1" applyAlignment="1">
      <alignment horizontal="center" vertical="center" wrapText="1"/>
    </xf>
    <xf numFmtId="0" fontId="23" fillId="12" borderId="0" xfId="0" applyFont="1" applyFill="1" applyAlignment="1">
      <alignment vertical="center" wrapText="1"/>
    </xf>
    <xf numFmtId="0" fontId="21" fillId="12" borderId="0" xfId="0" applyFont="1" applyFill="1" applyAlignment="1">
      <alignment vertical="center" wrapText="1"/>
    </xf>
    <xf numFmtId="0" fontId="21" fillId="12" borderId="0" xfId="0" applyFont="1" applyFill="1" applyAlignment="1">
      <alignment horizontal="left" vertical="center" wrapText="1"/>
    </xf>
    <xf numFmtId="0" fontId="22" fillId="12" borderId="0" xfId="0" applyFont="1" applyFill="1" applyAlignment="1">
      <alignment vertical="center" wrapText="1"/>
    </xf>
    <xf numFmtId="0" fontId="24" fillId="12" borderId="0" xfId="0" applyFont="1" applyFill="1" applyAlignment="1">
      <alignment horizontal="left" vertical="center" wrapText="1"/>
    </xf>
    <xf numFmtId="0" fontId="23" fillId="12" borderId="0" xfId="0" applyFont="1" applyFill="1" applyAlignment="1">
      <alignment horizontal="center" vertical="center" wrapText="1"/>
    </xf>
    <xf numFmtId="0" fontId="21" fillId="0" borderId="0" xfId="0" applyFont="1" applyAlignment="1">
      <alignment vertical="center" wrapText="1"/>
    </xf>
    <xf numFmtId="0" fontId="23" fillId="0" borderId="0" xfId="0" applyFont="1" applyAlignment="1">
      <alignment vertical="center" wrapText="1"/>
    </xf>
  </cellXfs>
  <cellStyles count="7">
    <cellStyle name="Hipervínculo" xfId="5" builtinId="8"/>
    <cellStyle name="Millares" xfId="3" builtinId="3"/>
    <cellStyle name="Millares 2" xfId="6" xr:uid="{00000000-0005-0000-0000-000002000000}"/>
    <cellStyle name="Normal" xfId="0" builtinId="0"/>
    <cellStyle name="Normal 4" xfId="2" xr:uid="{00000000-0005-0000-0000-000004000000}"/>
    <cellStyle name="Normal 4 2" xfId="4" xr:uid="{00000000-0005-0000-0000-000005000000}"/>
    <cellStyle name="Porcentaje" xfId="1" builtinId="5"/>
  </cellStyles>
  <dxfs count="979">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font>
        <color theme="5"/>
      </font>
    </dxf>
    <dxf>
      <font>
        <color theme="5"/>
      </font>
    </dxf>
    <dxf>
      <font>
        <color theme="5"/>
      </font>
    </dxf>
    <dxf>
      <font>
        <color theme="5"/>
      </font>
    </dxf>
    <dxf>
      <font>
        <color theme="5"/>
      </font>
    </dxf>
    <dxf>
      <font>
        <color theme="5"/>
      </font>
    </dxf>
    <dxf>
      <font>
        <color theme="5"/>
      </font>
    </dxf>
    <dxf>
      <font>
        <color theme="5"/>
      </font>
    </dxf>
    <dxf>
      <font>
        <b/>
      </font>
    </dxf>
    <dxf>
      <font>
        <b/>
      </font>
    </dxf>
    <dxf>
      <font>
        <b/>
      </font>
    </dxf>
    <dxf>
      <font>
        <b/>
      </font>
    </dxf>
    <dxf>
      <alignment wrapText="1" readingOrder="0"/>
    </dxf>
    <dxf>
      <alignment wrapText="0" indent="0" readingOrder="0"/>
    </dxf>
    <dxf>
      <font>
        <b/>
      </font>
    </dxf>
    <dxf>
      <font>
        <b/>
      </font>
    </dxf>
    <dxf>
      <font>
        <b/>
      </font>
    </dxf>
    <dxf>
      <font>
        <b/>
      </font>
    </dxf>
    <dxf>
      <font>
        <b/>
      </font>
    </dxf>
    <dxf>
      <font>
        <b/>
      </font>
    </dxf>
    <dxf>
      <font>
        <b/>
      </font>
    </dxf>
    <dxf>
      <alignment wrapText="0" readingOrder="0"/>
    </dxf>
    <dxf>
      <alignment wrapText="1" readingOrder="0"/>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s>
  <tableStyles count="0" defaultTableStyle="TableStyleMedium2" defaultPivotStyle="PivotStyleLight16"/>
  <colors>
    <mruColors>
      <color rgb="FF0000FF"/>
      <color rgb="FF66FFCC"/>
      <color rgb="FF8BCDFF"/>
      <color rgb="FF8BE1FF"/>
      <color rgb="FFAFDD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externalLink" Target="externalLinks/externalLink3.xml"/><Relationship Id="rId18" Type="http://schemas.openxmlformats.org/officeDocument/2006/relationships/externalLink" Target="externalLinks/externalLink8.xml"/><Relationship Id="rId26" Type="http://schemas.openxmlformats.org/officeDocument/2006/relationships/externalLink" Target="externalLinks/externalLink16.xml"/><Relationship Id="rId39" Type="http://schemas.openxmlformats.org/officeDocument/2006/relationships/externalLink" Target="externalLinks/externalLink29.xml"/><Relationship Id="rId21" Type="http://schemas.openxmlformats.org/officeDocument/2006/relationships/externalLink" Target="externalLinks/externalLink11.xml"/><Relationship Id="rId34" Type="http://schemas.openxmlformats.org/officeDocument/2006/relationships/externalLink" Target="externalLinks/externalLink24.xml"/><Relationship Id="rId42" Type="http://schemas.openxmlformats.org/officeDocument/2006/relationships/externalLink" Target="externalLinks/externalLink32.xml"/><Relationship Id="rId47" Type="http://schemas.openxmlformats.org/officeDocument/2006/relationships/sharedStrings" Target="sharedStrings.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externalLink" Target="externalLinks/externalLink6.xml"/><Relationship Id="rId29" Type="http://schemas.openxmlformats.org/officeDocument/2006/relationships/externalLink" Target="externalLinks/externalLink1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externalLink" Target="externalLinks/externalLink1.xml"/><Relationship Id="rId24" Type="http://schemas.openxmlformats.org/officeDocument/2006/relationships/externalLink" Target="externalLinks/externalLink14.xml"/><Relationship Id="rId32" Type="http://schemas.openxmlformats.org/officeDocument/2006/relationships/externalLink" Target="externalLinks/externalLink22.xml"/><Relationship Id="rId37" Type="http://schemas.openxmlformats.org/officeDocument/2006/relationships/externalLink" Target="externalLinks/externalLink27.xml"/><Relationship Id="rId40" Type="http://schemas.openxmlformats.org/officeDocument/2006/relationships/externalLink" Target="externalLinks/externalLink30.xml"/><Relationship Id="rId45" Type="http://schemas.openxmlformats.org/officeDocument/2006/relationships/theme" Target="theme/theme1.xml"/><Relationship Id="rId5" Type="http://schemas.openxmlformats.org/officeDocument/2006/relationships/worksheet" Target="worksheets/sheet5.xml"/><Relationship Id="rId15" Type="http://schemas.openxmlformats.org/officeDocument/2006/relationships/externalLink" Target="externalLinks/externalLink5.xml"/><Relationship Id="rId23" Type="http://schemas.openxmlformats.org/officeDocument/2006/relationships/externalLink" Target="externalLinks/externalLink13.xml"/><Relationship Id="rId28" Type="http://schemas.openxmlformats.org/officeDocument/2006/relationships/externalLink" Target="externalLinks/externalLink18.xml"/><Relationship Id="rId36" Type="http://schemas.openxmlformats.org/officeDocument/2006/relationships/externalLink" Target="externalLinks/externalLink26.xml"/><Relationship Id="rId10" Type="http://schemas.openxmlformats.org/officeDocument/2006/relationships/worksheet" Target="worksheets/sheet10.xml"/><Relationship Id="rId19" Type="http://schemas.openxmlformats.org/officeDocument/2006/relationships/externalLink" Target="externalLinks/externalLink9.xml"/><Relationship Id="rId31" Type="http://schemas.openxmlformats.org/officeDocument/2006/relationships/externalLink" Target="externalLinks/externalLink21.xml"/><Relationship Id="rId44" Type="http://schemas.openxmlformats.org/officeDocument/2006/relationships/pivotCacheDefinition" Target="pivotCache/pivotCacheDefinition2.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externalLink" Target="externalLinks/externalLink4.xml"/><Relationship Id="rId22" Type="http://schemas.openxmlformats.org/officeDocument/2006/relationships/externalLink" Target="externalLinks/externalLink12.xml"/><Relationship Id="rId27" Type="http://schemas.openxmlformats.org/officeDocument/2006/relationships/externalLink" Target="externalLinks/externalLink17.xml"/><Relationship Id="rId30" Type="http://schemas.openxmlformats.org/officeDocument/2006/relationships/externalLink" Target="externalLinks/externalLink20.xml"/><Relationship Id="rId35" Type="http://schemas.openxmlformats.org/officeDocument/2006/relationships/externalLink" Target="externalLinks/externalLink25.xml"/><Relationship Id="rId43" Type="http://schemas.openxmlformats.org/officeDocument/2006/relationships/pivotCacheDefinition" Target="pivotCache/pivotCacheDefinition1.xml"/><Relationship Id="rId48" Type="http://schemas.openxmlformats.org/officeDocument/2006/relationships/calcChain" Target="calcChain.xml"/><Relationship Id="rId8" Type="http://schemas.openxmlformats.org/officeDocument/2006/relationships/worksheet" Target="worksheets/sheet8.xml"/><Relationship Id="rId3" Type="http://schemas.openxmlformats.org/officeDocument/2006/relationships/worksheet" Target="worksheets/sheet3.xml"/><Relationship Id="rId12" Type="http://schemas.openxmlformats.org/officeDocument/2006/relationships/externalLink" Target="externalLinks/externalLink2.xml"/><Relationship Id="rId17" Type="http://schemas.openxmlformats.org/officeDocument/2006/relationships/externalLink" Target="externalLinks/externalLink7.xml"/><Relationship Id="rId25" Type="http://schemas.openxmlformats.org/officeDocument/2006/relationships/externalLink" Target="externalLinks/externalLink15.xml"/><Relationship Id="rId33" Type="http://schemas.openxmlformats.org/officeDocument/2006/relationships/externalLink" Target="externalLinks/externalLink23.xml"/><Relationship Id="rId38" Type="http://schemas.openxmlformats.org/officeDocument/2006/relationships/externalLink" Target="externalLinks/externalLink28.xml"/><Relationship Id="rId46" Type="http://schemas.openxmlformats.org/officeDocument/2006/relationships/styles" Target="styles.xml"/><Relationship Id="rId20" Type="http://schemas.openxmlformats.org/officeDocument/2006/relationships/externalLink" Target="externalLinks/externalLink10.xml"/><Relationship Id="rId41" Type="http://schemas.openxmlformats.org/officeDocument/2006/relationships/externalLink" Target="externalLinks/externalLink31.xml"/></Relationships>
</file>

<file path=xl/activeX/_rels/activeX1.xml.rels><?xml version="1.0" encoding="UTF-8" standalone="yes"?>
<Relationships xmlns="http://schemas.openxmlformats.org/package/2006/relationships"><Relationship Id="rId1" Type="http://schemas.microsoft.com/office/2006/relationships/activeXControlBinary" Target="activeX1.bin"/></Relationships>
</file>

<file path=xl/activeX/_rels/activeX2.xml.rels><?xml version="1.0" encoding="UTF-8" standalone="yes"?>
<Relationships xmlns="http://schemas.openxmlformats.org/package/2006/relationships"><Relationship Id="rId1" Type="http://schemas.microsoft.com/office/2006/relationships/activeXControlBinary" Target="activeX2.bin"/></Relationships>
</file>

<file path=xl/activeX/_rels/activeX3.xml.rels><?xml version="1.0" encoding="UTF-8" standalone="yes"?>
<Relationships xmlns="http://schemas.openxmlformats.org/package/2006/relationships"><Relationship Id="rId1" Type="http://schemas.microsoft.com/office/2006/relationships/activeXControlBinary" Target="activeX3.bin"/></Relationships>
</file>

<file path=xl/activeX/_rels/activeX4.xml.rels><?xml version="1.0" encoding="UTF-8" standalone="yes"?>
<Relationships xmlns="http://schemas.openxmlformats.org/package/2006/relationships"><Relationship Id="rId1" Type="http://schemas.microsoft.com/office/2006/relationships/activeXControlBinary" Target="activeX4.bin"/></Relationships>
</file>

<file path=xl/activeX/_rels/activeX5.xml.rels><?xml version="1.0" encoding="UTF-8" standalone="yes"?>
<Relationships xmlns="http://schemas.openxmlformats.org/package/2006/relationships"><Relationship Id="rId1" Type="http://schemas.microsoft.com/office/2006/relationships/activeXControlBinary" Target="activeX5.bin"/></Relationships>
</file>

<file path=xl/activeX/_rels/activeX6.xml.rels><?xml version="1.0" encoding="UTF-8" standalone="yes"?>
<Relationships xmlns="http://schemas.openxmlformats.org/package/2006/relationships"><Relationship Id="rId1" Type="http://schemas.microsoft.com/office/2006/relationships/activeXControlBinary" Target="activeX6.bin"/></Relationships>
</file>

<file path=xl/activeX/_rels/activeX7.xml.rels><?xml version="1.0" encoding="UTF-8" standalone="yes"?>
<Relationships xmlns="http://schemas.openxmlformats.org/package/2006/relationships"><Relationship Id="rId1" Type="http://schemas.microsoft.com/office/2006/relationships/activeXControlBinary" Target="activeX7.bin"/></Relationships>
</file>

<file path=xl/activeX/_rels/activeX8.xml.rels><?xml version="1.0" encoding="UTF-8" standalone="yes"?>
<Relationships xmlns="http://schemas.openxmlformats.org/package/2006/relationships"><Relationship Id="rId1" Type="http://schemas.microsoft.com/office/2006/relationships/activeXControlBinary" Target="activeX8.bin"/></Relationships>
</file>

<file path=xl/activeX/_rels/activeX9.xml.rels><?xml version="1.0" encoding="UTF-8" standalone="yes"?>
<Relationships xmlns="http://schemas.openxmlformats.org/package/2006/relationships"><Relationship Id="rId1" Type="http://schemas.microsoft.com/office/2006/relationships/activeXControlBinary" Target="activeX9.bin"/></Relationships>
</file>

<file path=xl/activeX/_rels/activeX10.xml.rels><?xml version="1.0" encoding="UTF-8" standalone="yes"?>
<Relationships xmlns="http://schemas.openxmlformats.org/package/2006/relationships"><Relationship Id="rId1" Type="http://schemas.microsoft.com/office/2006/relationships/activeXControlBinary" Target="activeX10.bin"/></Relationships>
</file>

<file path=xl/activeX/_rels/activeX11.xml.rels><?xml version="1.0" encoding="UTF-8" standalone="yes"?>
<Relationships xmlns="http://schemas.openxmlformats.org/package/2006/relationships"><Relationship Id="rId1" Type="http://schemas.microsoft.com/office/2006/relationships/activeXControlBinary" Target="activeX11.bin"/></Relationships>
</file>

<file path=xl/activeX/_rels/activeX12.xml.rels><?xml version="1.0" encoding="UTF-8" standalone="yes"?>
<Relationships xmlns="http://schemas.openxmlformats.org/package/2006/relationships"><Relationship Id="rId1" Type="http://schemas.microsoft.com/office/2006/relationships/activeXControlBinary" Target="activeX12.bin"/></Relationships>
</file>

<file path=xl/activeX/_rels/activeX13.xml.rels><?xml version="1.0" encoding="UTF-8" standalone="yes"?>
<Relationships xmlns="http://schemas.openxmlformats.org/package/2006/relationships"><Relationship Id="rId1" Type="http://schemas.microsoft.com/office/2006/relationships/activeXControlBinary" Target="activeX13.bin"/></Relationships>
</file>

<file path=xl/activeX/_rels/activeX14.xml.rels><?xml version="1.0" encoding="UTF-8" standalone="yes"?>
<Relationships xmlns="http://schemas.openxmlformats.org/package/2006/relationships"><Relationship Id="rId1" Type="http://schemas.microsoft.com/office/2006/relationships/activeXControlBinary" Target="activeX14.bin"/></Relationships>
</file>

<file path=xl/activeX/_rels/activeX15.xml.rels><?xml version="1.0" encoding="UTF-8" standalone="yes"?>
<Relationships xmlns="http://schemas.openxmlformats.org/package/2006/relationships"><Relationship Id="rId1" Type="http://schemas.microsoft.com/office/2006/relationships/activeXControlBinary" Target="activeX15.bin"/></Relationships>
</file>

<file path=xl/activeX/_rels/activeX16.xml.rels><?xml version="1.0" encoding="UTF-8" standalone="yes"?>
<Relationships xmlns="http://schemas.openxmlformats.org/package/2006/relationships"><Relationship Id="rId1" Type="http://schemas.microsoft.com/office/2006/relationships/activeXControlBinary" Target="activeX16.bin"/></Relationships>
</file>

<file path=xl/activeX/_rels/activeX17.xml.rels><?xml version="1.0" encoding="UTF-8" standalone="yes"?>
<Relationships xmlns="http://schemas.openxmlformats.org/package/2006/relationships"><Relationship Id="rId1" Type="http://schemas.microsoft.com/office/2006/relationships/activeXControlBinary" Target="activeX17.bin"/></Relationships>
</file>

<file path=xl/activeX/_rels/activeX18.xml.rels><?xml version="1.0" encoding="UTF-8" standalone="yes"?>
<Relationships xmlns="http://schemas.openxmlformats.org/package/2006/relationships"><Relationship Id="rId1" Type="http://schemas.microsoft.com/office/2006/relationships/activeXControlBinary" Target="activeX18.bin"/></Relationships>
</file>

<file path=xl/activeX/_rels/activeX19.xml.rels><?xml version="1.0" encoding="UTF-8" standalone="yes"?>
<Relationships xmlns="http://schemas.openxmlformats.org/package/2006/relationships"><Relationship Id="rId1" Type="http://schemas.microsoft.com/office/2006/relationships/activeXControlBinary" Target="activeX19.bin"/></Relationships>
</file>

<file path=xl/activeX/_rels/activeX20.xml.rels><?xml version="1.0" encoding="UTF-8" standalone="yes"?>
<Relationships xmlns="http://schemas.openxmlformats.org/package/2006/relationships"><Relationship Id="rId1" Type="http://schemas.microsoft.com/office/2006/relationships/activeXControlBinary" Target="activeX20.bin"/></Relationships>
</file>

<file path=xl/activeX/_rels/activeX21.xml.rels><?xml version="1.0" encoding="UTF-8" standalone="yes"?>
<Relationships xmlns="http://schemas.openxmlformats.org/package/2006/relationships"><Relationship Id="rId1" Type="http://schemas.microsoft.com/office/2006/relationships/activeXControlBinary" Target="activeX21.bin"/></Relationships>
</file>

<file path=xl/activeX/_rels/activeX22.xml.rels><?xml version="1.0" encoding="UTF-8" standalone="yes"?>
<Relationships xmlns="http://schemas.openxmlformats.org/package/2006/relationships"><Relationship Id="rId1" Type="http://schemas.microsoft.com/office/2006/relationships/activeXControlBinary" Target="activeX22.bin"/></Relationships>
</file>

<file path=xl/activeX/_rels/activeX23.xml.rels><?xml version="1.0" encoding="UTF-8" standalone="yes"?>
<Relationships xmlns="http://schemas.openxmlformats.org/package/2006/relationships"><Relationship Id="rId1" Type="http://schemas.microsoft.com/office/2006/relationships/activeXControlBinary" Target="activeX23.bin"/></Relationships>
</file>

<file path=xl/activeX/_rels/activeX24.xml.rels><?xml version="1.0" encoding="UTF-8" standalone="yes"?>
<Relationships xmlns="http://schemas.openxmlformats.org/package/2006/relationships"><Relationship Id="rId1" Type="http://schemas.microsoft.com/office/2006/relationships/activeXControlBinary" Target="activeX24.bin"/></Relationships>
</file>

<file path=xl/activeX/_rels/activeX25.xml.rels><?xml version="1.0" encoding="UTF-8" standalone="yes"?>
<Relationships xmlns="http://schemas.openxmlformats.org/package/2006/relationships"><Relationship Id="rId1" Type="http://schemas.microsoft.com/office/2006/relationships/activeXControlBinary" Target="activeX25.bin"/></Relationships>
</file>

<file path=xl/activeX/_rels/activeX26.xml.rels><?xml version="1.0" encoding="UTF-8" standalone="yes"?>
<Relationships xmlns="http://schemas.openxmlformats.org/package/2006/relationships"><Relationship Id="rId1" Type="http://schemas.microsoft.com/office/2006/relationships/activeXControlBinary" Target="activeX26.bin"/></Relationships>
</file>

<file path=xl/activeX/_rels/activeX27.xml.rels><?xml version="1.0" encoding="UTF-8" standalone="yes"?>
<Relationships xmlns="http://schemas.openxmlformats.org/package/2006/relationships"><Relationship Id="rId1" Type="http://schemas.microsoft.com/office/2006/relationships/activeXControlBinary" Target="activeX27.bin"/></Relationships>
</file>

<file path=xl/activeX/_rels/activeX28.xml.rels><?xml version="1.0" encoding="UTF-8" standalone="yes"?>
<Relationships xmlns="http://schemas.openxmlformats.org/package/2006/relationships"><Relationship Id="rId1" Type="http://schemas.microsoft.com/office/2006/relationships/activeXControlBinary" Target="activeX28.bin"/></Relationships>
</file>

<file path=xl/activeX/_rels/activeX29.xml.rels><?xml version="1.0" encoding="UTF-8" standalone="yes"?>
<Relationships xmlns="http://schemas.openxmlformats.org/package/2006/relationships"><Relationship Id="rId1" Type="http://schemas.microsoft.com/office/2006/relationships/activeXControlBinary" Target="activeX29.bin"/></Relationships>
</file>

<file path=xl/activeX/_rels/activeX30.xml.rels><?xml version="1.0" encoding="UTF-8" standalone="yes"?>
<Relationships xmlns="http://schemas.openxmlformats.org/package/2006/relationships"><Relationship Id="rId1" Type="http://schemas.microsoft.com/office/2006/relationships/activeXControlBinary" Target="activeX30.bin"/></Relationships>
</file>

<file path=xl/activeX/_rels/activeX31.xml.rels><?xml version="1.0" encoding="UTF-8" standalone="yes"?>
<Relationships xmlns="http://schemas.openxmlformats.org/package/2006/relationships"><Relationship Id="rId1" Type="http://schemas.microsoft.com/office/2006/relationships/activeXControlBinary" Target="activeX31.bin"/></Relationships>
</file>

<file path=xl/activeX/_rels/activeX32.xml.rels><?xml version="1.0" encoding="UTF-8" standalone="yes"?>
<Relationships xmlns="http://schemas.openxmlformats.org/package/2006/relationships"><Relationship Id="rId1" Type="http://schemas.microsoft.com/office/2006/relationships/activeXControlBinary" Target="activeX32.bin"/></Relationships>
</file>

<file path=xl/activeX/_rels/activeX33.xml.rels><?xml version="1.0" encoding="UTF-8" standalone="yes"?>
<Relationships xmlns="http://schemas.openxmlformats.org/package/2006/relationships"><Relationship Id="rId1" Type="http://schemas.microsoft.com/office/2006/relationships/activeXControlBinary" Target="activeX33.bin"/></Relationships>
</file>

<file path=xl/activeX/_rels/activeX34.xml.rels><?xml version="1.0" encoding="UTF-8" standalone="yes"?>
<Relationships xmlns="http://schemas.openxmlformats.org/package/2006/relationships"><Relationship Id="rId1" Type="http://schemas.microsoft.com/office/2006/relationships/activeXControlBinary" Target="activeX34.bin"/></Relationships>
</file>

<file path=xl/activeX/_rels/activeX35.xml.rels><?xml version="1.0" encoding="UTF-8" standalone="yes"?>
<Relationships xmlns="http://schemas.openxmlformats.org/package/2006/relationships"><Relationship Id="rId1" Type="http://schemas.microsoft.com/office/2006/relationships/activeXControlBinary" Target="activeX35.bin"/></Relationships>
</file>

<file path=xl/activeX/_rels/activeX36.xml.rels><?xml version="1.0" encoding="UTF-8" standalone="yes"?>
<Relationships xmlns="http://schemas.openxmlformats.org/package/2006/relationships"><Relationship Id="rId1" Type="http://schemas.microsoft.com/office/2006/relationships/activeXControlBinary" Target="activeX36.bin"/></Relationships>
</file>

<file path=xl/activeX/_rels/activeX37.xml.rels><?xml version="1.0" encoding="UTF-8" standalone="yes"?>
<Relationships xmlns="http://schemas.openxmlformats.org/package/2006/relationships"><Relationship Id="rId1" Type="http://schemas.microsoft.com/office/2006/relationships/activeXControlBinary" Target="activeX37.bin"/></Relationships>
</file>

<file path=xl/activeX/_rels/activeX38.xml.rels><?xml version="1.0" encoding="UTF-8" standalone="yes"?>
<Relationships xmlns="http://schemas.openxmlformats.org/package/2006/relationships"><Relationship Id="rId1" Type="http://schemas.microsoft.com/office/2006/relationships/activeXControlBinary" Target="activeX38.bin"/></Relationships>
</file>

<file path=xl/activeX/_rels/activeX39.xml.rels><?xml version="1.0" encoding="UTF-8" standalone="yes"?>
<Relationships xmlns="http://schemas.openxmlformats.org/package/2006/relationships"><Relationship Id="rId1" Type="http://schemas.microsoft.com/office/2006/relationships/activeXControlBinary" Target="activeX39.bin"/></Relationships>
</file>

<file path=xl/activeX/_rels/activeX40.xml.rels><?xml version="1.0" encoding="UTF-8" standalone="yes"?>
<Relationships xmlns="http://schemas.openxmlformats.org/package/2006/relationships"><Relationship Id="rId1" Type="http://schemas.microsoft.com/office/2006/relationships/activeXControlBinary" Target="activeX40.bin"/></Relationships>
</file>

<file path=xl/activeX/_rels/activeX41.xml.rels><?xml version="1.0" encoding="UTF-8" standalone="yes"?>
<Relationships xmlns="http://schemas.openxmlformats.org/package/2006/relationships"><Relationship Id="rId1" Type="http://schemas.microsoft.com/office/2006/relationships/activeXControlBinary" Target="activeX41.bin"/></Relationships>
</file>

<file path=xl/activeX/activeX1.xml><?xml version="1.0" encoding="utf-8"?>
<ax:ocx xmlns:ax="http://schemas.microsoft.com/office/2006/activeX" xmlns:r="http://schemas.openxmlformats.org/officeDocument/2006/relationships" ax:classid="{5512D116-5CC6-11CF-8D67-00AA00BDCE1D}" ax:persistence="persistStream" r:id="rId1"/>
</file>

<file path=xl/activeX/activeX2.xml><?xml version="1.0" encoding="utf-8"?>
<ax:ocx xmlns:ax="http://schemas.microsoft.com/office/2006/activeX" xmlns:r="http://schemas.openxmlformats.org/officeDocument/2006/relationships" ax:classid="{5512D11A-5CC6-11CF-8D67-00AA00BDCE1D}" ax:persistence="persistStream" r:id="rId1"/>
</file>

<file path=xl/activeX/activeX3.xml><?xml version="1.0" encoding="utf-8"?>
<ax:ocx xmlns:ax="http://schemas.microsoft.com/office/2006/activeX" xmlns:r="http://schemas.openxmlformats.org/officeDocument/2006/relationships" ax:classid="{5512D11A-5CC6-11CF-8D67-00AA00BDCE1D}" ax:persistence="persistStream" r:id="rId1"/>
</file>

<file path=xl/activeX/activeX4.xml><?xml version="1.0" encoding="utf-8"?>
<ax:ocx xmlns:ax="http://schemas.microsoft.com/office/2006/activeX" xmlns:r="http://schemas.openxmlformats.org/officeDocument/2006/relationships" ax:classid="{5512D11A-5CC6-11CF-8D67-00AA00BDCE1D}" ax:persistence="persistStream" r:id="rId1"/>
</file>

<file path=xl/activeX/activeX5.xml><?xml version="1.0" encoding="utf-8"?>
<ax:ocx xmlns:ax="http://schemas.microsoft.com/office/2006/activeX" xmlns:r="http://schemas.openxmlformats.org/officeDocument/2006/relationships" ax:classid="{5512D11A-5CC6-11CF-8D67-00AA00BDCE1D}" ax:persistence="persistStream" r:id="rId1"/>
</file>

<file path=xl/activeX/activeX6.xml><?xml version="1.0" encoding="utf-8"?>
<ax:ocx xmlns:ax="http://schemas.microsoft.com/office/2006/activeX" xmlns:r="http://schemas.openxmlformats.org/officeDocument/2006/relationships" ax:classid="{5512D11A-5CC6-11CF-8D67-00AA00BDCE1D}" ax:persistence="persistStream" r:id="rId1"/>
</file>

<file path=xl/activeX/activeX7.xml><?xml version="1.0" encoding="utf-8"?>
<ax:ocx xmlns:ax="http://schemas.microsoft.com/office/2006/activeX" xmlns:r="http://schemas.openxmlformats.org/officeDocument/2006/relationships" ax:classid="{5512D11A-5CC6-11CF-8D67-00AA00BDCE1D}" ax:persistence="persistStream" r:id="rId1"/>
</file>

<file path=xl/activeX/activeX8.xml><?xml version="1.0" encoding="utf-8"?>
<ax:ocx xmlns:ax="http://schemas.microsoft.com/office/2006/activeX" xmlns:r="http://schemas.openxmlformats.org/officeDocument/2006/relationships" ax:classid="{5512D122-5CC6-11CF-8D67-00AA00BDCE1D}" ax:persistence="persistStream" r:id="rId1"/>
</file>

<file path=xl/activeX/activeX9.xml><?xml version="1.0" encoding="utf-8"?>
<ax:ocx xmlns:ax="http://schemas.microsoft.com/office/2006/activeX" xmlns:r="http://schemas.openxmlformats.org/officeDocument/2006/relationships" ax:classid="{5512D11A-5CC6-11CF-8D67-00AA00BDCE1D}" ax:persistence="persistStream" r:id="rId1"/>
</file>

<file path=xl/activeX/activeX10.xml><?xml version="1.0" encoding="utf-8"?>
<ax:ocx xmlns:ax="http://schemas.microsoft.com/office/2006/activeX" xmlns:r="http://schemas.openxmlformats.org/officeDocument/2006/relationships" ax:classid="{5512D11A-5CC6-11CF-8D67-00AA00BDCE1D}" ax:persistence="persistStream" r:id="rId1"/>
</file>

<file path=xl/activeX/activeX11.xml><?xml version="1.0" encoding="utf-8"?>
<ax:ocx xmlns:ax="http://schemas.microsoft.com/office/2006/activeX" xmlns:r="http://schemas.openxmlformats.org/officeDocument/2006/relationships" ax:classid="{5512D122-5CC6-11CF-8D67-00AA00BDCE1D}" ax:persistence="persistStream" r:id="rId1"/>
</file>

<file path=xl/activeX/activeX12.xml><?xml version="1.0" encoding="utf-8"?>
<ax:ocx xmlns:ax="http://schemas.microsoft.com/office/2006/activeX" xmlns:r="http://schemas.openxmlformats.org/officeDocument/2006/relationships" ax:classid="{5512D122-5CC6-11CF-8D67-00AA00BDCE1D}" ax:persistence="persistStream" r:id="rId1"/>
</file>

<file path=xl/activeX/activeX13.xml><?xml version="1.0" encoding="utf-8"?>
<ax:ocx xmlns:ax="http://schemas.microsoft.com/office/2006/activeX" xmlns:r="http://schemas.openxmlformats.org/officeDocument/2006/relationships" ax:classid="{5512D122-5CC6-11CF-8D67-00AA00BDCE1D}" ax:persistence="persistStream" r:id="rId1"/>
</file>

<file path=xl/activeX/activeX14.xml><?xml version="1.0" encoding="utf-8"?>
<ax:ocx xmlns:ax="http://schemas.microsoft.com/office/2006/activeX" xmlns:r="http://schemas.openxmlformats.org/officeDocument/2006/relationships" ax:classid="{5512D122-5CC6-11CF-8D67-00AA00BDCE1D}" ax:persistence="persistStream" r:id="rId1"/>
</file>

<file path=xl/activeX/activeX15.xml><?xml version="1.0" encoding="utf-8"?>
<ax:ocx xmlns:ax="http://schemas.microsoft.com/office/2006/activeX" xmlns:r="http://schemas.openxmlformats.org/officeDocument/2006/relationships" ax:classid="{5512D122-5CC6-11CF-8D67-00AA00BDCE1D}" ax:persistence="persistStream" r:id="rId1"/>
</file>

<file path=xl/activeX/activeX16.xml><?xml version="1.0" encoding="utf-8"?>
<ax:ocx xmlns:ax="http://schemas.microsoft.com/office/2006/activeX" xmlns:r="http://schemas.openxmlformats.org/officeDocument/2006/relationships" ax:classid="{5512D122-5CC6-11CF-8D67-00AA00BDCE1D}" ax:persistence="persistStream" r:id="rId1"/>
</file>

<file path=xl/activeX/activeX17.xml><?xml version="1.0" encoding="utf-8"?>
<ax:ocx xmlns:ax="http://schemas.microsoft.com/office/2006/activeX" xmlns:r="http://schemas.openxmlformats.org/officeDocument/2006/relationships" ax:classid="{5512D122-5CC6-11CF-8D67-00AA00BDCE1D}" ax:persistence="persistStream" r:id="rId1"/>
</file>

<file path=xl/activeX/activeX18.xml><?xml version="1.0" encoding="utf-8"?>
<ax:ocx xmlns:ax="http://schemas.microsoft.com/office/2006/activeX" xmlns:r="http://schemas.openxmlformats.org/officeDocument/2006/relationships" ax:classid="{5512D124-5CC6-11CF-8D67-00AA00BDCE1D}" ax:persistence="persistStream" r:id="rId1"/>
</file>

<file path=xl/activeX/activeX19.xml><?xml version="1.0" encoding="utf-8"?>
<ax:ocx xmlns:ax="http://schemas.microsoft.com/office/2006/activeX" xmlns:r="http://schemas.openxmlformats.org/officeDocument/2006/relationships" ax:classid="{5512D124-5CC6-11CF-8D67-00AA00BDCE1D}" ax:persistence="persistStream" r:id="rId1"/>
</file>

<file path=xl/activeX/activeX20.xml><?xml version="1.0" encoding="utf-8"?>
<ax:ocx xmlns:ax="http://schemas.microsoft.com/office/2006/activeX" xmlns:r="http://schemas.openxmlformats.org/officeDocument/2006/relationships" ax:classid="{5512D124-5CC6-11CF-8D67-00AA00BDCE1D}" ax:persistence="persistStream" r:id="rId1"/>
</file>

<file path=xl/activeX/activeX21.xml><?xml version="1.0" encoding="utf-8"?>
<ax:ocx xmlns:ax="http://schemas.microsoft.com/office/2006/activeX" xmlns:r="http://schemas.openxmlformats.org/officeDocument/2006/relationships" ax:classid="{5512D11A-5CC6-11CF-8D67-00AA00BDCE1D}" ax:persistence="persistStream" r:id="rId1"/>
</file>

<file path=xl/activeX/activeX22.xml><?xml version="1.0" encoding="utf-8"?>
<ax:ocx xmlns:ax="http://schemas.microsoft.com/office/2006/activeX" xmlns:r="http://schemas.openxmlformats.org/officeDocument/2006/relationships" ax:classid="{5512D11A-5CC6-11CF-8D67-00AA00BDCE1D}" ax:persistence="persistStream" r:id="rId1"/>
</file>

<file path=xl/activeX/activeX23.xml><?xml version="1.0" encoding="utf-8"?>
<ax:ocx xmlns:ax="http://schemas.microsoft.com/office/2006/activeX" xmlns:r="http://schemas.openxmlformats.org/officeDocument/2006/relationships" ax:classid="{5512D11A-5CC6-11CF-8D67-00AA00BDCE1D}" ax:persistence="persistStream" r:id="rId1"/>
</file>

<file path=xl/activeX/activeX24.xml><?xml version="1.0" encoding="utf-8"?>
<ax:ocx xmlns:ax="http://schemas.microsoft.com/office/2006/activeX" xmlns:r="http://schemas.openxmlformats.org/officeDocument/2006/relationships" ax:classid="{5512D11A-5CC6-11CF-8D67-00AA00BDCE1D}" ax:persistence="persistStream" r:id="rId1"/>
</file>

<file path=xl/activeX/activeX25.xml><?xml version="1.0" encoding="utf-8"?>
<ax:ocx xmlns:ax="http://schemas.microsoft.com/office/2006/activeX" xmlns:r="http://schemas.openxmlformats.org/officeDocument/2006/relationships" ax:classid="{5512D122-5CC6-11CF-8D67-00AA00BDCE1D}" ax:persistence="persistStream" r:id="rId1"/>
</file>

<file path=xl/activeX/activeX26.xml><?xml version="1.0" encoding="utf-8"?>
<ax:ocx xmlns:ax="http://schemas.microsoft.com/office/2006/activeX" xmlns:r="http://schemas.openxmlformats.org/officeDocument/2006/relationships" ax:classid="{5512D122-5CC6-11CF-8D67-00AA00BDCE1D}" ax:persistence="persistStream" r:id="rId1"/>
</file>

<file path=xl/activeX/activeX27.xml><?xml version="1.0" encoding="utf-8"?>
<ax:ocx xmlns:ax="http://schemas.microsoft.com/office/2006/activeX" xmlns:r="http://schemas.openxmlformats.org/officeDocument/2006/relationships" ax:classid="{5512D124-5CC6-11CF-8D67-00AA00BDCE1D}" ax:persistence="persistStream" r:id="rId1"/>
</file>

<file path=xl/activeX/activeX28.xml><?xml version="1.0" encoding="utf-8"?>
<ax:ocx xmlns:ax="http://schemas.microsoft.com/office/2006/activeX" xmlns:r="http://schemas.openxmlformats.org/officeDocument/2006/relationships" ax:classid="{5512D124-5CC6-11CF-8D67-00AA00BDCE1D}" ax:persistence="persistStream" r:id="rId1"/>
</file>

<file path=xl/activeX/activeX29.xml><?xml version="1.0" encoding="utf-8"?>
<ax:ocx xmlns:ax="http://schemas.microsoft.com/office/2006/activeX" xmlns:r="http://schemas.openxmlformats.org/officeDocument/2006/relationships" ax:classid="{5512D124-5CC6-11CF-8D67-00AA00BDCE1D}" ax:persistence="persistStream" r:id="rId1"/>
</file>

<file path=xl/activeX/activeX30.xml><?xml version="1.0" encoding="utf-8"?>
<ax:ocx xmlns:ax="http://schemas.microsoft.com/office/2006/activeX" xmlns:r="http://schemas.openxmlformats.org/officeDocument/2006/relationships" ax:classid="{5512D11A-5CC6-11CF-8D67-00AA00BDCE1D}" ax:persistence="persistStream" r:id="rId1"/>
</file>

<file path=xl/activeX/activeX31.xml><?xml version="1.0" encoding="utf-8"?>
<ax:ocx xmlns:ax="http://schemas.microsoft.com/office/2006/activeX" xmlns:r="http://schemas.openxmlformats.org/officeDocument/2006/relationships" ax:classid="{5512D11A-5CC6-11CF-8D67-00AA00BDCE1D}" ax:persistence="persistStream" r:id="rId1"/>
</file>

<file path=xl/activeX/activeX32.xml><?xml version="1.0" encoding="utf-8"?>
<ax:ocx xmlns:ax="http://schemas.microsoft.com/office/2006/activeX" xmlns:r="http://schemas.openxmlformats.org/officeDocument/2006/relationships" ax:classid="{5512D122-5CC6-11CF-8D67-00AA00BDCE1D}" ax:persistence="persistStream" r:id="rId1"/>
</file>

<file path=xl/activeX/activeX33.xml><?xml version="1.0" encoding="utf-8"?>
<ax:ocx xmlns:ax="http://schemas.microsoft.com/office/2006/activeX" xmlns:r="http://schemas.openxmlformats.org/officeDocument/2006/relationships" ax:classid="{5512D11A-5CC6-11CF-8D67-00AA00BDCE1D}" ax:persistence="persistStream" r:id="rId1"/>
</file>

<file path=xl/activeX/activeX34.xml><?xml version="1.0" encoding="utf-8"?>
<ax:ocx xmlns:ax="http://schemas.microsoft.com/office/2006/activeX" xmlns:r="http://schemas.openxmlformats.org/officeDocument/2006/relationships" ax:classid="{5512D11A-5CC6-11CF-8D67-00AA00BDCE1D}" ax:persistence="persistStream" r:id="rId1"/>
</file>

<file path=xl/activeX/activeX35.xml><?xml version="1.0" encoding="utf-8"?>
<ax:ocx xmlns:ax="http://schemas.microsoft.com/office/2006/activeX" xmlns:r="http://schemas.openxmlformats.org/officeDocument/2006/relationships" ax:classid="{5512D11A-5CC6-11CF-8D67-00AA00BDCE1D}" ax:persistence="persistStream" r:id="rId1"/>
</file>

<file path=xl/activeX/activeX36.xml><?xml version="1.0" encoding="utf-8"?>
<ax:ocx xmlns:ax="http://schemas.microsoft.com/office/2006/activeX" xmlns:r="http://schemas.openxmlformats.org/officeDocument/2006/relationships" ax:classid="{5512D11A-5CC6-11CF-8D67-00AA00BDCE1D}" ax:persistence="persistStream" r:id="rId1"/>
</file>

<file path=xl/activeX/activeX37.xml><?xml version="1.0" encoding="utf-8"?>
<ax:ocx xmlns:ax="http://schemas.microsoft.com/office/2006/activeX" xmlns:r="http://schemas.openxmlformats.org/officeDocument/2006/relationships" ax:classid="{5512D11A-5CC6-11CF-8D67-00AA00BDCE1D}" ax:persistence="persistStream" r:id="rId1"/>
</file>

<file path=xl/activeX/activeX38.xml><?xml version="1.0" encoding="utf-8"?>
<ax:ocx xmlns:ax="http://schemas.microsoft.com/office/2006/activeX" xmlns:r="http://schemas.openxmlformats.org/officeDocument/2006/relationships" ax:classid="{5512D11A-5CC6-11CF-8D67-00AA00BDCE1D}" ax:persistence="persistStream" r:id="rId1"/>
</file>

<file path=xl/activeX/activeX39.xml><?xml version="1.0" encoding="utf-8"?>
<ax:ocx xmlns:ax="http://schemas.microsoft.com/office/2006/activeX" xmlns:r="http://schemas.openxmlformats.org/officeDocument/2006/relationships" ax:classid="{5512D11A-5CC6-11CF-8D67-00AA00BDCE1D}" ax:persistence="persistStream" r:id="rId1"/>
</file>

<file path=xl/activeX/activeX40.xml><?xml version="1.0" encoding="utf-8"?>
<ax:ocx xmlns:ax="http://schemas.microsoft.com/office/2006/activeX" xmlns:r="http://schemas.openxmlformats.org/officeDocument/2006/relationships" ax:classid="{5512D124-5CC6-11CF-8D67-00AA00BDCE1D}" ax:persistence="persistStream" r:id="rId1"/>
</file>

<file path=xl/activeX/activeX41.xml><?xml version="1.0" encoding="utf-8"?>
<ax:ocx xmlns:ax="http://schemas.microsoft.com/office/2006/activeX" xmlns:r="http://schemas.openxmlformats.org/officeDocument/2006/relationships" ax:classid="{5512D110-5CC6-11CF-8D67-00AA00BDCE1D}" ax:persistence="persistStream" r:id="rId1"/>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spPr>
            <a:solidFill>
              <a:schemeClr val="accent1"/>
            </a:solidFill>
            <a:ln>
              <a:noFill/>
            </a:ln>
            <a:effectLst/>
          </c:spPr>
          <c:invertIfNegative val="0"/>
          <c:cat>
            <c:strRef>
              <c:f>Hoja3!$F$4:$F$16</c:f>
              <c:strCache>
                <c:ptCount val="13"/>
                <c:pt idx="0">
                  <c:v>1</c:v>
                </c:pt>
                <c:pt idx="1">
                  <c:v>2</c:v>
                </c:pt>
                <c:pt idx="2">
                  <c:v>3</c:v>
                </c:pt>
                <c:pt idx="3">
                  <c:v>4</c:v>
                </c:pt>
                <c:pt idx="4">
                  <c:v>5</c:v>
                </c:pt>
                <c:pt idx="5">
                  <c:v>6</c:v>
                </c:pt>
                <c:pt idx="6">
                  <c:v>7</c:v>
                </c:pt>
                <c:pt idx="7">
                  <c:v>8</c:v>
                </c:pt>
                <c:pt idx="8">
                  <c:v>9</c:v>
                </c:pt>
                <c:pt idx="9">
                  <c:v>10</c:v>
                </c:pt>
                <c:pt idx="10">
                  <c:v>11</c:v>
                </c:pt>
                <c:pt idx="11">
                  <c:v>12</c:v>
                </c:pt>
                <c:pt idx="12">
                  <c:v>ODS</c:v>
                </c:pt>
              </c:strCache>
            </c:strRef>
          </c:cat>
          <c:val>
            <c:numRef>
              <c:f>Hoja3!$G$4:$G$16</c:f>
              <c:numCache>
                <c:formatCode>General</c:formatCode>
                <c:ptCount val="13"/>
                <c:pt idx="0">
                  <c:v>26</c:v>
                </c:pt>
                <c:pt idx="1">
                  <c:v>51</c:v>
                </c:pt>
                <c:pt idx="2">
                  <c:v>55</c:v>
                </c:pt>
                <c:pt idx="3">
                  <c:v>8</c:v>
                </c:pt>
                <c:pt idx="4">
                  <c:v>34</c:v>
                </c:pt>
                <c:pt idx="5">
                  <c:v>45</c:v>
                </c:pt>
                <c:pt idx="6">
                  <c:v>17</c:v>
                </c:pt>
                <c:pt idx="7">
                  <c:v>13</c:v>
                </c:pt>
                <c:pt idx="8">
                  <c:v>4</c:v>
                </c:pt>
                <c:pt idx="9">
                  <c:v>25</c:v>
                </c:pt>
                <c:pt idx="10">
                  <c:v>29</c:v>
                </c:pt>
                <c:pt idx="11">
                  <c:v>3</c:v>
                </c:pt>
                <c:pt idx="12">
                  <c:v>5</c:v>
                </c:pt>
              </c:numCache>
            </c:numRef>
          </c:val>
          <c:extLst>
            <c:ext xmlns:c16="http://schemas.microsoft.com/office/drawing/2014/chart" uri="{C3380CC4-5D6E-409C-BE32-E72D297353CC}">
              <c16:uniqueId val="{00000000-1C63-444E-9D94-983011CE8D96}"/>
            </c:ext>
          </c:extLst>
        </c:ser>
        <c:dLbls>
          <c:showLegendKey val="0"/>
          <c:showVal val="0"/>
          <c:showCatName val="0"/>
          <c:showSerName val="0"/>
          <c:showPercent val="0"/>
          <c:showBubbleSize val="0"/>
        </c:dLbls>
        <c:gapWidth val="54"/>
        <c:overlap val="-27"/>
        <c:axId val="190122464"/>
        <c:axId val="190124032"/>
      </c:barChart>
      <c:catAx>
        <c:axId val="19012246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BO"/>
          </a:p>
        </c:txPr>
        <c:crossAx val="190124032"/>
        <c:crosses val="autoZero"/>
        <c:auto val="1"/>
        <c:lblAlgn val="ctr"/>
        <c:lblOffset val="100"/>
        <c:noMultiLvlLbl val="0"/>
      </c:catAx>
      <c:valAx>
        <c:axId val="190124032"/>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BO"/>
          </a:p>
        </c:txPr>
        <c:crossAx val="190122464"/>
        <c:crosses val="autoZero"/>
        <c:crossBetween val="between"/>
      </c:valAx>
      <c:spPr>
        <a:noFill/>
        <a:ln>
          <a:noFill/>
        </a:ln>
        <a:effectLst/>
      </c:spPr>
    </c:plotArea>
    <c:plotVisOnly val="1"/>
    <c:dispBlanksAs val="gap"/>
    <c:showDLblsOverMax val="0"/>
  </c:chart>
  <c:spPr>
    <a:solidFill>
      <a:schemeClr val="bg1"/>
    </a:solidFill>
    <a:ln w="9525" cap="flat" cmpd="sng" algn="ctr">
      <a:noFill/>
      <a:round/>
    </a:ln>
    <a:effectLst/>
  </c:spPr>
  <c:txPr>
    <a:bodyPr/>
    <a:lstStyle/>
    <a:p>
      <a:pPr>
        <a:defRPr/>
      </a:pPr>
      <a:endParaRPr lang="es-BO"/>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8" Type="http://schemas.openxmlformats.org/officeDocument/2006/relationships/image" Target="../media/image32.emf"/><Relationship Id="rId13" Type="http://schemas.openxmlformats.org/officeDocument/2006/relationships/image" Target="../media/image37.emf"/><Relationship Id="rId3" Type="http://schemas.openxmlformats.org/officeDocument/2006/relationships/image" Target="../media/image27.png"/><Relationship Id="rId7" Type="http://schemas.openxmlformats.org/officeDocument/2006/relationships/image" Target="../media/image31.emf"/><Relationship Id="rId12" Type="http://schemas.openxmlformats.org/officeDocument/2006/relationships/image" Target="../media/image36.emf"/><Relationship Id="rId2" Type="http://schemas.openxmlformats.org/officeDocument/2006/relationships/image" Target="../media/image26.png"/><Relationship Id="rId1" Type="http://schemas.openxmlformats.org/officeDocument/2006/relationships/image" Target="../media/image25.png"/><Relationship Id="rId6" Type="http://schemas.openxmlformats.org/officeDocument/2006/relationships/image" Target="../media/image30.emf"/><Relationship Id="rId11" Type="http://schemas.openxmlformats.org/officeDocument/2006/relationships/image" Target="../media/image35.emf"/><Relationship Id="rId5" Type="http://schemas.openxmlformats.org/officeDocument/2006/relationships/image" Target="../media/image29.emf"/><Relationship Id="rId10" Type="http://schemas.openxmlformats.org/officeDocument/2006/relationships/image" Target="../media/image34.emf"/><Relationship Id="rId4" Type="http://schemas.openxmlformats.org/officeDocument/2006/relationships/image" Target="../media/image28.png"/><Relationship Id="rId9" Type="http://schemas.openxmlformats.org/officeDocument/2006/relationships/image" Target="../media/image33.emf"/><Relationship Id="rId14" Type="http://schemas.openxmlformats.org/officeDocument/2006/relationships/image" Target="../media/image38.emf"/></Relationships>
</file>

<file path=xl/drawings/_rels/drawing3.xml.rels><?xml version="1.0" encoding="UTF-8" standalone="yes"?>
<Relationships xmlns="http://schemas.openxmlformats.org/package/2006/relationships"><Relationship Id="rId3" Type="http://schemas.openxmlformats.org/officeDocument/2006/relationships/image" Target="../media/image43.png"/><Relationship Id="rId2" Type="http://schemas.openxmlformats.org/officeDocument/2006/relationships/image" Target="../media/image42.png"/><Relationship Id="rId1" Type="http://schemas.openxmlformats.org/officeDocument/2006/relationships/image" Target="../media/image41.png"/><Relationship Id="rId5" Type="http://schemas.openxmlformats.org/officeDocument/2006/relationships/image" Target="../media/image45.png"/><Relationship Id="rId4" Type="http://schemas.openxmlformats.org/officeDocument/2006/relationships/image" Target="../media/image44.png"/></Relationships>
</file>

<file path=xl/drawings/_rels/drawing4.xml.rels><?xml version="1.0" encoding="UTF-8" standalone="yes"?>
<Relationships xmlns="http://schemas.openxmlformats.org/package/2006/relationships"><Relationship Id="rId8" Type="http://schemas.openxmlformats.org/officeDocument/2006/relationships/image" Target="../media/image79.png"/><Relationship Id="rId3" Type="http://schemas.openxmlformats.org/officeDocument/2006/relationships/image" Target="../media/image74.png"/><Relationship Id="rId7" Type="http://schemas.openxmlformats.org/officeDocument/2006/relationships/image" Target="../media/image78.png"/><Relationship Id="rId2" Type="http://schemas.openxmlformats.org/officeDocument/2006/relationships/image" Target="../media/image73.png"/><Relationship Id="rId1" Type="http://schemas.openxmlformats.org/officeDocument/2006/relationships/image" Target="../media/image72.png"/><Relationship Id="rId6" Type="http://schemas.openxmlformats.org/officeDocument/2006/relationships/image" Target="../media/image77.png"/><Relationship Id="rId5" Type="http://schemas.openxmlformats.org/officeDocument/2006/relationships/image" Target="../media/image76.png"/><Relationship Id="rId10" Type="http://schemas.openxmlformats.org/officeDocument/2006/relationships/image" Target="../media/image81.png"/><Relationship Id="rId4" Type="http://schemas.openxmlformats.org/officeDocument/2006/relationships/image" Target="../media/image75.png"/><Relationship Id="rId9" Type="http://schemas.openxmlformats.org/officeDocument/2006/relationships/image" Target="../media/image80.png"/></Relationships>
</file>

<file path=xl/drawings/_rels/vmlDrawing1.vml.rels><?xml version="1.0" encoding="UTF-8" standalone="yes"?>
<Relationships xmlns="http://schemas.openxmlformats.org/package/2006/relationships"><Relationship Id="rId8" Type="http://schemas.openxmlformats.org/officeDocument/2006/relationships/image" Target="../media/image8.emf"/><Relationship Id="rId13" Type="http://schemas.openxmlformats.org/officeDocument/2006/relationships/image" Target="../media/image13.emf"/><Relationship Id="rId18" Type="http://schemas.openxmlformats.org/officeDocument/2006/relationships/image" Target="../media/image18.wmf"/><Relationship Id="rId3" Type="http://schemas.openxmlformats.org/officeDocument/2006/relationships/image" Target="../media/image3.wmf"/><Relationship Id="rId21" Type="http://schemas.openxmlformats.org/officeDocument/2006/relationships/image" Target="../media/image21.wmf"/><Relationship Id="rId7" Type="http://schemas.openxmlformats.org/officeDocument/2006/relationships/image" Target="../media/image7.emf"/><Relationship Id="rId12" Type="http://schemas.openxmlformats.org/officeDocument/2006/relationships/image" Target="../media/image12.emf"/><Relationship Id="rId17" Type="http://schemas.openxmlformats.org/officeDocument/2006/relationships/image" Target="../media/image17.wmf"/><Relationship Id="rId2" Type="http://schemas.openxmlformats.org/officeDocument/2006/relationships/image" Target="../media/image2.emf"/><Relationship Id="rId16" Type="http://schemas.openxmlformats.org/officeDocument/2006/relationships/image" Target="../media/image16.emf"/><Relationship Id="rId20" Type="http://schemas.openxmlformats.org/officeDocument/2006/relationships/image" Target="../media/image20.emf"/><Relationship Id="rId1" Type="http://schemas.openxmlformats.org/officeDocument/2006/relationships/image" Target="../media/image1.emf"/><Relationship Id="rId6" Type="http://schemas.openxmlformats.org/officeDocument/2006/relationships/image" Target="../media/image6.emf"/><Relationship Id="rId11" Type="http://schemas.openxmlformats.org/officeDocument/2006/relationships/image" Target="../media/image11.emf"/><Relationship Id="rId24" Type="http://schemas.openxmlformats.org/officeDocument/2006/relationships/image" Target="../media/image24.emf"/><Relationship Id="rId5" Type="http://schemas.openxmlformats.org/officeDocument/2006/relationships/image" Target="../media/image5.emf"/><Relationship Id="rId15" Type="http://schemas.openxmlformats.org/officeDocument/2006/relationships/image" Target="../media/image15.emf"/><Relationship Id="rId23" Type="http://schemas.openxmlformats.org/officeDocument/2006/relationships/image" Target="../media/image23.emf"/><Relationship Id="rId10" Type="http://schemas.openxmlformats.org/officeDocument/2006/relationships/image" Target="../media/image10.emf"/><Relationship Id="rId19" Type="http://schemas.openxmlformats.org/officeDocument/2006/relationships/image" Target="../media/image19.wmf"/><Relationship Id="rId4" Type="http://schemas.openxmlformats.org/officeDocument/2006/relationships/image" Target="../media/image4.emf"/><Relationship Id="rId9" Type="http://schemas.openxmlformats.org/officeDocument/2006/relationships/image" Target="../media/image9.emf"/><Relationship Id="rId14" Type="http://schemas.openxmlformats.org/officeDocument/2006/relationships/image" Target="../media/image14.emf"/><Relationship Id="rId22" Type="http://schemas.openxmlformats.org/officeDocument/2006/relationships/image" Target="../media/image22.emf"/></Relationships>
</file>

<file path=xl/drawings/_rels/vmlDrawing2.vml.rels><?xml version="1.0" encoding="UTF-8" standalone="yes"?>
<Relationships xmlns="http://schemas.openxmlformats.org/package/2006/relationships"><Relationship Id="rId2" Type="http://schemas.openxmlformats.org/officeDocument/2006/relationships/image" Target="../media/image40.emf"/><Relationship Id="rId1" Type="http://schemas.openxmlformats.org/officeDocument/2006/relationships/image" Target="../media/image39.emf"/></Relationships>
</file>

<file path=xl/drawings/_rels/vmlDrawing3.vml.rels><?xml version="1.0" encoding="UTF-8" standalone="yes"?>
<Relationships xmlns="http://schemas.openxmlformats.org/package/2006/relationships"><Relationship Id="rId8" Type="http://schemas.openxmlformats.org/officeDocument/2006/relationships/image" Target="../media/image53.emf"/><Relationship Id="rId13" Type="http://schemas.openxmlformats.org/officeDocument/2006/relationships/image" Target="../media/image58.emf"/><Relationship Id="rId18" Type="http://schemas.openxmlformats.org/officeDocument/2006/relationships/image" Target="../media/image63.emf"/><Relationship Id="rId26" Type="http://schemas.openxmlformats.org/officeDocument/2006/relationships/image" Target="../media/image71.emf"/><Relationship Id="rId3" Type="http://schemas.openxmlformats.org/officeDocument/2006/relationships/image" Target="../media/image48.emf"/><Relationship Id="rId21" Type="http://schemas.openxmlformats.org/officeDocument/2006/relationships/image" Target="../media/image66.emf"/><Relationship Id="rId7" Type="http://schemas.openxmlformats.org/officeDocument/2006/relationships/image" Target="../media/image52.emf"/><Relationship Id="rId12" Type="http://schemas.openxmlformats.org/officeDocument/2006/relationships/image" Target="../media/image57.emf"/><Relationship Id="rId17" Type="http://schemas.openxmlformats.org/officeDocument/2006/relationships/image" Target="../media/image62.emf"/><Relationship Id="rId25" Type="http://schemas.openxmlformats.org/officeDocument/2006/relationships/image" Target="../media/image70.emf"/><Relationship Id="rId2" Type="http://schemas.openxmlformats.org/officeDocument/2006/relationships/image" Target="../media/image47.emf"/><Relationship Id="rId16" Type="http://schemas.openxmlformats.org/officeDocument/2006/relationships/image" Target="../media/image61.emf"/><Relationship Id="rId20" Type="http://schemas.openxmlformats.org/officeDocument/2006/relationships/image" Target="../media/image65.emf"/><Relationship Id="rId1" Type="http://schemas.openxmlformats.org/officeDocument/2006/relationships/image" Target="../media/image46.emf"/><Relationship Id="rId6" Type="http://schemas.openxmlformats.org/officeDocument/2006/relationships/image" Target="../media/image51.emf"/><Relationship Id="rId11" Type="http://schemas.openxmlformats.org/officeDocument/2006/relationships/image" Target="../media/image56.emf"/><Relationship Id="rId24" Type="http://schemas.openxmlformats.org/officeDocument/2006/relationships/image" Target="../media/image69.emf"/><Relationship Id="rId5" Type="http://schemas.openxmlformats.org/officeDocument/2006/relationships/image" Target="../media/image50.emf"/><Relationship Id="rId15" Type="http://schemas.openxmlformats.org/officeDocument/2006/relationships/image" Target="../media/image60.emf"/><Relationship Id="rId23" Type="http://schemas.openxmlformats.org/officeDocument/2006/relationships/image" Target="../media/image68.emf"/><Relationship Id="rId10" Type="http://schemas.openxmlformats.org/officeDocument/2006/relationships/image" Target="../media/image55.emf"/><Relationship Id="rId19" Type="http://schemas.openxmlformats.org/officeDocument/2006/relationships/image" Target="../media/image64.emf"/><Relationship Id="rId4" Type="http://schemas.openxmlformats.org/officeDocument/2006/relationships/image" Target="../media/image49.emf"/><Relationship Id="rId9" Type="http://schemas.openxmlformats.org/officeDocument/2006/relationships/image" Target="../media/image54.emf"/><Relationship Id="rId14" Type="http://schemas.openxmlformats.org/officeDocument/2006/relationships/image" Target="../media/image59.emf"/><Relationship Id="rId22" Type="http://schemas.openxmlformats.org/officeDocument/2006/relationships/image" Target="../media/image67.emf"/></Relationships>
</file>

<file path=xl/drawings/drawing1.xml><?xml version="1.0" encoding="utf-8"?>
<xdr:wsDr xmlns:xdr="http://schemas.openxmlformats.org/drawingml/2006/spreadsheetDrawing" xmlns:a="http://schemas.openxmlformats.org/drawingml/2006/main">
  <xdr:twoCellAnchor>
    <xdr:from>
      <xdr:col>8</xdr:col>
      <xdr:colOff>47625</xdr:colOff>
      <xdr:row>13</xdr:row>
      <xdr:rowOff>147637</xdr:rowOff>
    </xdr:from>
    <xdr:to>
      <xdr:col>14</xdr:col>
      <xdr:colOff>47625</xdr:colOff>
      <xdr:row>28</xdr:row>
      <xdr:rowOff>33337</xdr:rowOff>
    </xdr:to>
    <xdr:graphicFrame macro="">
      <xdr:nvGraphicFramePr>
        <xdr:cNvPr id="2" name="Gráfico 1">
          <a:extLst>
            <a:ext uri="{FF2B5EF4-FFF2-40B4-BE49-F238E27FC236}">
              <a16:creationId xmlns:a16="http://schemas.microsoft.com/office/drawing/2014/main" id="{00000000-0008-0000-03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xdr:from>
          <xdr:col>42</xdr:col>
          <xdr:colOff>66675</xdr:colOff>
          <xdr:row>40</xdr:row>
          <xdr:rowOff>0</xdr:rowOff>
        </xdr:from>
        <xdr:to>
          <xdr:col>42</xdr:col>
          <xdr:colOff>2533650</xdr:colOff>
          <xdr:row>40</xdr:row>
          <xdr:rowOff>0</xdr:rowOff>
        </xdr:to>
        <xdr:sp macro="" textlink="">
          <xdr:nvSpPr>
            <xdr:cNvPr id="61456" name="Object 1" hidden="1">
              <a:extLst>
                <a:ext uri="{63B3BB69-23CF-44E3-9099-C40C66FF867C}">
                  <a14:compatExt spid="_x0000_s61456"/>
                </a:ext>
                <a:ext uri="{FF2B5EF4-FFF2-40B4-BE49-F238E27FC236}">
                  <a16:creationId xmlns:a16="http://schemas.microsoft.com/office/drawing/2014/main" id="{00000000-0008-0000-0400-000010F00000}"/>
                </a:ext>
              </a:extLst>
            </xdr:cNvPr>
            <xdr:cNvSpPr/>
          </xdr:nvSpPr>
          <xdr:spPr bwMode="auto">
            <a:xfrm>
              <a:off x="0" y="0"/>
              <a:ext cx="0" cy="0"/>
            </a:xfrm>
            <a:prstGeom prst="rect">
              <a:avLst/>
            </a:prstGeom>
            <a:noFill/>
            <a:extLst>
              <a:ext uri="{909E8E84-426E-40DD-AFC4-6F175D3DCCD1}">
                <a14:hiddenFill>
                  <a:solidFill>
                    <a:srgbClr val="FFFFFF"/>
                  </a:solid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42</xdr:col>
          <xdr:colOff>104775</xdr:colOff>
          <xdr:row>40</xdr:row>
          <xdr:rowOff>0</xdr:rowOff>
        </xdr:from>
        <xdr:to>
          <xdr:col>42</xdr:col>
          <xdr:colOff>2533650</xdr:colOff>
          <xdr:row>40</xdr:row>
          <xdr:rowOff>0</xdr:rowOff>
        </xdr:to>
        <xdr:sp macro="" textlink="">
          <xdr:nvSpPr>
            <xdr:cNvPr id="61457" name="Object 4" hidden="1">
              <a:extLst>
                <a:ext uri="{63B3BB69-23CF-44E3-9099-C40C66FF867C}">
                  <a14:compatExt spid="_x0000_s61457"/>
                </a:ext>
                <a:ext uri="{FF2B5EF4-FFF2-40B4-BE49-F238E27FC236}">
                  <a16:creationId xmlns:a16="http://schemas.microsoft.com/office/drawing/2014/main" id="{00000000-0008-0000-0400-000011F00000}"/>
                </a:ext>
              </a:extLst>
            </xdr:cNvPr>
            <xdr:cNvSpPr/>
          </xdr:nvSpPr>
          <xdr:spPr bwMode="auto">
            <a:xfrm>
              <a:off x="0" y="0"/>
              <a:ext cx="0" cy="0"/>
            </a:xfrm>
            <a:prstGeom prst="rect">
              <a:avLst/>
            </a:prstGeom>
            <a:noFill/>
            <a:extLst>
              <a:ext uri="{909E8E84-426E-40DD-AFC4-6F175D3DCCD1}">
                <a14:hiddenFill>
                  <a:solidFill>
                    <a:srgbClr val="FFFFFF"/>
                  </a:solid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42</xdr:col>
          <xdr:colOff>85725</xdr:colOff>
          <xdr:row>40</xdr:row>
          <xdr:rowOff>0</xdr:rowOff>
        </xdr:from>
        <xdr:to>
          <xdr:col>42</xdr:col>
          <xdr:colOff>2533650</xdr:colOff>
          <xdr:row>40</xdr:row>
          <xdr:rowOff>0</xdr:rowOff>
        </xdr:to>
        <xdr:sp macro="" textlink="">
          <xdr:nvSpPr>
            <xdr:cNvPr id="61458" name="Object 5" hidden="1">
              <a:extLst>
                <a:ext uri="{63B3BB69-23CF-44E3-9099-C40C66FF867C}">
                  <a14:compatExt spid="_x0000_s61458"/>
                </a:ext>
                <a:ext uri="{FF2B5EF4-FFF2-40B4-BE49-F238E27FC236}">
                  <a16:creationId xmlns:a16="http://schemas.microsoft.com/office/drawing/2014/main" id="{00000000-0008-0000-0400-000012F00000}"/>
                </a:ext>
              </a:extLst>
            </xdr:cNvPr>
            <xdr:cNvSpPr/>
          </xdr:nvSpPr>
          <xdr:spPr bwMode="auto">
            <a:xfrm>
              <a:off x="0" y="0"/>
              <a:ext cx="0" cy="0"/>
            </a:xfrm>
            <a:prstGeom prst="rect">
              <a:avLst/>
            </a:prstGeom>
            <a:noFill/>
            <a:extLst>
              <a:ext uri="{909E8E84-426E-40DD-AFC4-6F175D3DCCD1}">
                <a14:hiddenFill>
                  <a:solidFill>
                    <a:srgbClr val="FFFFFF"/>
                  </a:solid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42</xdr:col>
          <xdr:colOff>28575</xdr:colOff>
          <xdr:row>40</xdr:row>
          <xdr:rowOff>0</xdr:rowOff>
        </xdr:from>
        <xdr:to>
          <xdr:col>42</xdr:col>
          <xdr:colOff>2505075</xdr:colOff>
          <xdr:row>40</xdr:row>
          <xdr:rowOff>0</xdr:rowOff>
        </xdr:to>
        <xdr:sp macro="" textlink="">
          <xdr:nvSpPr>
            <xdr:cNvPr id="61459" name="Object 6" hidden="1">
              <a:extLst>
                <a:ext uri="{63B3BB69-23CF-44E3-9099-C40C66FF867C}">
                  <a14:compatExt spid="_x0000_s61459"/>
                </a:ext>
                <a:ext uri="{FF2B5EF4-FFF2-40B4-BE49-F238E27FC236}">
                  <a16:creationId xmlns:a16="http://schemas.microsoft.com/office/drawing/2014/main" id="{00000000-0008-0000-0400-000013F00000}"/>
                </a:ext>
              </a:extLst>
            </xdr:cNvPr>
            <xdr:cNvSpPr/>
          </xdr:nvSpPr>
          <xdr:spPr bwMode="auto">
            <a:xfrm>
              <a:off x="0" y="0"/>
              <a:ext cx="0" cy="0"/>
            </a:xfrm>
            <a:prstGeom prst="rect">
              <a:avLst/>
            </a:prstGeom>
            <a:noFill/>
            <a:extLst>
              <a:ext uri="{909E8E84-426E-40DD-AFC4-6F175D3DCCD1}">
                <a14:hiddenFill>
                  <a:solidFill>
                    <a:srgbClr val="FFFFFF"/>
                  </a:solid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42</xdr:col>
          <xdr:colOff>228600</xdr:colOff>
          <xdr:row>245</xdr:row>
          <xdr:rowOff>114300</xdr:rowOff>
        </xdr:from>
        <xdr:to>
          <xdr:col>42</xdr:col>
          <xdr:colOff>2171700</xdr:colOff>
          <xdr:row>245</xdr:row>
          <xdr:rowOff>533400</xdr:rowOff>
        </xdr:to>
        <xdr:sp macro="" textlink="">
          <xdr:nvSpPr>
            <xdr:cNvPr id="61467" name="Object 27" hidden="1">
              <a:extLst>
                <a:ext uri="{63B3BB69-23CF-44E3-9099-C40C66FF867C}">
                  <a14:compatExt spid="_x0000_s61467"/>
                </a:ext>
                <a:ext uri="{FF2B5EF4-FFF2-40B4-BE49-F238E27FC236}">
                  <a16:creationId xmlns:a16="http://schemas.microsoft.com/office/drawing/2014/main" id="{00000000-0008-0000-0400-00001BF00000}"/>
                </a:ext>
              </a:extLst>
            </xdr:cNvPr>
            <xdr:cNvSpPr/>
          </xdr:nvSpPr>
          <xdr:spPr bwMode="auto">
            <a:xfrm>
              <a:off x="0" y="0"/>
              <a:ext cx="0" cy="0"/>
            </a:xfrm>
            <a:prstGeom prst="rect">
              <a:avLst/>
            </a:prstGeom>
            <a:noFill/>
            <a:extLst>
              <a:ext uri="{909E8E84-426E-40DD-AFC4-6F175D3DCCD1}">
                <a14:hiddenFill>
                  <a:solidFill>
                    <a:srgbClr val="FFFFFF"/>
                  </a:solid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42</xdr:col>
          <xdr:colOff>285750</xdr:colOff>
          <xdr:row>246</xdr:row>
          <xdr:rowOff>438150</xdr:rowOff>
        </xdr:from>
        <xdr:to>
          <xdr:col>42</xdr:col>
          <xdr:colOff>2009775</xdr:colOff>
          <xdr:row>246</xdr:row>
          <xdr:rowOff>895350</xdr:rowOff>
        </xdr:to>
        <xdr:sp macro="" textlink="">
          <xdr:nvSpPr>
            <xdr:cNvPr id="61468" name="Object 28" hidden="1">
              <a:extLst>
                <a:ext uri="{63B3BB69-23CF-44E3-9099-C40C66FF867C}">
                  <a14:compatExt spid="_x0000_s61468"/>
                </a:ext>
                <a:ext uri="{FF2B5EF4-FFF2-40B4-BE49-F238E27FC236}">
                  <a16:creationId xmlns:a16="http://schemas.microsoft.com/office/drawing/2014/main" id="{00000000-0008-0000-0400-00001CF00000}"/>
                </a:ext>
              </a:extLst>
            </xdr:cNvPr>
            <xdr:cNvSpPr/>
          </xdr:nvSpPr>
          <xdr:spPr bwMode="auto">
            <a:xfrm>
              <a:off x="0" y="0"/>
              <a:ext cx="0" cy="0"/>
            </a:xfrm>
            <a:prstGeom prst="rect">
              <a:avLst/>
            </a:prstGeom>
            <a:noFill/>
            <a:extLst>
              <a:ext uri="{909E8E84-426E-40DD-AFC4-6F175D3DCCD1}">
                <a14:hiddenFill>
                  <a:solidFill>
                    <a:srgbClr val="FFFFFF"/>
                  </a:solid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42</xdr:col>
          <xdr:colOff>285750</xdr:colOff>
          <xdr:row>247</xdr:row>
          <xdr:rowOff>228600</xdr:rowOff>
        </xdr:from>
        <xdr:to>
          <xdr:col>42</xdr:col>
          <xdr:colOff>2162175</xdr:colOff>
          <xdr:row>247</xdr:row>
          <xdr:rowOff>723900</xdr:rowOff>
        </xdr:to>
        <xdr:sp macro="" textlink="">
          <xdr:nvSpPr>
            <xdr:cNvPr id="61469" name="Object 29" hidden="1">
              <a:extLst>
                <a:ext uri="{63B3BB69-23CF-44E3-9099-C40C66FF867C}">
                  <a14:compatExt spid="_x0000_s61469"/>
                </a:ext>
                <a:ext uri="{FF2B5EF4-FFF2-40B4-BE49-F238E27FC236}">
                  <a16:creationId xmlns:a16="http://schemas.microsoft.com/office/drawing/2014/main" id="{00000000-0008-0000-0400-00001DF00000}"/>
                </a:ext>
              </a:extLst>
            </xdr:cNvPr>
            <xdr:cNvSpPr/>
          </xdr:nvSpPr>
          <xdr:spPr bwMode="auto">
            <a:xfrm>
              <a:off x="0" y="0"/>
              <a:ext cx="0" cy="0"/>
            </a:xfrm>
            <a:prstGeom prst="rect">
              <a:avLst/>
            </a:prstGeom>
            <a:noFill/>
            <a:extLst>
              <a:ext uri="{909E8E84-426E-40DD-AFC4-6F175D3DCCD1}">
                <a14:hiddenFill>
                  <a:solidFill>
                    <a:srgbClr val="FFFFFF"/>
                  </a:solid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42</xdr:col>
          <xdr:colOff>285750</xdr:colOff>
          <xdr:row>248</xdr:row>
          <xdr:rowOff>228600</xdr:rowOff>
        </xdr:from>
        <xdr:to>
          <xdr:col>42</xdr:col>
          <xdr:colOff>2162175</xdr:colOff>
          <xdr:row>248</xdr:row>
          <xdr:rowOff>723900</xdr:rowOff>
        </xdr:to>
        <xdr:sp macro="" textlink="">
          <xdr:nvSpPr>
            <xdr:cNvPr id="61470" name="Object 30" hidden="1">
              <a:extLst>
                <a:ext uri="{63B3BB69-23CF-44E3-9099-C40C66FF867C}">
                  <a14:compatExt spid="_x0000_s61470"/>
                </a:ext>
                <a:ext uri="{FF2B5EF4-FFF2-40B4-BE49-F238E27FC236}">
                  <a16:creationId xmlns:a16="http://schemas.microsoft.com/office/drawing/2014/main" id="{00000000-0008-0000-0400-00001EF00000}"/>
                </a:ext>
              </a:extLst>
            </xdr:cNvPr>
            <xdr:cNvSpPr/>
          </xdr:nvSpPr>
          <xdr:spPr bwMode="auto">
            <a:xfrm>
              <a:off x="0" y="0"/>
              <a:ext cx="0" cy="0"/>
            </a:xfrm>
            <a:prstGeom prst="rect">
              <a:avLst/>
            </a:prstGeom>
            <a:noFill/>
            <a:extLst>
              <a:ext uri="{909E8E84-426E-40DD-AFC4-6F175D3DCCD1}">
                <a14:hiddenFill>
                  <a:solidFill>
                    <a:srgbClr val="FFFFFF"/>
                  </a:solid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42</xdr:col>
          <xdr:colOff>276225</xdr:colOff>
          <xdr:row>249</xdr:row>
          <xdr:rowOff>209550</xdr:rowOff>
        </xdr:from>
        <xdr:to>
          <xdr:col>42</xdr:col>
          <xdr:colOff>2133600</xdr:colOff>
          <xdr:row>249</xdr:row>
          <xdr:rowOff>752475</xdr:rowOff>
        </xdr:to>
        <xdr:sp macro="" textlink="">
          <xdr:nvSpPr>
            <xdr:cNvPr id="61471" name="Object 31" hidden="1">
              <a:extLst>
                <a:ext uri="{63B3BB69-23CF-44E3-9099-C40C66FF867C}">
                  <a14:compatExt spid="_x0000_s61471"/>
                </a:ext>
                <a:ext uri="{FF2B5EF4-FFF2-40B4-BE49-F238E27FC236}">
                  <a16:creationId xmlns:a16="http://schemas.microsoft.com/office/drawing/2014/main" id="{00000000-0008-0000-0400-00001FF00000}"/>
                </a:ext>
              </a:extLst>
            </xdr:cNvPr>
            <xdr:cNvSpPr/>
          </xdr:nvSpPr>
          <xdr:spPr bwMode="auto">
            <a:xfrm>
              <a:off x="0" y="0"/>
              <a:ext cx="0" cy="0"/>
            </a:xfrm>
            <a:prstGeom prst="rect">
              <a:avLst/>
            </a:prstGeom>
            <a:noFill/>
            <a:extLst>
              <a:ext uri="{909E8E84-426E-40DD-AFC4-6F175D3DCCD1}">
                <a14:hiddenFill>
                  <a:solidFill>
                    <a:srgbClr val="FFFFFF"/>
                  </a:solid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42</xdr:col>
          <xdr:colOff>276225</xdr:colOff>
          <xdr:row>252</xdr:row>
          <xdr:rowOff>209550</xdr:rowOff>
        </xdr:from>
        <xdr:to>
          <xdr:col>42</xdr:col>
          <xdr:colOff>2133600</xdr:colOff>
          <xdr:row>252</xdr:row>
          <xdr:rowOff>752475</xdr:rowOff>
        </xdr:to>
        <xdr:sp macro="" textlink="">
          <xdr:nvSpPr>
            <xdr:cNvPr id="61472" name="Object 32" hidden="1">
              <a:extLst>
                <a:ext uri="{63B3BB69-23CF-44E3-9099-C40C66FF867C}">
                  <a14:compatExt spid="_x0000_s61472"/>
                </a:ext>
                <a:ext uri="{FF2B5EF4-FFF2-40B4-BE49-F238E27FC236}">
                  <a16:creationId xmlns:a16="http://schemas.microsoft.com/office/drawing/2014/main" id="{00000000-0008-0000-0400-000020F00000}"/>
                </a:ext>
              </a:extLst>
            </xdr:cNvPr>
            <xdr:cNvSpPr/>
          </xdr:nvSpPr>
          <xdr:spPr bwMode="auto">
            <a:xfrm>
              <a:off x="0" y="0"/>
              <a:ext cx="0" cy="0"/>
            </a:xfrm>
            <a:prstGeom prst="rect">
              <a:avLst/>
            </a:prstGeom>
            <a:noFill/>
            <a:extLst>
              <a:ext uri="{909E8E84-426E-40DD-AFC4-6F175D3DCCD1}">
                <a14:hiddenFill>
                  <a:solidFill>
                    <a:srgbClr val="FFFFFF"/>
                  </a:solid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42</xdr:col>
          <xdr:colOff>276225</xdr:colOff>
          <xdr:row>250</xdr:row>
          <xdr:rowOff>209550</xdr:rowOff>
        </xdr:from>
        <xdr:to>
          <xdr:col>42</xdr:col>
          <xdr:colOff>2133600</xdr:colOff>
          <xdr:row>250</xdr:row>
          <xdr:rowOff>752475</xdr:rowOff>
        </xdr:to>
        <xdr:sp macro="" textlink="">
          <xdr:nvSpPr>
            <xdr:cNvPr id="61473" name="Object 33" hidden="1">
              <a:extLst>
                <a:ext uri="{63B3BB69-23CF-44E3-9099-C40C66FF867C}">
                  <a14:compatExt spid="_x0000_s61473"/>
                </a:ext>
                <a:ext uri="{FF2B5EF4-FFF2-40B4-BE49-F238E27FC236}">
                  <a16:creationId xmlns:a16="http://schemas.microsoft.com/office/drawing/2014/main" id="{00000000-0008-0000-0400-000021F00000}"/>
                </a:ext>
              </a:extLst>
            </xdr:cNvPr>
            <xdr:cNvSpPr/>
          </xdr:nvSpPr>
          <xdr:spPr bwMode="auto">
            <a:xfrm>
              <a:off x="0" y="0"/>
              <a:ext cx="0" cy="0"/>
            </a:xfrm>
            <a:prstGeom prst="rect">
              <a:avLst/>
            </a:prstGeom>
            <a:noFill/>
            <a:extLst>
              <a:ext uri="{909E8E84-426E-40DD-AFC4-6F175D3DCCD1}">
                <a14:hiddenFill>
                  <a:solidFill>
                    <a:srgbClr val="FFFFFF"/>
                  </a:solid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42</xdr:col>
          <xdr:colOff>276225</xdr:colOff>
          <xdr:row>251</xdr:row>
          <xdr:rowOff>209550</xdr:rowOff>
        </xdr:from>
        <xdr:to>
          <xdr:col>42</xdr:col>
          <xdr:colOff>2133600</xdr:colOff>
          <xdr:row>251</xdr:row>
          <xdr:rowOff>752475</xdr:rowOff>
        </xdr:to>
        <xdr:sp macro="" textlink="">
          <xdr:nvSpPr>
            <xdr:cNvPr id="61474" name="Object 34" hidden="1">
              <a:extLst>
                <a:ext uri="{63B3BB69-23CF-44E3-9099-C40C66FF867C}">
                  <a14:compatExt spid="_x0000_s61474"/>
                </a:ext>
                <a:ext uri="{FF2B5EF4-FFF2-40B4-BE49-F238E27FC236}">
                  <a16:creationId xmlns:a16="http://schemas.microsoft.com/office/drawing/2014/main" id="{00000000-0008-0000-0400-000022F00000}"/>
                </a:ext>
              </a:extLst>
            </xdr:cNvPr>
            <xdr:cNvSpPr/>
          </xdr:nvSpPr>
          <xdr:spPr bwMode="auto">
            <a:xfrm>
              <a:off x="0" y="0"/>
              <a:ext cx="0" cy="0"/>
            </a:xfrm>
            <a:prstGeom prst="rect">
              <a:avLst/>
            </a:prstGeom>
            <a:noFill/>
            <a:extLst>
              <a:ext uri="{909E8E84-426E-40DD-AFC4-6F175D3DCCD1}">
                <a14:hiddenFill>
                  <a:solidFill>
                    <a:srgbClr val="FFFFFF"/>
                  </a:solid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42</xdr:col>
          <xdr:colOff>66675</xdr:colOff>
          <xdr:row>83</xdr:row>
          <xdr:rowOff>0</xdr:rowOff>
        </xdr:from>
        <xdr:to>
          <xdr:col>42</xdr:col>
          <xdr:colOff>2533650</xdr:colOff>
          <xdr:row>83</xdr:row>
          <xdr:rowOff>0</xdr:rowOff>
        </xdr:to>
        <xdr:sp macro="" textlink="">
          <xdr:nvSpPr>
            <xdr:cNvPr id="61487" name="Object 1" hidden="1">
              <a:extLst>
                <a:ext uri="{63B3BB69-23CF-44E3-9099-C40C66FF867C}">
                  <a14:compatExt spid="_x0000_s61487"/>
                </a:ext>
                <a:ext uri="{FF2B5EF4-FFF2-40B4-BE49-F238E27FC236}">
                  <a16:creationId xmlns:a16="http://schemas.microsoft.com/office/drawing/2014/main" id="{00000000-0008-0000-0400-00002FF00000}"/>
                </a:ext>
              </a:extLst>
            </xdr:cNvPr>
            <xdr:cNvSpPr/>
          </xdr:nvSpPr>
          <xdr:spPr bwMode="auto">
            <a:xfrm>
              <a:off x="0" y="0"/>
              <a:ext cx="0" cy="0"/>
            </a:xfrm>
            <a:prstGeom prst="rect">
              <a:avLst/>
            </a:prstGeom>
            <a:noFill/>
            <a:extLst>
              <a:ext uri="{909E8E84-426E-40DD-AFC4-6F175D3DCCD1}">
                <a14:hiddenFill>
                  <a:solidFill>
                    <a:srgbClr val="FFFFFF"/>
                  </a:solid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42</xdr:col>
          <xdr:colOff>104775</xdr:colOff>
          <xdr:row>83</xdr:row>
          <xdr:rowOff>0</xdr:rowOff>
        </xdr:from>
        <xdr:to>
          <xdr:col>42</xdr:col>
          <xdr:colOff>2533650</xdr:colOff>
          <xdr:row>83</xdr:row>
          <xdr:rowOff>0</xdr:rowOff>
        </xdr:to>
        <xdr:sp macro="" textlink="">
          <xdr:nvSpPr>
            <xdr:cNvPr id="61488" name="Object 4" hidden="1">
              <a:extLst>
                <a:ext uri="{63B3BB69-23CF-44E3-9099-C40C66FF867C}">
                  <a14:compatExt spid="_x0000_s61488"/>
                </a:ext>
                <a:ext uri="{FF2B5EF4-FFF2-40B4-BE49-F238E27FC236}">
                  <a16:creationId xmlns:a16="http://schemas.microsoft.com/office/drawing/2014/main" id="{00000000-0008-0000-0400-000030F00000}"/>
                </a:ext>
              </a:extLst>
            </xdr:cNvPr>
            <xdr:cNvSpPr/>
          </xdr:nvSpPr>
          <xdr:spPr bwMode="auto">
            <a:xfrm>
              <a:off x="0" y="0"/>
              <a:ext cx="0" cy="0"/>
            </a:xfrm>
            <a:prstGeom prst="rect">
              <a:avLst/>
            </a:prstGeom>
            <a:noFill/>
            <a:extLst>
              <a:ext uri="{909E8E84-426E-40DD-AFC4-6F175D3DCCD1}">
                <a14:hiddenFill>
                  <a:solidFill>
                    <a:srgbClr val="FFFFFF"/>
                  </a:solid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42</xdr:col>
          <xdr:colOff>85725</xdr:colOff>
          <xdr:row>83</xdr:row>
          <xdr:rowOff>0</xdr:rowOff>
        </xdr:from>
        <xdr:to>
          <xdr:col>42</xdr:col>
          <xdr:colOff>2533650</xdr:colOff>
          <xdr:row>83</xdr:row>
          <xdr:rowOff>0</xdr:rowOff>
        </xdr:to>
        <xdr:sp macro="" textlink="">
          <xdr:nvSpPr>
            <xdr:cNvPr id="61489" name="Object 5" hidden="1">
              <a:extLst>
                <a:ext uri="{63B3BB69-23CF-44E3-9099-C40C66FF867C}">
                  <a14:compatExt spid="_x0000_s61489"/>
                </a:ext>
                <a:ext uri="{FF2B5EF4-FFF2-40B4-BE49-F238E27FC236}">
                  <a16:creationId xmlns:a16="http://schemas.microsoft.com/office/drawing/2014/main" id="{00000000-0008-0000-0400-000031F00000}"/>
                </a:ext>
              </a:extLst>
            </xdr:cNvPr>
            <xdr:cNvSpPr/>
          </xdr:nvSpPr>
          <xdr:spPr bwMode="auto">
            <a:xfrm>
              <a:off x="0" y="0"/>
              <a:ext cx="0" cy="0"/>
            </a:xfrm>
            <a:prstGeom prst="rect">
              <a:avLst/>
            </a:prstGeom>
            <a:noFill/>
            <a:extLst>
              <a:ext uri="{909E8E84-426E-40DD-AFC4-6F175D3DCCD1}">
                <a14:hiddenFill>
                  <a:solidFill>
                    <a:srgbClr val="FFFFFF"/>
                  </a:solid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42</xdr:col>
          <xdr:colOff>28575</xdr:colOff>
          <xdr:row>83</xdr:row>
          <xdr:rowOff>0</xdr:rowOff>
        </xdr:from>
        <xdr:to>
          <xdr:col>42</xdr:col>
          <xdr:colOff>2505075</xdr:colOff>
          <xdr:row>83</xdr:row>
          <xdr:rowOff>0</xdr:rowOff>
        </xdr:to>
        <xdr:sp macro="" textlink="">
          <xdr:nvSpPr>
            <xdr:cNvPr id="61490" name="Object 6" hidden="1">
              <a:extLst>
                <a:ext uri="{63B3BB69-23CF-44E3-9099-C40C66FF867C}">
                  <a14:compatExt spid="_x0000_s61490"/>
                </a:ext>
                <a:ext uri="{FF2B5EF4-FFF2-40B4-BE49-F238E27FC236}">
                  <a16:creationId xmlns:a16="http://schemas.microsoft.com/office/drawing/2014/main" id="{00000000-0008-0000-0400-000032F00000}"/>
                </a:ext>
              </a:extLst>
            </xdr:cNvPr>
            <xdr:cNvSpPr/>
          </xdr:nvSpPr>
          <xdr:spPr bwMode="auto">
            <a:xfrm>
              <a:off x="0" y="0"/>
              <a:ext cx="0" cy="0"/>
            </a:xfrm>
            <a:prstGeom prst="rect">
              <a:avLst/>
            </a:prstGeom>
            <a:noFill/>
            <a:extLst>
              <a:ext uri="{909E8E84-426E-40DD-AFC4-6F175D3DCCD1}">
                <a14:hiddenFill>
                  <a:solidFill>
                    <a:srgbClr val="FFFFFF"/>
                  </a:solidFill>
                </a14:hiddenFill>
              </a:ext>
            </a:extLst>
          </xdr:spPr>
        </xdr:sp>
        <xdr:clientData/>
      </xdr:twoCellAnchor>
    </mc:Choice>
    <mc:Fallback/>
  </mc:AlternateContent>
  <xdr:oneCellAnchor>
    <xdr:from>
      <xdr:col>42</xdr:col>
      <xdr:colOff>392906</xdr:colOff>
      <xdr:row>106</xdr:row>
      <xdr:rowOff>678657</xdr:rowOff>
    </xdr:from>
    <xdr:ext cx="1696357" cy="349250"/>
    <mc:AlternateContent xmlns:mc="http://schemas.openxmlformats.org/markup-compatibility/2006" xmlns:a14="http://schemas.microsoft.com/office/drawing/2010/main">
      <mc:Choice Requires="a14">
        <xdr:sp macro="" textlink="">
          <xdr:nvSpPr>
            <xdr:cNvPr id="18" name="CuadroTexto 18">
              <a:extLst>
                <a:ext uri="{FF2B5EF4-FFF2-40B4-BE49-F238E27FC236}">
                  <a16:creationId xmlns:a16="http://schemas.microsoft.com/office/drawing/2014/main" id="{00000000-0008-0000-0400-000012000000}"/>
                </a:ext>
              </a:extLst>
            </xdr:cNvPr>
            <xdr:cNvSpPr txBox="1"/>
          </xdr:nvSpPr>
          <xdr:spPr>
            <a:xfrm>
              <a:off x="43912631" y="53313807"/>
              <a:ext cx="1696357" cy="349250"/>
            </a:xfrm>
            <a:prstGeom prst="rect">
              <a:avLst/>
            </a:prstGeom>
            <a:noFill/>
            <a:ln>
              <a:noFill/>
            </a:ln>
            <a:effectLst/>
          </xdr:spPr>
          <xdr:txBody>
            <a:bodyPr vertOverflow="clip" horzOverflow="clip" wrap="square" lIns="0" tIns="0" rIns="0" bIns="0" rtlCol="0" anchor="t">
              <a:noAutofit/>
            </a:bodyPr>
            <a:lstStyle/>
            <a:p>
              <a:pPr marL="0" marR="0" lvl="0" indent="0" defTabSz="914400" eaLnBrk="1" fontAlgn="auto" latinLnBrk="0" hangingPunct="1">
                <a:lnSpc>
                  <a:spcPct val="100000"/>
                </a:lnSpc>
                <a:spcBef>
                  <a:spcPts val="0"/>
                </a:spcBef>
                <a:spcAft>
                  <a:spcPts val="0"/>
                </a:spcAft>
                <a:buClrTx/>
                <a:buSzTx/>
                <a:buFontTx/>
                <a:buNone/>
                <a:tabLst/>
                <a:defRPr/>
              </a:pPr>
              <a14:m>
                <m:oMath xmlns:m="http://schemas.openxmlformats.org/officeDocument/2006/math">
                  <m:r>
                    <a:rPr kumimoji="0" lang="es-BO" sz="1100" b="0" i="1" u="none" strike="noStrike" kern="0" cap="none" spc="0" normalizeH="0" baseline="0" noProof="0">
                      <a:ln>
                        <a:noFill/>
                      </a:ln>
                      <a:solidFill>
                        <a:sysClr val="windowText" lastClr="000000"/>
                      </a:solidFill>
                      <a:effectLst/>
                      <a:uLnTx/>
                      <a:uFillTx/>
                      <a:latin typeface="Cambria Math" panose="02040503050406030204" pitchFamily="18" charset="0"/>
                      <a:ea typeface="+mn-ea"/>
                      <a:cs typeface="+mn-cs"/>
                    </a:rPr>
                    <m:t>𝑃𝐴</m:t>
                  </m:r>
                  <m:r>
                    <a:rPr kumimoji="0" lang="es-ES" sz="1100" b="0" i="1" u="none" strike="noStrike" kern="0" cap="none" spc="0" normalizeH="0" baseline="0" noProof="0">
                      <a:ln>
                        <a:noFill/>
                      </a:ln>
                      <a:solidFill>
                        <a:sysClr val="windowText" lastClr="000000"/>
                      </a:solidFill>
                      <a:effectLst/>
                      <a:uLnTx/>
                      <a:uFillTx/>
                      <a:latin typeface="Cambria Math"/>
                      <a:ea typeface="+mn-ea"/>
                      <a:cs typeface="+mn-cs"/>
                    </a:rPr>
                    <m:t>𝑆𝑆𝐺</m:t>
                  </m:r>
                  <m:r>
                    <a:rPr kumimoji="0" lang="es-BO" sz="1100" b="0" i="1" u="none" strike="noStrike" kern="0" cap="none" spc="0" normalizeH="0" baseline="0" noProof="0">
                      <a:ln>
                        <a:noFill/>
                      </a:ln>
                      <a:solidFill>
                        <a:sysClr val="windowText" lastClr="000000"/>
                      </a:solidFill>
                      <a:effectLst/>
                      <a:uLnTx/>
                      <a:uFillTx/>
                      <a:latin typeface="Cambria Math" panose="02040503050406030204" pitchFamily="18" charset="0"/>
                      <a:ea typeface="+mn-ea"/>
                      <a:cs typeface="+mn-cs"/>
                    </a:rPr>
                    <m:t>=</m:t>
                  </m:r>
                  <m:f>
                    <m:fPr>
                      <m:ctrlPr>
                        <a:rPr kumimoji="0" lang="es-BO" sz="1100" b="0" i="1" u="none" strike="noStrike" kern="0" cap="none" spc="0" normalizeH="0" baseline="0" noProof="0">
                          <a:ln>
                            <a:noFill/>
                          </a:ln>
                          <a:solidFill>
                            <a:sysClr val="windowText" lastClr="000000"/>
                          </a:solidFill>
                          <a:effectLst/>
                          <a:uLnTx/>
                          <a:uFillTx/>
                          <a:latin typeface="Cambria Math" panose="02040503050406030204" pitchFamily="18" charset="0"/>
                          <a:ea typeface="+mn-ea"/>
                          <a:cs typeface="+mn-cs"/>
                        </a:rPr>
                      </m:ctrlPr>
                    </m:fPr>
                    <m:num>
                      <m:r>
                        <a:rPr kumimoji="0" lang="es-ES" sz="1100" b="0" i="1" u="none" strike="noStrike" kern="0" cap="none" spc="0" normalizeH="0" baseline="0" noProof="0">
                          <a:ln>
                            <a:noFill/>
                          </a:ln>
                          <a:solidFill>
                            <a:sysClr val="windowText" lastClr="000000"/>
                          </a:solidFill>
                          <a:effectLst/>
                          <a:uLnTx/>
                          <a:uFillTx/>
                          <a:latin typeface="Cambria Math"/>
                          <a:ea typeface="+mn-ea"/>
                          <a:cs typeface="+mn-cs"/>
                        </a:rPr>
                        <m:t>𝑁𝐴𝑆𝑆𝐺</m:t>
                      </m:r>
                    </m:num>
                    <m:den>
                      <m:r>
                        <a:rPr kumimoji="0" lang="es-ES" sz="1100" b="0" i="1" u="none" strike="noStrike" kern="0" cap="none" spc="0" normalizeH="0" baseline="0" noProof="0">
                          <a:ln>
                            <a:noFill/>
                          </a:ln>
                          <a:solidFill>
                            <a:sysClr val="windowText" lastClr="000000"/>
                          </a:solidFill>
                          <a:effectLst/>
                          <a:uLnTx/>
                          <a:uFillTx/>
                          <a:latin typeface="Cambria Math"/>
                          <a:ea typeface="+mn-ea"/>
                          <a:cs typeface="+mn-cs"/>
                        </a:rPr>
                        <m:t>𝑃𝑇</m:t>
                      </m:r>
                    </m:den>
                  </m:f>
                </m:oMath>
              </a14:m>
              <a:r>
                <a:rPr kumimoji="0" lang="es-BO" sz="1100" b="0" i="1" u="none" strike="noStrike" kern="0" cap="none" spc="0" normalizeH="0" baseline="0" noProof="0">
                  <a:ln>
                    <a:noFill/>
                  </a:ln>
                  <a:solidFill>
                    <a:sysClr val="windowText" lastClr="000000"/>
                  </a:solidFill>
                  <a:effectLst/>
                  <a:uLnTx/>
                  <a:uFillTx/>
                  <a:latin typeface="Calibri"/>
                  <a:ea typeface="+mn-ea"/>
                  <a:cs typeface="+mn-cs"/>
                </a:rPr>
                <a:t>x 100</a:t>
              </a:r>
            </a:p>
          </xdr:txBody>
        </xdr:sp>
      </mc:Choice>
      <mc:Fallback xmlns="">
        <xdr:sp macro="" textlink="">
          <xdr:nvSpPr>
            <xdr:cNvPr id="18" name="CuadroTexto 18"/>
            <xdr:cNvSpPr txBox="1"/>
          </xdr:nvSpPr>
          <xdr:spPr>
            <a:xfrm>
              <a:off x="43912631" y="53313807"/>
              <a:ext cx="1696357" cy="349250"/>
            </a:xfrm>
            <a:prstGeom prst="rect">
              <a:avLst/>
            </a:prstGeom>
            <a:noFill/>
            <a:ln>
              <a:noFill/>
            </a:ln>
            <a:effectLst/>
          </xdr:spPr>
          <xdr:txBody>
            <a:bodyPr vertOverflow="clip" horzOverflow="clip" wrap="square" lIns="0" tIns="0" rIns="0" bIns="0" rtlCol="0" anchor="t">
              <a:noAutofit/>
            </a:bodyPr>
            <a:lstStyle/>
            <a:p>
              <a:pPr marL="0" marR="0" lvl="0" indent="0" defTabSz="914400" eaLnBrk="1" fontAlgn="auto" latinLnBrk="0" hangingPunct="1">
                <a:lnSpc>
                  <a:spcPct val="100000"/>
                </a:lnSpc>
                <a:spcBef>
                  <a:spcPts val="0"/>
                </a:spcBef>
                <a:spcAft>
                  <a:spcPts val="0"/>
                </a:spcAft>
                <a:buClrTx/>
                <a:buSzTx/>
                <a:buFontTx/>
                <a:buNone/>
                <a:tabLst/>
                <a:defRPr/>
              </a:pPr>
              <a:r>
                <a:rPr kumimoji="0" lang="es-BO" sz="1100" b="0" i="0" u="none" strike="noStrike" kern="0" cap="none" spc="0" normalizeH="0" baseline="0" noProof="0">
                  <a:ln>
                    <a:noFill/>
                  </a:ln>
                  <a:solidFill>
                    <a:sysClr val="windowText" lastClr="000000"/>
                  </a:solidFill>
                  <a:effectLst/>
                  <a:uLnTx/>
                  <a:uFillTx/>
                  <a:latin typeface="Cambria Math" panose="02040503050406030204" pitchFamily="18" charset="0"/>
                  <a:ea typeface="+mn-ea"/>
                  <a:cs typeface="+mn-cs"/>
                </a:rPr>
                <a:t>𝑃𝐴</a:t>
              </a:r>
              <a:r>
                <a:rPr kumimoji="0" lang="es-ES" sz="1100" b="0" i="0" u="none" strike="noStrike" kern="0" cap="none" spc="0" normalizeH="0" baseline="0" noProof="0">
                  <a:ln>
                    <a:noFill/>
                  </a:ln>
                  <a:solidFill>
                    <a:sysClr val="windowText" lastClr="000000"/>
                  </a:solidFill>
                  <a:effectLst/>
                  <a:uLnTx/>
                  <a:uFillTx/>
                  <a:latin typeface="Cambria Math"/>
                  <a:ea typeface="+mn-ea"/>
                  <a:cs typeface="+mn-cs"/>
                </a:rPr>
                <a:t>𝑆𝑆𝐺</a:t>
              </a:r>
              <a:r>
                <a:rPr kumimoji="0" lang="es-BO" sz="1100" b="0" i="0" u="none" strike="noStrike" kern="0" cap="none" spc="0" normalizeH="0" baseline="0" noProof="0">
                  <a:ln>
                    <a:noFill/>
                  </a:ln>
                  <a:solidFill>
                    <a:sysClr val="windowText" lastClr="000000"/>
                  </a:solidFill>
                  <a:effectLst/>
                  <a:uLnTx/>
                  <a:uFillTx/>
                  <a:latin typeface="Cambria Math" panose="02040503050406030204" pitchFamily="18" charset="0"/>
                  <a:ea typeface="+mn-ea"/>
                  <a:cs typeface="+mn-cs"/>
                </a:rPr>
                <a:t>=</a:t>
              </a:r>
              <a:r>
                <a:rPr kumimoji="0" lang="es-ES" sz="1100" b="0" i="0" u="none" strike="noStrike" kern="0" cap="none" spc="0" normalizeH="0" baseline="0" noProof="0">
                  <a:ln>
                    <a:noFill/>
                  </a:ln>
                  <a:solidFill>
                    <a:sysClr val="windowText" lastClr="000000"/>
                  </a:solidFill>
                  <a:effectLst/>
                  <a:uLnTx/>
                  <a:uFillTx/>
                  <a:latin typeface="Cambria Math"/>
                  <a:ea typeface="+mn-ea"/>
                  <a:cs typeface="+mn-cs"/>
                </a:rPr>
                <a:t>𝑁𝐴𝑆𝑆𝐺</a:t>
              </a:r>
              <a:r>
                <a:rPr kumimoji="0" lang="es-BO" sz="1100" b="0" i="0" u="none" strike="noStrike" kern="0" cap="none" spc="0" normalizeH="0" baseline="0" noProof="0">
                  <a:ln>
                    <a:noFill/>
                  </a:ln>
                  <a:solidFill>
                    <a:sysClr val="windowText" lastClr="000000"/>
                  </a:solidFill>
                  <a:effectLst/>
                  <a:uLnTx/>
                  <a:uFillTx/>
                  <a:latin typeface="Cambria Math" panose="02040503050406030204" pitchFamily="18" charset="0"/>
                  <a:ea typeface="+mn-ea"/>
                  <a:cs typeface="+mn-cs"/>
                </a:rPr>
                <a:t>/</a:t>
              </a:r>
              <a:r>
                <a:rPr kumimoji="0" lang="es-ES" sz="1100" b="0" i="0" u="none" strike="noStrike" kern="0" cap="none" spc="0" normalizeH="0" baseline="0" noProof="0">
                  <a:ln>
                    <a:noFill/>
                  </a:ln>
                  <a:solidFill>
                    <a:sysClr val="windowText" lastClr="000000"/>
                  </a:solidFill>
                  <a:effectLst/>
                  <a:uLnTx/>
                  <a:uFillTx/>
                  <a:latin typeface="Cambria Math"/>
                  <a:ea typeface="+mn-ea"/>
                  <a:cs typeface="+mn-cs"/>
                </a:rPr>
                <a:t>𝑃𝑇</a:t>
              </a:r>
              <a:r>
                <a:rPr kumimoji="0" lang="es-BO" sz="1100" b="0" i="1" u="none" strike="noStrike" kern="0" cap="none" spc="0" normalizeH="0" baseline="0" noProof="0">
                  <a:ln>
                    <a:noFill/>
                  </a:ln>
                  <a:solidFill>
                    <a:sysClr val="windowText" lastClr="000000"/>
                  </a:solidFill>
                  <a:effectLst/>
                  <a:uLnTx/>
                  <a:uFillTx/>
                  <a:latin typeface="Calibri"/>
                  <a:ea typeface="+mn-ea"/>
                  <a:cs typeface="+mn-cs"/>
                </a:rPr>
                <a:t>x 100</a:t>
              </a:r>
            </a:p>
          </xdr:txBody>
        </xdr:sp>
      </mc:Fallback>
    </mc:AlternateContent>
    <xdr:clientData/>
  </xdr:oneCellAnchor>
  <xdr:oneCellAnchor>
    <xdr:from>
      <xdr:col>42</xdr:col>
      <xdr:colOff>568325</xdr:colOff>
      <xdr:row>83</xdr:row>
      <xdr:rowOff>660400</xdr:rowOff>
    </xdr:from>
    <xdr:ext cx="1600200" cy="386443"/>
    <mc:AlternateContent xmlns:mc="http://schemas.openxmlformats.org/markup-compatibility/2006" xmlns:a14="http://schemas.microsoft.com/office/drawing/2010/main">
      <mc:Choice Requires="a14">
        <xdr:sp macro="" textlink="">
          <xdr:nvSpPr>
            <xdr:cNvPr id="19" name="CuadroTexto 10">
              <a:extLst>
                <a:ext uri="{FF2B5EF4-FFF2-40B4-BE49-F238E27FC236}">
                  <a16:creationId xmlns:a16="http://schemas.microsoft.com/office/drawing/2014/main" id="{00000000-0008-0000-0400-000013000000}"/>
                </a:ext>
              </a:extLst>
            </xdr:cNvPr>
            <xdr:cNvSpPr txBox="1"/>
          </xdr:nvSpPr>
          <xdr:spPr>
            <a:xfrm>
              <a:off x="44088050" y="2212975"/>
              <a:ext cx="1600200" cy="38644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noAutofit/>
            </a:bodyPr>
            <a:lstStyle/>
            <a:p>
              <a:r>
                <a:rPr lang="es-BO" sz="1100" b="0" i="1">
                  <a:latin typeface="+mn-lt"/>
                </a:rPr>
                <a:t>MMS</a:t>
              </a:r>
              <a14:m>
                <m:oMath xmlns:m="http://schemas.openxmlformats.org/officeDocument/2006/math">
                  <m:r>
                    <a:rPr lang="es-BO" sz="1100" b="0" i="1">
                      <a:latin typeface="Cambria Math" panose="02040503050406030204" pitchFamily="18" charset="0"/>
                    </a:rPr>
                    <m:t>=</m:t>
                  </m:r>
                  <m:f>
                    <m:fPr>
                      <m:ctrlPr>
                        <a:rPr lang="es-BO" sz="1100" b="0" i="1">
                          <a:latin typeface="Cambria Math" panose="02040503050406030204" pitchFamily="18" charset="0"/>
                        </a:rPr>
                      </m:ctrlPr>
                    </m:fPr>
                    <m:num>
                      <m:r>
                        <a:rPr lang="es-BO" sz="1100" b="0" i="1">
                          <a:latin typeface="Cambria Math" panose="02040503050406030204" pitchFamily="18" charset="0"/>
                        </a:rPr>
                        <m:t>𝑁</m:t>
                      </m:r>
                      <m:r>
                        <a:rPr lang="es-BO" sz="1100" b="0" i="1">
                          <a:latin typeface="Cambria Math" panose="02040503050406030204" pitchFamily="18" charset="0"/>
                        </a:rPr>
                        <m:t>°</m:t>
                      </m:r>
                      <m:r>
                        <a:rPr lang="es-BO" sz="1100" b="0" i="1">
                          <a:latin typeface="Cambria Math" panose="02040503050406030204" pitchFamily="18" charset="0"/>
                        </a:rPr>
                        <m:t>𝑀𝐼𝑀𝑆</m:t>
                      </m:r>
                    </m:num>
                    <m:den>
                      <m:r>
                        <a:rPr lang="es-BO" sz="1100" b="0" i="1">
                          <a:latin typeface="Cambria Math" panose="02040503050406030204" pitchFamily="18" charset="0"/>
                        </a:rPr>
                        <m:t>𝑁</m:t>
                      </m:r>
                      <m:r>
                        <a:rPr lang="es-BO" sz="1100" b="0" i="1">
                          <a:latin typeface="Cambria Math" panose="02040503050406030204" pitchFamily="18" charset="0"/>
                        </a:rPr>
                        <m:t>°</m:t>
                      </m:r>
                      <m:r>
                        <a:rPr lang="es-BO" sz="1100" b="0" i="1">
                          <a:latin typeface="Cambria Math" panose="02040503050406030204" pitchFamily="18" charset="0"/>
                        </a:rPr>
                        <m:t>𝑇𝑀</m:t>
                      </m:r>
                    </m:den>
                  </m:f>
                  <m:r>
                    <a:rPr lang="es-BO" sz="1100" b="0" i="1">
                      <a:latin typeface="Cambria Math" panose="02040503050406030204" pitchFamily="18" charset="0"/>
                    </a:rPr>
                    <m:t>𝑥</m:t>
                  </m:r>
                </m:oMath>
              </a14:m>
              <a:r>
                <a:rPr lang="es-BO" sz="1100" b="0" i="1"/>
                <a:t> 100</a:t>
              </a:r>
            </a:p>
          </xdr:txBody>
        </xdr:sp>
      </mc:Choice>
      <mc:Fallback xmlns="">
        <xdr:sp macro="" textlink="">
          <xdr:nvSpPr>
            <xdr:cNvPr id="19" name="CuadroTexto 10"/>
            <xdr:cNvSpPr txBox="1"/>
          </xdr:nvSpPr>
          <xdr:spPr>
            <a:xfrm>
              <a:off x="44088050" y="2212975"/>
              <a:ext cx="1600200" cy="38644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noAutofit/>
            </a:bodyPr>
            <a:lstStyle/>
            <a:p>
              <a:r>
                <a:rPr lang="es-BO" sz="1100" b="0" i="1">
                  <a:latin typeface="+mn-lt"/>
                </a:rPr>
                <a:t>MMS</a:t>
              </a:r>
              <a:r>
                <a:rPr lang="es-BO" sz="1100" b="0" i="0">
                  <a:latin typeface="Cambria Math" panose="02040503050406030204" pitchFamily="18" charset="0"/>
                </a:rPr>
                <a:t>=(𝑁°𝑀𝐼𝑀𝑆)/(𝑁°𝑇𝑀) 𝑥</a:t>
              </a:r>
              <a:r>
                <a:rPr lang="es-BO" sz="1100" b="0" i="1"/>
                <a:t> 100</a:t>
              </a:r>
            </a:p>
          </xdr:txBody>
        </xdr:sp>
      </mc:Fallback>
    </mc:AlternateContent>
    <xdr:clientData/>
  </xdr:oneCellAnchor>
  <xdr:oneCellAnchor>
    <xdr:from>
      <xdr:col>42</xdr:col>
      <xdr:colOff>546553</xdr:colOff>
      <xdr:row>84</xdr:row>
      <xdr:rowOff>727075</xdr:rowOff>
    </xdr:from>
    <xdr:ext cx="1264257" cy="243656"/>
    <mc:AlternateContent xmlns:mc="http://schemas.openxmlformats.org/markup-compatibility/2006" xmlns:a14="http://schemas.microsoft.com/office/drawing/2010/main">
      <mc:Choice Requires="a14">
        <xdr:sp macro="" textlink="">
          <xdr:nvSpPr>
            <xdr:cNvPr id="20" name="CuadroTexto 11">
              <a:extLst>
                <a:ext uri="{FF2B5EF4-FFF2-40B4-BE49-F238E27FC236}">
                  <a16:creationId xmlns:a16="http://schemas.microsoft.com/office/drawing/2014/main" id="{00000000-0008-0000-0400-000014000000}"/>
                </a:ext>
              </a:extLst>
            </xdr:cNvPr>
            <xdr:cNvSpPr txBox="1"/>
          </xdr:nvSpPr>
          <xdr:spPr>
            <a:xfrm>
              <a:off x="44066278" y="4060825"/>
              <a:ext cx="1264257" cy="2436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r>
                <a:rPr lang="es-BO" sz="1100" b="0" i="1"/>
                <a:t>%MTS</a:t>
              </a:r>
              <a:r>
                <a:rPr lang="es-BO" sz="1100" b="0" i="1" baseline="0"/>
                <a:t> </a:t>
              </a:r>
              <a14:m>
                <m:oMath xmlns:m="http://schemas.openxmlformats.org/officeDocument/2006/math">
                  <m:r>
                    <a:rPr lang="es-BO" sz="1100" b="0" i="1">
                      <a:latin typeface="Cambria Math" panose="02040503050406030204" pitchFamily="18" charset="0"/>
                    </a:rPr>
                    <m:t>=</m:t>
                  </m:r>
                  <m:f>
                    <m:fPr>
                      <m:ctrlPr>
                        <a:rPr lang="es-BO" sz="1100" b="0" i="1">
                          <a:latin typeface="Cambria Math" panose="02040503050406030204" pitchFamily="18" charset="0"/>
                        </a:rPr>
                      </m:ctrlPr>
                    </m:fPr>
                    <m:num>
                      <m:r>
                        <a:rPr lang="es-BO" sz="1100" b="0" i="1">
                          <a:latin typeface="Cambria Math" panose="02040503050406030204" pitchFamily="18" charset="0"/>
                        </a:rPr>
                        <m:t>𝑁</m:t>
                      </m:r>
                      <m:r>
                        <a:rPr lang="es-BO" sz="1100" b="0" i="1">
                          <a:latin typeface="Cambria Math" panose="02040503050406030204" pitchFamily="18" charset="0"/>
                        </a:rPr>
                        <m:t>°</m:t>
                      </m:r>
                      <m:r>
                        <a:rPr lang="es-BO" sz="1100" b="0" i="1">
                          <a:latin typeface="Cambria Math" panose="02040503050406030204" pitchFamily="18" charset="0"/>
                        </a:rPr>
                        <m:t>𝑀𝐼𝑇𝑆</m:t>
                      </m:r>
                    </m:num>
                    <m:den>
                      <m:r>
                        <a:rPr lang="es-BO" sz="1100" b="0" i="1">
                          <a:latin typeface="Cambria Math" panose="02040503050406030204" pitchFamily="18" charset="0"/>
                        </a:rPr>
                        <m:t>𝑁</m:t>
                      </m:r>
                      <m:r>
                        <a:rPr lang="es-BO" sz="1100" b="0" i="1">
                          <a:latin typeface="Cambria Math" panose="02040503050406030204" pitchFamily="18" charset="0"/>
                        </a:rPr>
                        <m:t>°</m:t>
                      </m:r>
                      <m:r>
                        <a:rPr lang="es-BO" sz="1100" b="0" i="1">
                          <a:latin typeface="Cambria Math" panose="02040503050406030204" pitchFamily="18" charset="0"/>
                        </a:rPr>
                        <m:t>𝑇𝑀</m:t>
                      </m:r>
                    </m:den>
                  </m:f>
                  <m:r>
                    <a:rPr lang="es-BO" sz="1100" b="0" i="1">
                      <a:latin typeface="Cambria Math" panose="02040503050406030204" pitchFamily="18" charset="0"/>
                    </a:rPr>
                    <m:t>𝑋</m:t>
                  </m:r>
                </m:oMath>
              </a14:m>
              <a:r>
                <a:rPr lang="es-BO" sz="1100" b="0" i="1"/>
                <a:t> 100</a:t>
              </a:r>
            </a:p>
          </xdr:txBody>
        </xdr:sp>
      </mc:Choice>
      <mc:Fallback xmlns="">
        <xdr:sp macro="" textlink="">
          <xdr:nvSpPr>
            <xdr:cNvPr id="20" name="CuadroTexto 11"/>
            <xdr:cNvSpPr txBox="1"/>
          </xdr:nvSpPr>
          <xdr:spPr>
            <a:xfrm>
              <a:off x="44066278" y="4060825"/>
              <a:ext cx="1264257" cy="2436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r>
                <a:rPr lang="es-BO" sz="1100" b="0" i="1"/>
                <a:t>%MTS</a:t>
              </a:r>
              <a:r>
                <a:rPr lang="es-BO" sz="1100" b="0" i="1" baseline="0"/>
                <a:t> </a:t>
              </a:r>
              <a:r>
                <a:rPr lang="es-BO" sz="1100" b="0" i="0">
                  <a:latin typeface="Cambria Math" panose="02040503050406030204" pitchFamily="18" charset="0"/>
                </a:rPr>
                <a:t>=(𝑁°𝑀𝐼𝑇𝑆)/(𝑁°𝑇𝑀) 𝑋</a:t>
              </a:r>
              <a:r>
                <a:rPr lang="es-BO" sz="1100" b="0" i="1"/>
                <a:t> 100</a:t>
              </a:r>
            </a:p>
          </xdr:txBody>
        </xdr:sp>
      </mc:Fallback>
    </mc:AlternateContent>
    <xdr:clientData/>
  </xdr:oneCellAnchor>
  <xdr:oneCellAnchor>
    <xdr:from>
      <xdr:col>42</xdr:col>
      <xdr:colOff>419100</xdr:colOff>
      <xdr:row>85</xdr:row>
      <xdr:rowOff>476250</xdr:rowOff>
    </xdr:from>
    <xdr:ext cx="1498424" cy="244491"/>
    <mc:AlternateContent xmlns:mc="http://schemas.openxmlformats.org/markup-compatibility/2006" xmlns:a14="http://schemas.microsoft.com/office/drawing/2010/main">
      <mc:Choice Requires="a14">
        <xdr:sp macro="" textlink="">
          <xdr:nvSpPr>
            <xdr:cNvPr id="21" name="CuadroTexto 7">
              <a:extLst>
                <a:ext uri="{FF2B5EF4-FFF2-40B4-BE49-F238E27FC236}">
                  <a16:creationId xmlns:a16="http://schemas.microsoft.com/office/drawing/2014/main" id="{00000000-0008-0000-0400-000015000000}"/>
                </a:ext>
              </a:extLst>
            </xdr:cNvPr>
            <xdr:cNvSpPr txBox="1"/>
          </xdr:nvSpPr>
          <xdr:spPr>
            <a:xfrm>
              <a:off x="43938825" y="5591175"/>
              <a:ext cx="1498424" cy="24449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r>
                <a:rPr lang="es-BO" sz="1100" b="0" i="1"/>
                <a:t>TMI</a:t>
              </a:r>
              <a:r>
                <a:rPr lang="es-BO" sz="1100" b="0" i="1" baseline="0"/>
                <a:t> </a:t>
              </a:r>
              <a14:m>
                <m:oMath xmlns:m="http://schemas.openxmlformats.org/officeDocument/2006/math">
                  <m:r>
                    <a:rPr lang="es-BO" sz="1100" b="0" i="1">
                      <a:latin typeface="Cambria Math" panose="02040503050406030204" pitchFamily="18" charset="0"/>
                    </a:rPr>
                    <m:t>=</m:t>
                  </m:r>
                  <m:f>
                    <m:fPr>
                      <m:ctrlPr>
                        <a:rPr lang="es-BO" sz="1100" b="0" i="1">
                          <a:solidFill>
                            <a:schemeClr val="tx1"/>
                          </a:solidFill>
                          <a:effectLst/>
                          <a:latin typeface="Cambria Math" panose="02040503050406030204" pitchFamily="18" charset="0"/>
                          <a:ea typeface="+mn-ea"/>
                          <a:cs typeface="+mn-cs"/>
                        </a:rPr>
                      </m:ctrlPr>
                    </m:fPr>
                    <m:num>
                      <m:sSub>
                        <m:sSubPr>
                          <m:ctrlPr>
                            <a:rPr lang="es-BO" sz="1100" b="0" i="1">
                              <a:solidFill>
                                <a:schemeClr val="tx1"/>
                              </a:solidFill>
                              <a:effectLst/>
                              <a:latin typeface="Cambria Math" panose="02040503050406030204" pitchFamily="18" charset="0"/>
                              <a:ea typeface="+mn-ea"/>
                              <a:cs typeface="+mn-cs"/>
                            </a:rPr>
                          </m:ctrlPr>
                        </m:sSubPr>
                        <m:e>
                          <m:r>
                            <a:rPr lang="es-BO" sz="1100" b="0" i="1">
                              <a:solidFill>
                                <a:schemeClr val="tx1"/>
                              </a:solidFill>
                              <a:effectLst/>
                              <a:latin typeface="Cambria Math"/>
                              <a:ea typeface="+mn-ea"/>
                              <a:cs typeface="+mn-cs"/>
                            </a:rPr>
                            <m:t>𝑁</m:t>
                          </m:r>
                          <m:r>
                            <a:rPr lang="es-BO" sz="1100" b="0" i="1">
                              <a:solidFill>
                                <a:schemeClr val="tx1"/>
                              </a:solidFill>
                              <a:effectLst/>
                              <a:latin typeface="Cambria Math"/>
                              <a:ea typeface="+mn-ea"/>
                              <a:cs typeface="+mn-cs"/>
                            </a:rPr>
                            <m:t>°</m:t>
                          </m:r>
                          <m:r>
                            <a:rPr lang="es-BO" sz="1100" b="0" i="1">
                              <a:solidFill>
                                <a:schemeClr val="tx1"/>
                              </a:solidFill>
                              <a:effectLst/>
                              <a:latin typeface="Cambria Math"/>
                              <a:ea typeface="+mn-ea"/>
                              <a:cs typeface="+mn-cs"/>
                            </a:rPr>
                            <m:t>𝐷</m:t>
                          </m:r>
                        </m:e>
                        <m:sub>
                          <m:r>
                            <a:rPr lang="es-BO" sz="1100" b="0" i="1">
                              <a:solidFill>
                                <a:schemeClr val="tx1"/>
                              </a:solidFill>
                              <a:effectLst/>
                              <a:latin typeface="Cambria Math"/>
                              <a:ea typeface="+mn-ea"/>
                              <a:cs typeface="+mn-cs"/>
                            </a:rPr>
                            <m:t>&lt;</m:t>
                          </m:r>
                          <m:r>
                            <a:rPr lang="es-BO" sz="1100" b="0" i="1">
                              <a:solidFill>
                                <a:schemeClr val="tx1"/>
                              </a:solidFill>
                              <a:effectLst/>
                              <a:latin typeface="Cambria Math" panose="02040503050406030204" pitchFamily="18" charset="0"/>
                              <a:ea typeface="+mn-ea"/>
                              <a:cs typeface="+mn-cs"/>
                            </a:rPr>
                            <m:t>1 </m:t>
                          </m:r>
                          <m:r>
                            <a:rPr lang="es-BO" sz="1100" b="0" i="1">
                              <a:solidFill>
                                <a:schemeClr val="tx1"/>
                              </a:solidFill>
                              <a:effectLst/>
                              <a:latin typeface="Cambria Math" panose="02040503050406030204" pitchFamily="18" charset="0"/>
                              <a:ea typeface="+mn-ea"/>
                              <a:cs typeface="+mn-cs"/>
                            </a:rPr>
                            <m:t>𝑎</m:t>
                          </m:r>
                          <m:r>
                            <a:rPr lang="es-BO" sz="1100" b="0" i="1">
                              <a:solidFill>
                                <a:schemeClr val="tx1"/>
                              </a:solidFill>
                              <a:effectLst/>
                              <a:latin typeface="Cambria Math" panose="02040503050406030204" pitchFamily="18" charset="0"/>
                              <a:ea typeface="+mn-ea"/>
                              <a:cs typeface="+mn-cs"/>
                            </a:rPr>
                            <m:t>ñ</m:t>
                          </m:r>
                          <m:r>
                            <a:rPr lang="es-BO" sz="1100" b="0" i="1">
                              <a:solidFill>
                                <a:schemeClr val="tx1"/>
                              </a:solidFill>
                              <a:effectLst/>
                              <a:latin typeface="Cambria Math" panose="02040503050406030204" pitchFamily="18" charset="0"/>
                              <a:ea typeface="+mn-ea"/>
                              <a:cs typeface="+mn-cs"/>
                            </a:rPr>
                            <m:t>𝑜</m:t>
                          </m:r>
                        </m:sub>
                      </m:sSub>
                    </m:num>
                    <m:den>
                      <m:r>
                        <a:rPr lang="es-BO" sz="1100" b="0" i="1">
                          <a:solidFill>
                            <a:schemeClr val="tx1"/>
                          </a:solidFill>
                          <a:effectLst/>
                          <a:latin typeface="Cambria Math"/>
                          <a:ea typeface="+mn-ea"/>
                          <a:cs typeface="+mn-cs"/>
                        </a:rPr>
                        <m:t>𝑁</m:t>
                      </m:r>
                      <m:r>
                        <a:rPr lang="es-BO" sz="1100" b="0" i="1">
                          <a:solidFill>
                            <a:schemeClr val="tx1"/>
                          </a:solidFill>
                          <a:effectLst/>
                          <a:latin typeface="Cambria Math"/>
                          <a:ea typeface="+mn-ea"/>
                          <a:cs typeface="+mn-cs"/>
                        </a:rPr>
                        <m:t>°</m:t>
                      </m:r>
                      <m:r>
                        <a:rPr lang="es-BO" sz="1100" b="0" i="1">
                          <a:solidFill>
                            <a:schemeClr val="tx1"/>
                          </a:solidFill>
                          <a:effectLst/>
                          <a:latin typeface="Cambria Math"/>
                          <a:ea typeface="+mn-ea"/>
                          <a:cs typeface="+mn-cs"/>
                        </a:rPr>
                        <m:t>𝑇𝑁𝑉</m:t>
                      </m:r>
                    </m:den>
                  </m:f>
                </m:oMath>
              </a14:m>
              <a:r>
                <a:rPr lang="es-BO" sz="1100" b="0" i="1"/>
                <a:t>x 1000 n.v.</a:t>
              </a:r>
            </a:p>
          </xdr:txBody>
        </xdr:sp>
      </mc:Choice>
      <mc:Fallback xmlns="">
        <xdr:sp macro="" textlink="">
          <xdr:nvSpPr>
            <xdr:cNvPr id="21" name="CuadroTexto 7"/>
            <xdr:cNvSpPr txBox="1"/>
          </xdr:nvSpPr>
          <xdr:spPr>
            <a:xfrm>
              <a:off x="43938825" y="5591175"/>
              <a:ext cx="1498424" cy="24449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r>
                <a:rPr lang="es-BO" sz="1100" b="0" i="1"/>
                <a:t>TMI</a:t>
              </a:r>
              <a:r>
                <a:rPr lang="es-BO" sz="1100" b="0" i="1" baseline="0"/>
                <a:t> </a:t>
              </a:r>
              <a:r>
                <a:rPr lang="es-BO" sz="1100" b="0" i="0">
                  <a:latin typeface="Cambria Math" panose="02040503050406030204" pitchFamily="18" charset="0"/>
                </a:rPr>
                <a:t>=</a:t>
              </a:r>
              <a:r>
                <a:rPr lang="es-BO" sz="1100" b="0" i="0">
                  <a:solidFill>
                    <a:schemeClr val="tx1"/>
                  </a:solidFill>
                  <a:effectLst/>
                  <a:latin typeface="Cambria Math" panose="02040503050406030204" pitchFamily="18" charset="0"/>
                  <a:ea typeface="+mn-ea"/>
                  <a:cs typeface="+mn-cs"/>
                </a:rPr>
                <a:t>〖</a:t>
              </a:r>
              <a:r>
                <a:rPr lang="es-BO" sz="1100" b="0" i="0">
                  <a:solidFill>
                    <a:schemeClr val="tx1"/>
                  </a:solidFill>
                  <a:effectLst/>
                  <a:latin typeface="Cambria Math"/>
                  <a:ea typeface="+mn-ea"/>
                  <a:cs typeface="+mn-cs"/>
                </a:rPr>
                <a:t>𝑁°𝐷</a:t>
              </a:r>
              <a:r>
                <a:rPr lang="es-BO" sz="1100" b="0" i="0">
                  <a:solidFill>
                    <a:schemeClr val="tx1"/>
                  </a:solidFill>
                  <a:effectLst/>
                  <a:latin typeface="Cambria Math" panose="02040503050406030204" pitchFamily="18" charset="0"/>
                  <a:ea typeface="+mn-ea"/>
                  <a:cs typeface="+mn-cs"/>
                </a:rPr>
                <a:t>〗_(</a:t>
              </a:r>
              <a:r>
                <a:rPr lang="es-BO" sz="1100" b="0" i="0">
                  <a:solidFill>
                    <a:schemeClr val="tx1"/>
                  </a:solidFill>
                  <a:effectLst/>
                  <a:latin typeface="Cambria Math"/>
                  <a:ea typeface="+mn-ea"/>
                  <a:cs typeface="+mn-cs"/>
                </a:rPr>
                <a:t>&lt;</a:t>
              </a:r>
              <a:r>
                <a:rPr lang="es-BO" sz="1100" b="0" i="0">
                  <a:solidFill>
                    <a:schemeClr val="tx1"/>
                  </a:solidFill>
                  <a:effectLst/>
                  <a:latin typeface="Cambria Math" panose="02040503050406030204" pitchFamily="18" charset="0"/>
                  <a:ea typeface="+mn-ea"/>
                  <a:cs typeface="+mn-cs"/>
                </a:rPr>
                <a:t>1 𝑎ñ𝑜)/(</a:t>
              </a:r>
              <a:r>
                <a:rPr lang="es-BO" sz="1100" b="0" i="0">
                  <a:solidFill>
                    <a:schemeClr val="tx1"/>
                  </a:solidFill>
                  <a:effectLst/>
                  <a:latin typeface="Cambria Math"/>
                  <a:ea typeface="+mn-ea"/>
                  <a:cs typeface="+mn-cs"/>
                </a:rPr>
                <a:t>𝑁°𝑇𝑁𝑉</a:t>
              </a:r>
              <a:r>
                <a:rPr lang="es-BO" sz="1100" b="0" i="0">
                  <a:solidFill>
                    <a:schemeClr val="tx1"/>
                  </a:solidFill>
                  <a:effectLst/>
                  <a:latin typeface="Cambria Math" panose="02040503050406030204" pitchFamily="18" charset="0"/>
                  <a:ea typeface="+mn-ea"/>
                  <a:cs typeface="+mn-cs"/>
                </a:rPr>
                <a:t>)</a:t>
              </a:r>
              <a:r>
                <a:rPr lang="es-BO" sz="1100" b="0" i="1"/>
                <a:t>x 1000 n.v.</a:t>
              </a:r>
            </a:p>
          </xdr:txBody>
        </xdr:sp>
      </mc:Fallback>
    </mc:AlternateContent>
    <xdr:clientData/>
  </xdr:oneCellAnchor>
  <xdr:oneCellAnchor>
    <xdr:from>
      <xdr:col>42</xdr:col>
      <xdr:colOff>424687</xdr:colOff>
      <xdr:row>86</xdr:row>
      <xdr:rowOff>341312</xdr:rowOff>
    </xdr:from>
    <xdr:ext cx="1602233" cy="244619"/>
    <mc:AlternateContent xmlns:mc="http://schemas.openxmlformats.org/markup-compatibility/2006" xmlns:a14="http://schemas.microsoft.com/office/drawing/2010/main">
      <mc:Choice Requires="a14">
        <xdr:sp macro="" textlink="">
          <xdr:nvSpPr>
            <xdr:cNvPr id="22" name="CuadroTexto 1">
              <a:extLst>
                <a:ext uri="{FF2B5EF4-FFF2-40B4-BE49-F238E27FC236}">
                  <a16:creationId xmlns:a16="http://schemas.microsoft.com/office/drawing/2014/main" id="{00000000-0008-0000-0400-000016000000}"/>
                </a:ext>
              </a:extLst>
            </xdr:cNvPr>
            <xdr:cNvSpPr txBox="1"/>
          </xdr:nvSpPr>
          <xdr:spPr>
            <a:xfrm>
              <a:off x="43944412" y="6713537"/>
              <a:ext cx="1602233" cy="24461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r>
                <a:rPr lang="es-BO" sz="1100" b="0" i="1"/>
                <a:t>TM</a:t>
              </a:r>
              <a:r>
                <a:rPr lang="es-BO" sz="1100" b="0" i="1" baseline="0"/>
                <a:t>N</a:t>
              </a:r>
              <a14:m>
                <m:oMath xmlns:m="http://schemas.openxmlformats.org/officeDocument/2006/math">
                  <m:r>
                    <a:rPr lang="es-BO" sz="1100" b="0" i="1">
                      <a:latin typeface="Cambria Math" panose="02040503050406030204" pitchFamily="18" charset="0"/>
                    </a:rPr>
                    <m:t>=</m:t>
                  </m:r>
                  <m:f>
                    <m:fPr>
                      <m:ctrlPr>
                        <a:rPr lang="es-BO" sz="1100" b="0" i="1">
                          <a:latin typeface="Cambria Math" panose="02040503050406030204" pitchFamily="18" charset="0"/>
                        </a:rPr>
                      </m:ctrlPr>
                    </m:fPr>
                    <m:num>
                      <m:sSub>
                        <m:sSubPr>
                          <m:ctrlPr>
                            <a:rPr lang="es-BO" sz="1100" b="0" i="1">
                              <a:latin typeface="Cambria Math" panose="02040503050406030204" pitchFamily="18" charset="0"/>
                            </a:rPr>
                          </m:ctrlPr>
                        </m:sSubPr>
                        <m:e>
                          <m:r>
                            <a:rPr lang="es-BO" sz="1100" b="0" i="1">
                              <a:solidFill>
                                <a:schemeClr val="tx1"/>
                              </a:solidFill>
                              <a:effectLst/>
                              <a:latin typeface="Cambria Math"/>
                              <a:ea typeface="+mn-ea"/>
                              <a:cs typeface="+mn-cs"/>
                            </a:rPr>
                            <m:t>𝑁</m:t>
                          </m:r>
                          <m:r>
                            <a:rPr lang="es-BO" sz="1100" b="0" i="1">
                              <a:solidFill>
                                <a:schemeClr val="tx1"/>
                              </a:solidFill>
                              <a:effectLst/>
                              <a:latin typeface="Cambria Math"/>
                              <a:ea typeface="+mn-ea"/>
                              <a:cs typeface="+mn-cs"/>
                            </a:rPr>
                            <m:t>°</m:t>
                          </m:r>
                          <m:r>
                            <a:rPr lang="es-BO" sz="1100" b="0" i="1">
                              <a:solidFill>
                                <a:schemeClr val="tx1"/>
                              </a:solidFill>
                              <a:effectLst/>
                              <a:latin typeface="Cambria Math"/>
                              <a:ea typeface="+mn-ea"/>
                              <a:cs typeface="+mn-cs"/>
                            </a:rPr>
                            <m:t>𝐷</m:t>
                          </m:r>
                        </m:e>
                        <m:sub>
                          <m:r>
                            <a:rPr lang="es-BO" sz="1100" b="0" i="1">
                              <a:solidFill>
                                <a:schemeClr val="tx1"/>
                              </a:solidFill>
                              <a:effectLst/>
                              <a:latin typeface="Cambria Math"/>
                              <a:ea typeface="+mn-ea"/>
                              <a:cs typeface="+mn-cs"/>
                            </a:rPr>
                            <m:t>&lt;5</m:t>
                          </m:r>
                          <m:r>
                            <a:rPr lang="es-BO" sz="1100" b="0" i="1">
                              <a:solidFill>
                                <a:schemeClr val="tx1"/>
                              </a:solidFill>
                              <a:effectLst/>
                              <a:latin typeface="Cambria Math" panose="02040503050406030204" pitchFamily="18" charset="0"/>
                              <a:ea typeface="+mn-ea"/>
                              <a:cs typeface="+mn-cs"/>
                            </a:rPr>
                            <m:t> </m:t>
                          </m:r>
                          <m:r>
                            <a:rPr lang="es-BO" sz="1100" b="0" i="1">
                              <a:solidFill>
                                <a:schemeClr val="tx1"/>
                              </a:solidFill>
                              <a:effectLst/>
                              <a:latin typeface="Cambria Math" panose="02040503050406030204" pitchFamily="18" charset="0"/>
                              <a:ea typeface="+mn-ea"/>
                              <a:cs typeface="+mn-cs"/>
                            </a:rPr>
                            <m:t>𝑎</m:t>
                          </m:r>
                          <m:r>
                            <a:rPr lang="es-BO" sz="1100" b="0" i="1">
                              <a:solidFill>
                                <a:schemeClr val="tx1"/>
                              </a:solidFill>
                              <a:effectLst/>
                              <a:latin typeface="Cambria Math" panose="02040503050406030204" pitchFamily="18" charset="0"/>
                              <a:ea typeface="+mn-ea"/>
                              <a:cs typeface="+mn-cs"/>
                            </a:rPr>
                            <m:t>ñ</m:t>
                          </m:r>
                          <m:r>
                            <a:rPr lang="es-BO" sz="1100" b="0" i="1">
                              <a:solidFill>
                                <a:schemeClr val="tx1"/>
                              </a:solidFill>
                              <a:effectLst/>
                              <a:latin typeface="Cambria Math" panose="02040503050406030204" pitchFamily="18" charset="0"/>
                              <a:ea typeface="+mn-ea"/>
                              <a:cs typeface="+mn-cs"/>
                            </a:rPr>
                            <m:t>𝑜𝑠</m:t>
                          </m:r>
                        </m:sub>
                      </m:sSub>
                    </m:num>
                    <m:den>
                      <m:r>
                        <a:rPr lang="es-BO" sz="1100" b="0" i="1">
                          <a:latin typeface="Cambria Math" panose="02040503050406030204" pitchFamily="18" charset="0"/>
                        </a:rPr>
                        <m:t>𝑁</m:t>
                      </m:r>
                      <m:r>
                        <a:rPr lang="es-BO" sz="1100" b="0" i="1">
                          <a:latin typeface="Cambria Math" panose="02040503050406030204" pitchFamily="18" charset="0"/>
                        </a:rPr>
                        <m:t>°</m:t>
                      </m:r>
                      <m:r>
                        <a:rPr lang="es-BO" sz="1100" b="0" i="1">
                          <a:latin typeface="Cambria Math" panose="02040503050406030204" pitchFamily="18" charset="0"/>
                        </a:rPr>
                        <m:t>𝑇𝑁𝑉</m:t>
                      </m:r>
                    </m:den>
                  </m:f>
                  <m:r>
                    <a:rPr lang="es-BO" sz="1100" b="0" i="1">
                      <a:latin typeface="Cambria Math" panose="02040503050406030204" pitchFamily="18" charset="0"/>
                    </a:rPr>
                    <m:t>𝑥</m:t>
                  </m:r>
                </m:oMath>
              </a14:m>
              <a:r>
                <a:rPr lang="es-BO" sz="1100" b="0" i="1"/>
                <a:t> 1000 n.v.</a:t>
              </a:r>
            </a:p>
          </xdr:txBody>
        </xdr:sp>
      </mc:Choice>
      <mc:Fallback xmlns="">
        <xdr:sp macro="" textlink="">
          <xdr:nvSpPr>
            <xdr:cNvPr id="22" name="CuadroTexto 1"/>
            <xdr:cNvSpPr txBox="1"/>
          </xdr:nvSpPr>
          <xdr:spPr>
            <a:xfrm>
              <a:off x="43944412" y="6713537"/>
              <a:ext cx="1602233" cy="24461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r>
                <a:rPr lang="es-BO" sz="1100" b="0" i="1"/>
                <a:t>TM</a:t>
              </a:r>
              <a:r>
                <a:rPr lang="es-BO" sz="1100" b="0" i="1" baseline="0"/>
                <a:t>N</a:t>
              </a:r>
              <a:r>
                <a:rPr lang="es-BO" sz="1100" b="0" i="0">
                  <a:latin typeface="Cambria Math" panose="02040503050406030204" pitchFamily="18" charset="0"/>
                </a:rPr>
                <a:t>=〖</a:t>
              </a:r>
              <a:r>
                <a:rPr lang="es-BO" sz="1100" b="0" i="0">
                  <a:solidFill>
                    <a:schemeClr val="tx1"/>
                  </a:solidFill>
                  <a:effectLst/>
                  <a:latin typeface="Cambria Math"/>
                  <a:ea typeface="+mn-ea"/>
                  <a:cs typeface="+mn-cs"/>
                </a:rPr>
                <a:t>𝑁°𝐷</a:t>
              </a:r>
              <a:r>
                <a:rPr lang="es-BO" sz="1100" b="0" i="0">
                  <a:solidFill>
                    <a:schemeClr val="tx1"/>
                  </a:solidFill>
                  <a:effectLst/>
                  <a:latin typeface="Cambria Math" panose="02040503050406030204" pitchFamily="18" charset="0"/>
                  <a:ea typeface="+mn-ea"/>
                  <a:cs typeface="+mn-cs"/>
                </a:rPr>
                <a:t>〗_(</a:t>
              </a:r>
              <a:r>
                <a:rPr lang="es-BO" sz="1100" b="0" i="0">
                  <a:solidFill>
                    <a:schemeClr val="tx1"/>
                  </a:solidFill>
                  <a:effectLst/>
                  <a:latin typeface="Cambria Math"/>
                  <a:ea typeface="+mn-ea"/>
                  <a:cs typeface="+mn-cs"/>
                </a:rPr>
                <a:t>&lt;5</a:t>
              </a:r>
              <a:r>
                <a:rPr lang="es-BO" sz="1100" b="0" i="0">
                  <a:solidFill>
                    <a:schemeClr val="tx1"/>
                  </a:solidFill>
                  <a:effectLst/>
                  <a:latin typeface="Cambria Math" panose="02040503050406030204" pitchFamily="18" charset="0"/>
                  <a:ea typeface="+mn-ea"/>
                  <a:cs typeface="+mn-cs"/>
                </a:rPr>
                <a:t> 𝑎ñ𝑜𝑠)/(</a:t>
              </a:r>
              <a:r>
                <a:rPr lang="es-BO" sz="1100" b="0" i="0">
                  <a:latin typeface="Cambria Math" panose="02040503050406030204" pitchFamily="18" charset="0"/>
                </a:rPr>
                <a:t>𝑁°𝑇𝑁𝑉) 𝑥</a:t>
              </a:r>
              <a:r>
                <a:rPr lang="es-BO" sz="1100" b="0" i="1"/>
                <a:t> 1000 n.v.</a:t>
              </a:r>
            </a:p>
          </xdr:txBody>
        </xdr:sp>
      </mc:Fallback>
    </mc:AlternateContent>
    <xdr:clientData/>
  </xdr:oneCellAnchor>
  <xdr:oneCellAnchor>
    <xdr:from>
      <xdr:col>42</xdr:col>
      <xdr:colOff>377062</xdr:colOff>
      <xdr:row>87</xdr:row>
      <xdr:rowOff>332391</xdr:rowOff>
    </xdr:from>
    <xdr:ext cx="1735860" cy="244491"/>
    <mc:AlternateContent xmlns:mc="http://schemas.openxmlformats.org/markup-compatibility/2006" xmlns:a14="http://schemas.microsoft.com/office/drawing/2010/main">
      <mc:Choice Requires="a14">
        <xdr:sp macro="" textlink="">
          <xdr:nvSpPr>
            <xdr:cNvPr id="23" name="CuadroTexto 9">
              <a:extLst>
                <a:ext uri="{FF2B5EF4-FFF2-40B4-BE49-F238E27FC236}">
                  <a16:creationId xmlns:a16="http://schemas.microsoft.com/office/drawing/2014/main" id="{00000000-0008-0000-0400-000017000000}"/>
                </a:ext>
              </a:extLst>
            </xdr:cNvPr>
            <xdr:cNvSpPr txBox="1"/>
          </xdr:nvSpPr>
          <xdr:spPr>
            <a:xfrm>
              <a:off x="43896787" y="7961916"/>
              <a:ext cx="1735860" cy="24449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r>
                <a:rPr lang="es-BO" sz="1100" b="0" i="1"/>
                <a:t>TM</a:t>
              </a:r>
              <a:r>
                <a:rPr lang="es-BO" sz="1100" b="0" i="1" baseline="0"/>
                <a:t>NN</a:t>
              </a:r>
              <a14:m>
                <m:oMath xmlns:m="http://schemas.openxmlformats.org/officeDocument/2006/math">
                  <m:r>
                    <a:rPr lang="es-BO" sz="1100" b="0" i="1">
                      <a:latin typeface="Cambria Math" panose="02040503050406030204" pitchFamily="18" charset="0"/>
                    </a:rPr>
                    <m:t>=</m:t>
                  </m:r>
                  <m:f>
                    <m:fPr>
                      <m:ctrlPr>
                        <a:rPr lang="es-BO" sz="1100" b="0" i="1">
                          <a:solidFill>
                            <a:schemeClr val="tx1"/>
                          </a:solidFill>
                          <a:effectLst/>
                          <a:latin typeface="Cambria Math" panose="02040503050406030204" pitchFamily="18" charset="0"/>
                          <a:ea typeface="+mn-ea"/>
                          <a:cs typeface="+mn-cs"/>
                        </a:rPr>
                      </m:ctrlPr>
                    </m:fPr>
                    <m:num>
                      <m:sSub>
                        <m:sSubPr>
                          <m:ctrlPr>
                            <a:rPr lang="es-BO" sz="1100" b="0" i="1">
                              <a:solidFill>
                                <a:schemeClr val="tx1"/>
                              </a:solidFill>
                              <a:effectLst/>
                              <a:latin typeface="Cambria Math" panose="02040503050406030204" pitchFamily="18" charset="0"/>
                              <a:ea typeface="+mn-ea"/>
                              <a:cs typeface="+mn-cs"/>
                            </a:rPr>
                          </m:ctrlPr>
                        </m:sSubPr>
                        <m:e>
                          <m:r>
                            <a:rPr lang="es-BO" sz="1100" b="0" i="1">
                              <a:solidFill>
                                <a:schemeClr val="tx1"/>
                              </a:solidFill>
                              <a:effectLst/>
                              <a:latin typeface="Cambria Math"/>
                              <a:ea typeface="+mn-ea"/>
                              <a:cs typeface="+mn-cs"/>
                            </a:rPr>
                            <m:t>𝑁</m:t>
                          </m:r>
                          <m:r>
                            <a:rPr lang="es-BO" sz="1100" b="0" i="1">
                              <a:solidFill>
                                <a:schemeClr val="tx1"/>
                              </a:solidFill>
                              <a:effectLst/>
                              <a:latin typeface="Cambria Math"/>
                              <a:ea typeface="+mn-ea"/>
                              <a:cs typeface="+mn-cs"/>
                            </a:rPr>
                            <m:t>°</m:t>
                          </m:r>
                          <m:r>
                            <a:rPr lang="es-BO" sz="1100" b="0" i="1">
                              <a:solidFill>
                                <a:schemeClr val="tx1"/>
                              </a:solidFill>
                              <a:effectLst/>
                              <a:latin typeface="Cambria Math"/>
                              <a:ea typeface="+mn-ea"/>
                              <a:cs typeface="+mn-cs"/>
                            </a:rPr>
                            <m:t>𝐷</m:t>
                          </m:r>
                        </m:e>
                        <m:sub>
                          <m:r>
                            <a:rPr lang="es-BO" sz="1100" b="0" i="1">
                              <a:solidFill>
                                <a:schemeClr val="tx1"/>
                              </a:solidFill>
                              <a:effectLst/>
                              <a:latin typeface="Cambria Math"/>
                              <a:ea typeface="+mn-ea"/>
                              <a:cs typeface="+mn-cs"/>
                            </a:rPr>
                            <m:t>&lt;</m:t>
                          </m:r>
                          <m:r>
                            <a:rPr lang="es-BO" sz="1100" b="0" i="1">
                              <a:solidFill>
                                <a:schemeClr val="tx1"/>
                              </a:solidFill>
                              <a:effectLst/>
                              <a:latin typeface="Cambria Math" panose="02040503050406030204" pitchFamily="18" charset="0"/>
                              <a:ea typeface="+mn-ea"/>
                              <a:cs typeface="+mn-cs"/>
                            </a:rPr>
                            <m:t>28 </m:t>
                          </m:r>
                          <m:r>
                            <a:rPr lang="es-BO" sz="1100" b="0" i="1">
                              <a:solidFill>
                                <a:schemeClr val="tx1"/>
                              </a:solidFill>
                              <a:effectLst/>
                              <a:latin typeface="Cambria Math" panose="02040503050406030204" pitchFamily="18" charset="0"/>
                              <a:ea typeface="+mn-ea"/>
                              <a:cs typeface="+mn-cs"/>
                            </a:rPr>
                            <m:t>𝑑𝑖𝑎𝑠</m:t>
                          </m:r>
                        </m:sub>
                      </m:sSub>
                    </m:num>
                    <m:den>
                      <m:r>
                        <a:rPr lang="es-BO" sz="1100" b="0" i="1">
                          <a:solidFill>
                            <a:schemeClr val="tx1"/>
                          </a:solidFill>
                          <a:effectLst/>
                          <a:latin typeface="Cambria Math"/>
                          <a:ea typeface="+mn-ea"/>
                          <a:cs typeface="+mn-cs"/>
                        </a:rPr>
                        <m:t>𝑁</m:t>
                      </m:r>
                      <m:r>
                        <a:rPr lang="es-BO" sz="1100" b="0" i="1">
                          <a:solidFill>
                            <a:schemeClr val="tx1"/>
                          </a:solidFill>
                          <a:effectLst/>
                          <a:latin typeface="Cambria Math"/>
                          <a:ea typeface="+mn-ea"/>
                          <a:cs typeface="+mn-cs"/>
                        </a:rPr>
                        <m:t>°</m:t>
                      </m:r>
                      <m:r>
                        <a:rPr lang="es-BO" sz="1100" b="0" i="1">
                          <a:solidFill>
                            <a:schemeClr val="tx1"/>
                          </a:solidFill>
                          <a:effectLst/>
                          <a:latin typeface="Cambria Math"/>
                          <a:ea typeface="+mn-ea"/>
                          <a:cs typeface="+mn-cs"/>
                        </a:rPr>
                        <m:t>𝑇𝑁𝑉</m:t>
                      </m:r>
                    </m:den>
                  </m:f>
                  <m:r>
                    <a:rPr lang="es-BO" sz="1100" b="0" i="1">
                      <a:latin typeface="Cambria Math" panose="02040503050406030204" pitchFamily="18" charset="0"/>
                    </a:rPr>
                    <m:t>𝑥</m:t>
                  </m:r>
                </m:oMath>
              </a14:m>
              <a:r>
                <a:rPr lang="es-BO" sz="1100" b="0" i="1"/>
                <a:t> 1000 n.v.</a:t>
              </a:r>
            </a:p>
          </xdr:txBody>
        </xdr:sp>
      </mc:Choice>
      <mc:Fallback xmlns="">
        <xdr:sp macro="" textlink="">
          <xdr:nvSpPr>
            <xdr:cNvPr id="23" name="CuadroTexto 9"/>
            <xdr:cNvSpPr txBox="1"/>
          </xdr:nvSpPr>
          <xdr:spPr>
            <a:xfrm>
              <a:off x="43896787" y="7961916"/>
              <a:ext cx="1735860" cy="24449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r>
                <a:rPr lang="es-BO" sz="1100" b="0" i="1"/>
                <a:t>TM</a:t>
              </a:r>
              <a:r>
                <a:rPr lang="es-BO" sz="1100" b="0" i="1" baseline="0"/>
                <a:t>NN</a:t>
              </a:r>
              <a:r>
                <a:rPr lang="es-BO" sz="1100" b="0" i="0">
                  <a:latin typeface="Cambria Math" panose="02040503050406030204" pitchFamily="18" charset="0"/>
                </a:rPr>
                <a:t>=</a:t>
              </a:r>
              <a:r>
                <a:rPr lang="es-BO" sz="1100" b="0" i="0">
                  <a:solidFill>
                    <a:schemeClr val="tx1"/>
                  </a:solidFill>
                  <a:effectLst/>
                  <a:latin typeface="Cambria Math" panose="02040503050406030204" pitchFamily="18" charset="0"/>
                  <a:ea typeface="+mn-ea"/>
                  <a:cs typeface="+mn-cs"/>
                </a:rPr>
                <a:t>〖</a:t>
              </a:r>
              <a:r>
                <a:rPr lang="es-BO" sz="1100" b="0" i="0">
                  <a:solidFill>
                    <a:schemeClr val="tx1"/>
                  </a:solidFill>
                  <a:effectLst/>
                  <a:latin typeface="Cambria Math"/>
                  <a:ea typeface="+mn-ea"/>
                  <a:cs typeface="+mn-cs"/>
                </a:rPr>
                <a:t>𝑁°𝐷</a:t>
              </a:r>
              <a:r>
                <a:rPr lang="es-BO" sz="1100" b="0" i="0">
                  <a:solidFill>
                    <a:schemeClr val="tx1"/>
                  </a:solidFill>
                  <a:effectLst/>
                  <a:latin typeface="Cambria Math" panose="02040503050406030204" pitchFamily="18" charset="0"/>
                  <a:ea typeface="+mn-ea"/>
                  <a:cs typeface="+mn-cs"/>
                </a:rPr>
                <a:t>〗_(</a:t>
              </a:r>
              <a:r>
                <a:rPr lang="es-BO" sz="1100" b="0" i="0">
                  <a:solidFill>
                    <a:schemeClr val="tx1"/>
                  </a:solidFill>
                  <a:effectLst/>
                  <a:latin typeface="Cambria Math"/>
                  <a:ea typeface="+mn-ea"/>
                  <a:cs typeface="+mn-cs"/>
                </a:rPr>
                <a:t>&lt;</a:t>
              </a:r>
              <a:r>
                <a:rPr lang="es-BO" sz="1100" b="0" i="0">
                  <a:solidFill>
                    <a:schemeClr val="tx1"/>
                  </a:solidFill>
                  <a:effectLst/>
                  <a:latin typeface="Cambria Math" panose="02040503050406030204" pitchFamily="18" charset="0"/>
                  <a:ea typeface="+mn-ea"/>
                  <a:cs typeface="+mn-cs"/>
                </a:rPr>
                <a:t>28 𝑑𝑖𝑎𝑠)/(</a:t>
              </a:r>
              <a:r>
                <a:rPr lang="es-BO" sz="1100" b="0" i="0">
                  <a:solidFill>
                    <a:schemeClr val="tx1"/>
                  </a:solidFill>
                  <a:effectLst/>
                  <a:latin typeface="Cambria Math"/>
                  <a:ea typeface="+mn-ea"/>
                  <a:cs typeface="+mn-cs"/>
                </a:rPr>
                <a:t>𝑁°𝑇𝑁𝑉</a:t>
              </a:r>
              <a:r>
                <a:rPr lang="es-BO" sz="1100" b="0" i="0">
                  <a:solidFill>
                    <a:schemeClr val="tx1"/>
                  </a:solidFill>
                  <a:effectLst/>
                  <a:latin typeface="Cambria Math" panose="02040503050406030204" pitchFamily="18" charset="0"/>
                  <a:ea typeface="+mn-ea"/>
                  <a:cs typeface="+mn-cs"/>
                </a:rPr>
                <a:t>) </a:t>
              </a:r>
              <a:r>
                <a:rPr lang="es-BO" sz="1100" b="0" i="0">
                  <a:latin typeface="Cambria Math" panose="02040503050406030204" pitchFamily="18" charset="0"/>
                </a:rPr>
                <a:t>𝑥</a:t>
              </a:r>
              <a:r>
                <a:rPr lang="es-BO" sz="1100" b="0" i="1"/>
                <a:t> 1000 n.v.</a:t>
              </a:r>
            </a:p>
          </xdr:txBody>
        </xdr:sp>
      </mc:Fallback>
    </mc:AlternateContent>
    <xdr:clientData/>
  </xdr:oneCellAnchor>
  <xdr:oneCellAnchor>
    <xdr:from>
      <xdr:col>42</xdr:col>
      <xdr:colOff>552016</xdr:colOff>
      <xdr:row>88</xdr:row>
      <xdr:rowOff>399905</xdr:rowOff>
    </xdr:from>
    <xdr:ext cx="1696357" cy="498929"/>
    <mc:AlternateContent xmlns:mc="http://schemas.openxmlformats.org/markup-compatibility/2006" xmlns:a14="http://schemas.microsoft.com/office/drawing/2010/main">
      <mc:Choice Requires="a14">
        <xdr:sp macro="" textlink="">
          <xdr:nvSpPr>
            <xdr:cNvPr id="24" name="CuadroTexto 19">
              <a:extLst>
                <a:ext uri="{FF2B5EF4-FFF2-40B4-BE49-F238E27FC236}">
                  <a16:creationId xmlns:a16="http://schemas.microsoft.com/office/drawing/2014/main" id="{00000000-0008-0000-0400-000018000000}"/>
                </a:ext>
              </a:extLst>
            </xdr:cNvPr>
            <xdr:cNvSpPr txBox="1"/>
          </xdr:nvSpPr>
          <xdr:spPr>
            <a:xfrm>
              <a:off x="44071741" y="9286730"/>
              <a:ext cx="1696357" cy="49892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noAutofit/>
            </a:bodyPr>
            <a:lstStyle/>
            <a:p>
              <a:r>
                <a:rPr lang="es-BO" sz="1100" b="0" i="1">
                  <a:latin typeface="+mn-lt"/>
                </a:rPr>
                <a:t>RMM</a:t>
              </a:r>
              <a14:m>
                <m:oMath xmlns:m="http://schemas.openxmlformats.org/officeDocument/2006/math">
                  <m:r>
                    <a:rPr lang="es-BO" sz="1100" b="0" i="1">
                      <a:latin typeface="Cambria Math" panose="02040503050406030204" pitchFamily="18" charset="0"/>
                    </a:rPr>
                    <m:t>=</m:t>
                  </m:r>
                  <m:f>
                    <m:fPr>
                      <m:ctrlPr>
                        <a:rPr lang="es-BO" sz="1100" b="0" i="1">
                          <a:latin typeface="Cambria Math" panose="02040503050406030204" pitchFamily="18" charset="0"/>
                        </a:rPr>
                      </m:ctrlPr>
                    </m:fPr>
                    <m:num>
                      <m:r>
                        <a:rPr lang="es-BO" sz="1100" b="0" i="1">
                          <a:latin typeface="Cambria Math" panose="02040503050406030204" pitchFamily="18" charset="0"/>
                        </a:rPr>
                        <m:t>𝑁𝐷𝑀</m:t>
                      </m:r>
                    </m:num>
                    <m:den>
                      <m:r>
                        <a:rPr lang="es-BO" sz="1100" b="0" i="1">
                          <a:latin typeface="Cambria Math" panose="02040503050406030204" pitchFamily="18" charset="0"/>
                        </a:rPr>
                        <m:t>𝑁𝑉</m:t>
                      </m:r>
                    </m:den>
                  </m:f>
                </m:oMath>
              </a14:m>
              <a:r>
                <a:rPr lang="es-BO" sz="1100" b="0" i="1"/>
                <a:t>x 100.000 n.v.</a:t>
              </a:r>
            </a:p>
          </xdr:txBody>
        </xdr:sp>
      </mc:Choice>
      <mc:Fallback xmlns="">
        <xdr:sp macro="" textlink="">
          <xdr:nvSpPr>
            <xdr:cNvPr id="24" name="CuadroTexto 19"/>
            <xdr:cNvSpPr txBox="1"/>
          </xdr:nvSpPr>
          <xdr:spPr>
            <a:xfrm>
              <a:off x="44071741" y="9286730"/>
              <a:ext cx="1696357" cy="49892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noAutofit/>
            </a:bodyPr>
            <a:lstStyle/>
            <a:p>
              <a:r>
                <a:rPr lang="es-BO" sz="1100" b="0" i="1">
                  <a:latin typeface="+mn-lt"/>
                </a:rPr>
                <a:t>RMM</a:t>
              </a:r>
              <a:r>
                <a:rPr lang="es-BO" sz="1100" b="0" i="0">
                  <a:latin typeface="Cambria Math" panose="02040503050406030204" pitchFamily="18" charset="0"/>
                </a:rPr>
                <a:t>=𝑁𝐷𝑀/𝑁𝑉</a:t>
              </a:r>
              <a:r>
                <a:rPr lang="es-BO" sz="1100" b="0" i="1"/>
                <a:t>x 100.000 n.v.</a:t>
              </a:r>
            </a:p>
          </xdr:txBody>
        </xdr:sp>
      </mc:Fallback>
    </mc:AlternateContent>
    <xdr:clientData/>
  </xdr:oneCellAnchor>
  <xdr:oneCellAnchor>
    <xdr:from>
      <xdr:col>42</xdr:col>
      <xdr:colOff>759558</xdr:colOff>
      <xdr:row>90</xdr:row>
      <xdr:rowOff>412140</xdr:rowOff>
    </xdr:from>
    <xdr:ext cx="1696357" cy="498929"/>
    <mc:AlternateContent xmlns:mc="http://schemas.openxmlformats.org/markup-compatibility/2006" xmlns:a14="http://schemas.microsoft.com/office/drawing/2010/main">
      <mc:Choice Requires="a14">
        <xdr:sp macro="" textlink="">
          <xdr:nvSpPr>
            <xdr:cNvPr id="25" name="CuadroTexto 20">
              <a:extLst>
                <a:ext uri="{FF2B5EF4-FFF2-40B4-BE49-F238E27FC236}">
                  <a16:creationId xmlns:a16="http://schemas.microsoft.com/office/drawing/2014/main" id="{00000000-0008-0000-0400-000019000000}"/>
                </a:ext>
              </a:extLst>
            </xdr:cNvPr>
            <xdr:cNvSpPr txBox="1"/>
          </xdr:nvSpPr>
          <xdr:spPr>
            <a:xfrm>
              <a:off x="44279283" y="11718315"/>
              <a:ext cx="1696357" cy="49892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noAutofit/>
            </a:bodyPr>
            <a:lstStyle/>
            <a:p>
              <a:r>
                <a:rPr lang="es-BO" sz="1100" b="0" i="1">
                  <a:latin typeface="+mn-lt"/>
                </a:rPr>
                <a:t>PI</a:t>
              </a:r>
              <a14:m>
                <m:oMath xmlns:m="http://schemas.openxmlformats.org/officeDocument/2006/math">
                  <m:r>
                    <a:rPr lang="es-BO" sz="1100" b="0" i="1">
                      <a:latin typeface="Cambria Math" panose="02040503050406030204" pitchFamily="18" charset="0"/>
                    </a:rPr>
                    <m:t>=</m:t>
                  </m:r>
                  <m:f>
                    <m:fPr>
                      <m:ctrlPr>
                        <a:rPr lang="es-BO" sz="1100" b="0" i="1">
                          <a:latin typeface="Cambria Math" panose="02040503050406030204" pitchFamily="18" charset="0"/>
                        </a:rPr>
                      </m:ctrlPr>
                    </m:fPr>
                    <m:num>
                      <m:r>
                        <a:rPr lang="es-BO" sz="1100" b="0" i="1">
                          <a:latin typeface="Cambria Math" panose="02040503050406030204" pitchFamily="18" charset="0"/>
                        </a:rPr>
                        <m:t>𝑁𝑃𝐼</m:t>
                      </m:r>
                    </m:num>
                    <m:den>
                      <m:r>
                        <a:rPr lang="es-BO" sz="1100" b="0" i="1">
                          <a:latin typeface="Cambria Math" panose="02040503050406030204" pitchFamily="18" charset="0"/>
                        </a:rPr>
                        <m:t>𝑁𝑇𝑃𝐸</m:t>
                      </m:r>
                    </m:den>
                  </m:f>
                </m:oMath>
              </a14:m>
              <a:r>
                <a:rPr lang="es-BO" sz="1100" b="0" i="1"/>
                <a:t>x100</a:t>
              </a:r>
            </a:p>
          </xdr:txBody>
        </xdr:sp>
      </mc:Choice>
      <mc:Fallback xmlns="">
        <xdr:sp macro="" textlink="">
          <xdr:nvSpPr>
            <xdr:cNvPr id="25" name="CuadroTexto 20"/>
            <xdr:cNvSpPr txBox="1"/>
          </xdr:nvSpPr>
          <xdr:spPr>
            <a:xfrm>
              <a:off x="44279283" y="11718315"/>
              <a:ext cx="1696357" cy="49892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noAutofit/>
            </a:bodyPr>
            <a:lstStyle/>
            <a:p>
              <a:r>
                <a:rPr lang="es-BO" sz="1100" b="0" i="1">
                  <a:latin typeface="+mn-lt"/>
                </a:rPr>
                <a:t>PI</a:t>
              </a:r>
              <a:r>
                <a:rPr lang="es-BO" sz="1100" b="0" i="0">
                  <a:latin typeface="Cambria Math" panose="02040503050406030204" pitchFamily="18" charset="0"/>
                </a:rPr>
                <a:t>=𝑁𝑃𝐼/𝑁𝑇𝑃𝐸</a:t>
              </a:r>
              <a:r>
                <a:rPr lang="es-BO" sz="1100" b="0" i="1"/>
                <a:t>x100</a:t>
              </a:r>
            </a:p>
          </xdr:txBody>
        </xdr:sp>
      </mc:Fallback>
    </mc:AlternateContent>
    <xdr:clientData/>
  </xdr:oneCellAnchor>
  <xdr:oneCellAnchor>
    <xdr:from>
      <xdr:col>42</xdr:col>
      <xdr:colOff>532189</xdr:colOff>
      <xdr:row>92</xdr:row>
      <xdr:rowOff>657678</xdr:rowOff>
    </xdr:from>
    <xdr:ext cx="1696357" cy="498929"/>
    <mc:AlternateContent xmlns:mc="http://schemas.openxmlformats.org/markup-compatibility/2006" xmlns:a14="http://schemas.microsoft.com/office/drawing/2010/main">
      <mc:Choice Requires="a14">
        <xdr:sp macro="" textlink="">
          <xdr:nvSpPr>
            <xdr:cNvPr id="26" name="CuadroTexto 14">
              <a:extLst>
                <a:ext uri="{FF2B5EF4-FFF2-40B4-BE49-F238E27FC236}">
                  <a16:creationId xmlns:a16="http://schemas.microsoft.com/office/drawing/2014/main" id="{00000000-0008-0000-0400-00001A000000}"/>
                </a:ext>
              </a:extLst>
            </xdr:cNvPr>
            <xdr:cNvSpPr txBox="1"/>
          </xdr:nvSpPr>
          <xdr:spPr>
            <a:xfrm>
              <a:off x="44051914" y="13583103"/>
              <a:ext cx="1696357" cy="49892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noAutofit/>
            </a:bodyPr>
            <a:lstStyle/>
            <a:p>
              <a:r>
                <a:rPr lang="es-BO" sz="1100" b="0" i="1">
                  <a:latin typeface="+mn-lt"/>
                </a:rPr>
                <a:t>TEA</a:t>
              </a:r>
              <a14:m>
                <m:oMath xmlns:m="http://schemas.openxmlformats.org/officeDocument/2006/math">
                  <m:r>
                    <a:rPr lang="es-BO" sz="1100" b="0" i="1">
                      <a:latin typeface="Cambria Math" panose="02040503050406030204" pitchFamily="18" charset="0"/>
                    </a:rPr>
                    <m:t>=</m:t>
                  </m:r>
                  <m:f>
                    <m:fPr>
                      <m:ctrlPr>
                        <a:rPr lang="es-BO" sz="1100" b="0" i="1">
                          <a:latin typeface="Cambria Math" panose="02040503050406030204" pitchFamily="18" charset="0"/>
                        </a:rPr>
                      </m:ctrlPr>
                    </m:fPr>
                    <m:num>
                      <m:r>
                        <a:rPr lang="es-BO" sz="1100" b="0" i="1">
                          <a:latin typeface="Cambria Math" panose="02040503050406030204" pitchFamily="18" charset="0"/>
                        </a:rPr>
                        <m:t>𝑁</m:t>
                      </m:r>
                      <m:r>
                        <a:rPr lang="es-ES" sz="1100" b="0" i="1">
                          <a:latin typeface="Cambria Math"/>
                        </a:rPr>
                        <m:t>º</m:t>
                      </m:r>
                      <m:r>
                        <a:rPr lang="es-BO" sz="1100" b="0" i="1">
                          <a:latin typeface="Cambria Math" panose="02040503050406030204" pitchFamily="18" charset="0"/>
                        </a:rPr>
                        <m:t>𝐸𝐴</m:t>
                      </m:r>
                    </m:num>
                    <m:den>
                      <m:r>
                        <a:rPr lang="es-BO" sz="1100" b="0" i="1">
                          <a:latin typeface="Cambria Math" panose="02040503050406030204" pitchFamily="18" charset="0"/>
                        </a:rPr>
                        <m:t>𝑁</m:t>
                      </m:r>
                      <m:r>
                        <a:rPr lang="es-ES" sz="1100" b="0" i="1">
                          <a:latin typeface="Cambria Math"/>
                        </a:rPr>
                        <m:t>º</m:t>
                      </m:r>
                      <m:r>
                        <a:rPr lang="es-BO" sz="1100" b="0" i="1">
                          <a:latin typeface="Cambria Math" panose="02040503050406030204" pitchFamily="18" charset="0"/>
                        </a:rPr>
                        <m:t>𝑇𝑀𝐴</m:t>
                      </m:r>
                    </m:den>
                  </m:f>
                  <m:r>
                    <a:rPr lang="es-BO" sz="1100" b="0" i="1">
                      <a:latin typeface="Cambria Math" panose="02040503050406030204" pitchFamily="18" charset="0"/>
                    </a:rPr>
                    <m:t>𝑥</m:t>
                  </m:r>
                </m:oMath>
              </a14:m>
              <a:r>
                <a:rPr lang="es-BO" sz="1100" b="0" i="1"/>
                <a:t> 100</a:t>
              </a:r>
            </a:p>
          </xdr:txBody>
        </xdr:sp>
      </mc:Choice>
      <mc:Fallback xmlns="">
        <xdr:sp macro="" textlink="">
          <xdr:nvSpPr>
            <xdr:cNvPr id="26" name="CuadroTexto 14"/>
            <xdr:cNvSpPr txBox="1"/>
          </xdr:nvSpPr>
          <xdr:spPr>
            <a:xfrm>
              <a:off x="44051914" y="13583103"/>
              <a:ext cx="1696357" cy="49892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noAutofit/>
            </a:bodyPr>
            <a:lstStyle/>
            <a:p>
              <a:r>
                <a:rPr lang="es-BO" sz="1100" b="0" i="1">
                  <a:latin typeface="+mn-lt"/>
                </a:rPr>
                <a:t>TEA</a:t>
              </a:r>
              <a:r>
                <a:rPr lang="es-BO" sz="1100" b="0" i="0">
                  <a:latin typeface="Cambria Math" panose="02040503050406030204" pitchFamily="18" charset="0"/>
                </a:rPr>
                <a:t>=(𝑁</a:t>
              </a:r>
              <a:r>
                <a:rPr lang="es-ES" sz="1100" b="0" i="0">
                  <a:latin typeface="Cambria Math"/>
                </a:rPr>
                <a:t>º</a:t>
              </a:r>
              <a:r>
                <a:rPr lang="es-BO" sz="1100" b="0" i="0">
                  <a:latin typeface="Cambria Math" panose="02040503050406030204" pitchFamily="18" charset="0"/>
                </a:rPr>
                <a:t>𝐸𝐴)/(𝑁</a:t>
              </a:r>
              <a:r>
                <a:rPr lang="es-ES" sz="1100" b="0" i="0">
                  <a:latin typeface="Cambria Math"/>
                </a:rPr>
                <a:t>º</a:t>
              </a:r>
              <a:r>
                <a:rPr lang="es-BO" sz="1100" b="0" i="0">
                  <a:latin typeface="Cambria Math" panose="02040503050406030204" pitchFamily="18" charset="0"/>
                </a:rPr>
                <a:t>𝑇𝑀𝐴) 𝑥</a:t>
              </a:r>
              <a:r>
                <a:rPr lang="es-BO" sz="1100" b="0" i="1"/>
                <a:t> 100</a:t>
              </a:r>
            </a:p>
          </xdr:txBody>
        </xdr:sp>
      </mc:Fallback>
    </mc:AlternateContent>
    <xdr:clientData/>
  </xdr:oneCellAnchor>
  <xdr:oneCellAnchor>
    <xdr:from>
      <xdr:col>42</xdr:col>
      <xdr:colOff>511969</xdr:colOff>
      <xdr:row>93</xdr:row>
      <xdr:rowOff>654843</xdr:rowOff>
    </xdr:from>
    <xdr:ext cx="1696357" cy="498929"/>
    <mc:AlternateContent xmlns:mc="http://schemas.openxmlformats.org/markup-compatibility/2006" xmlns:a14="http://schemas.microsoft.com/office/drawing/2010/main">
      <mc:Choice Requires="a14">
        <xdr:sp macro="" textlink="">
          <xdr:nvSpPr>
            <xdr:cNvPr id="27" name="CuadroTexto 20">
              <a:extLst>
                <a:ext uri="{FF2B5EF4-FFF2-40B4-BE49-F238E27FC236}">
                  <a16:creationId xmlns:a16="http://schemas.microsoft.com/office/drawing/2014/main" id="{00000000-0008-0000-0400-00001B000000}"/>
                </a:ext>
              </a:extLst>
            </xdr:cNvPr>
            <xdr:cNvSpPr txBox="1"/>
          </xdr:nvSpPr>
          <xdr:spPr>
            <a:xfrm>
              <a:off x="44031694" y="15037593"/>
              <a:ext cx="1696357" cy="49892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noAutofit/>
            </a:bodyPr>
            <a:lstStyle/>
            <a:p>
              <a:r>
                <a:rPr lang="es-BO" sz="1100" b="0" i="1">
                  <a:latin typeface="+mn-lt"/>
                </a:rPr>
                <a:t>MCPMSE</a:t>
              </a:r>
              <a14:m>
                <m:oMath xmlns:m="http://schemas.openxmlformats.org/officeDocument/2006/math">
                  <m:r>
                    <a:rPr lang="es-BO" sz="1100" b="0" i="1">
                      <a:latin typeface="Cambria Math" panose="02040503050406030204" pitchFamily="18" charset="0"/>
                    </a:rPr>
                    <m:t>=</m:t>
                  </m:r>
                  <m:f>
                    <m:fPr>
                      <m:ctrlPr>
                        <a:rPr lang="es-BO" sz="1100" b="0" i="1">
                          <a:latin typeface="Cambria Math" panose="02040503050406030204" pitchFamily="18" charset="0"/>
                        </a:rPr>
                      </m:ctrlPr>
                    </m:fPr>
                    <m:num>
                      <m:r>
                        <a:rPr lang="es-BO" sz="1100" b="0" i="1">
                          <a:latin typeface="Cambria Math" panose="02040503050406030204" pitchFamily="18" charset="0"/>
                        </a:rPr>
                        <m:t>𝑁</m:t>
                      </m:r>
                      <m:r>
                        <a:rPr lang="es-ES" sz="1100" b="0" i="1">
                          <a:latin typeface="Cambria Math"/>
                        </a:rPr>
                        <m:t>𝑀𝐶𝑃𝑀𝑆</m:t>
                      </m:r>
                      <m:r>
                        <a:rPr lang="es-BO" sz="1100" b="0" i="1">
                          <a:latin typeface="Cambria Math" panose="02040503050406030204" pitchFamily="18" charset="0"/>
                        </a:rPr>
                        <m:t>𝐸</m:t>
                      </m:r>
                    </m:num>
                    <m:den>
                      <m:r>
                        <a:rPr lang="es-BO" sz="1100" b="0" i="1">
                          <a:latin typeface="Cambria Math" panose="02040503050406030204" pitchFamily="18" charset="0"/>
                        </a:rPr>
                        <m:t>𝑁𝑇</m:t>
                      </m:r>
                      <m:r>
                        <a:rPr lang="es-ES" sz="1100" b="0" i="1">
                          <a:latin typeface="Cambria Math"/>
                        </a:rPr>
                        <m:t>𝑀</m:t>
                      </m:r>
                    </m:den>
                  </m:f>
                </m:oMath>
              </a14:m>
              <a:r>
                <a:rPr lang="es-BO" sz="1100" b="0" i="1"/>
                <a:t>x100</a:t>
              </a:r>
            </a:p>
          </xdr:txBody>
        </xdr:sp>
      </mc:Choice>
      <mc:Fallback xmlns="">
        <xdr:sp macro="" textlink="">
          <xdr:nvSpPr>
            <xdr:cNvPr id="27" name="CuadroTexto 20"/>
            <xdr:cNvSpPr txBox="1"/>
          </xdr:nvSpPr>
          <xdr:spPr>
            <a:xfrm>
              <a:off x="44031694" y="15037593"/>
              <a:ext cx="1696357" cy="49892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noAutofit/>
            </a:bodyPr>
            <a:lstStyle/>
            <a:p>
              <a:r>
                <a:rPr lang="es-BO" sz="1100" b="0" i="1">
                  <a:latin typeface="+mn-lt"/>
                </a:rPr>
                <a:t>MCPMSE</a:t>
              </a:r>
              <a:r>
                <a:rPr lang="es-BO" sz="1100" b="0" i="0">
                  <a:latin typeface="Cambria Math" panose="02040503050406030204" pitchFamily="18" charset="0"/>
                </a:rPr>
                <a:t>=𝑁</a:t>
              </a:r>
              <a:r>
                <a:rPr lang="es-ES" sz="1100" b="0" i="0">
                  <a:latin typeface="Cambria Math"/>
                </a:rPr>
                <a:t>𝑀𝐶𝑃𝑀𝑆</a:t>
              </a:r>
              <a:r>
                <a:rPr lang="es-BO" sz="1100" b="0" i="0">
                  <a:latin typeface="Cambria Math" panose="02040503050406030204" pitchFamily="18" charset="0"/>
                </a:rPr>
                <a:t>𝐸/𝑁𝑇</a:t>
              </a:r>
              <a:r>
                <a:rPr lang="es-ES" sz="1100" b="0" i="0">
                  <a:latin typeface="Cambria Math"/>
                </a:rPr>
                <a:t>𝑀</a:t>
              </a:r>
              <a:r>
                <a:rPr lang="es-BO" sz="1100" b="0" i="1"/>
                <a:t>x100</a:t>
              </a:r>
            </a:p>
          </xdr:txBody>
        </xdr:sp>
      </mc:Fallback>
    </mc:AlternateContent>
    <xdr:clientData/>
  </xdr:oneCellAnchor>
  <xdr:oneCellAnchor>
    <xdr:from>
      <xdr:col>42</xdr:col>
      <xdr:colOff>580571</xdr:colOff>
      <xdr:row>94</xdr:row>
      <xdr:rowOff>586392</xdr:rowOff>
    </xdr:from>
    <xdr:ext cx="1696357" cy="498929"/>
    <mc:AlternateContent xmlns:mc="http://schemas.openxmlformats.org/markup-compatibility/2006" xmlns:a14="http://schemas.microsoft.com/office/drawing/2010/main">
      <mc:Choice Requires="a14">
        <xdr:sp macro="" textlink="">
          <xdr:nvSpPr>
            <xdr:cNvPr id="28" name="CuadroTexto 27">
              <a:extLst>
                <a:ext uri="{FF2B5EF4-FFF2-40B4-BE49-F238E27FC236}">
                  <a16:creationId xmlns:a16="http://schemas.microsoft.com/office/drawing/2014/main" id="{00000000-0008-0000-0400-00001C000000}"/>
                </a:ext>
              </a:extLst>
            </xdr:cNvPr>
            <xdr:cNvSpPr txBox="1"/>
          </xdr:nvSpPr>
          <xdr:spPr>
            <a:xfrm>
              <a:off x="44100296" y="17140842"/>
              <a:ext cx="1696357" cy="49892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noAutofit/>
            </a:bodyPr>
            <a:lstStyle/>
            <a:p>
              <a:r>
                <a:rPr lang="es-BO" sz="1100" b="0" i="1">
                  <a:latin typeface="+mn-lt"/>
                </a:rPr>
                <a:t>TIVIH</a:t>
              </a:r>
              <a14:m>
                <m:oMath xmlns:m="http://schemas.openxmlformats.org/officeDocument/2006/math">
                  <m:r>
                    <a:rPr lang="es-BO" sz="1100" b="0" i="1">
                      <a:latin typeface="Cambria Math" panose="02040503050406030204" pitchFamily="18" charset="0"/>
                    </a:rPr>
                    <m:t>=</m:t>
                  </m:r>
                  <m:f>
                    <m:fPr>
                      <m:ctrlPr>
                        <a:rPr lang="es-BO" sz="1100" b="0" i="1">
                          <a:latin typeface="Cambria Math" panose="02040503050406030204" pitchFamily="18" charset="0"/>
                        </a:rPr>
                      </m:ctrlPr>
                    </m:fPr>
                    <m:num>
                      <m:r>
                        <a:rPr lang="es-BO" sz="1100" b="0" i="1">
                          <a:latin typeface="Cambria Math" panose="02040503050406030204" pitchFamily="18" charset="0"/>
                        </a:rPr>
                        <m:t>𝑁𝐶𝑁𝑉𝐼𝐻</m:t>
                      </m:r>
                    </m:num>
                    <m:den>
                      <m:r>
                        <a:rPr lang="es-BO" sz="1100" b="0" i="1">
                          <a:latin typeface="Cambria Math" panose="02040503050406030204" pitchFamily="18" charset="0"/>
                        </a:rPr>
                        <m:t>𝑁𝑇𝑃</m:t>
                      </m:r>
                    </m:den>
                  </m:f>
                </m:oMath>
              </a14:m>
              <a:r>
                <a:rPr lang="es-BO" sz="1100" b="0" i="1"/>
                <a:t>x 1.000.000</a:t>
              </a:r>
            </a:p>
          </xdr:txBody>
        </xdr:sp>
      </mc:Choice>
      <mc:Fallback xmlns="">
        <xdr:sp macro="" textlink="">
          <xdr:nvSpPr>
            <xdr:cNvPr id="28" name="CuadroTexto 27"/>
            <xdr:cNvSpPr txBox="1"/>
          </xdr:nvSpPr>
          <xdr:spPr>
            <a:xfrm>
              <a:off x="44100296" y="17140842"/>
              <a:ext cx="1696357" cy="49892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noAutofit/>
            </a:bodyPr>
            <a:lstStyle/>
            <a:p>
              <a:r>
                <a:rPr lang="es-BO" sz="1100" b="0" i="1">
                  <a:latin typeface="+mn-lt"/>
                </a:rPr>
                <a:t>TIVIH</a:t>
              </a:r>
              <a:r>
                <a:rPr lang="es-BO" sz="1100" b="0" i="0">
                  <a:latin typeface="Cambria Math" panose="02040503050406030204" pitchFamily="18" charset="0"/>
                </a:rPr>
                <a:t>=𝑁𝐶𝑁𝑉𝐼𝐻/𝑁𝑇𝑃</a:t>
              </a:r>
              <a:r>
                <a:rPr lang="es-BO" sz="1100" b="0" i="1"/>
                <a:t>x 1.000.000</a:t>
              </a:r>
            </a:p>
          </xdr:txBody>
        </xdr:sp>
      </mc:Fallback>
    </mc:AlternateContent>
    <xdr:clientData/>
  </xdr:oneCellAnchor>
  <xdr:oneCellAnchor>
    <xdr:from>
      <xdr:col>42</xdr:col>
      <xdr:colOff>767293</xdr:colOff>
      <xdr:row>96</xdr:row>
      <xdr:rowOff>748772</xdr:rowOff>
    </xdr:from>
    <xdr:ext cx="1696357" cy="498929"/>
    <mc:AlternateContent xmlns:mc="http://schemas.openxmlformats.org/markup-compatibility/2006" xmlns:a14="http://schemas.microsoft.com/office/drawing/2010/main">
      <mc:Choice Requires="a14">
        <xdr:sp macro="" textlink="">
          <xdr:nvSpPr>
            <xdr:cNvPr id="29" name="CuadroTexto 17">
              <a:extLst>
                <a:ext uri="{FF2B5EF4-FFF2-40B4-BE49-F238E27FC236}">
                  <a16:creationId xmlns:a16="http://schemas.microsoft.com/office/drawing/2014/main" id="{00000000-0008-0000-0400-00001D000000}"/>
                </a:ext>
              </a:extLst>
            </xdr:cNvPr>
            <xdr:cNvSpPr txBox="1"/>
          </xdr:nvSpPr>
          <xdr:spPr>
            <a:xfrm>
              <a:off x="44287018" y="20198822"/>
              <a:ext cx="1696357" cy="49892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noAutofit/>
            </a:bodyPr>
            <a:lstStyle/>
            <a:p>
              <a:r>
                <a:rPr lang="es-BO" sz="1100" b="0" i="1">
                  <a:latin typeface="+mn-lt"/>
                </a:rPr>
                <a:t>TITB</a:t>
              </a:r>
              <a14:m>
                <m:oMath xmlns:m="http://schemas.openxmlformats.org/officeDocument/2006/math">
                  <m:r>
                    <a:rPr lang="es-BO" sz="1100" b="0" i="1">
                      <a:latin typeface="Cambria Math" panose="02040503050406030204" pitchFamily="18" charset="0"/>
                    </a:rPr>
                    <m:t>=</m:t>
                  </m:r>
                  <m:f>
                    <m:fPr>
                      <m:ctrlPr>
                        <a:rPr lang="es-BO" sz="1100" b="0" i="1">
                          <a:latin typeface="Cambria Math" panose="02040503050406030204" pitchFamily="18" charset="0"/>
                        </a:rPr>
                      </m:ctrlPr>
                    </m:fPr>
                    <m:num>
                      <m:r>
                        <a:rPr lang="es-BO" sz="1100" b="0" i="1">
                          <a:latin typeface="Cambria Math" panose="02040503050406030204" pitchFamily="18" charset="0"/>
                        </a:rPr>
                        <m:t>𝑁𝐶𝑁𝑇𝐵</m:t>
                      </m:r>
                    </m:num>
                    <m:den>
                      <m:r>
                        <a:rPr lang="es-BO" sz="1100" b="0" i="1">
                          <a:latin typeface="Cambria Math" panose="02040503050406030204" pitchFamily="18" charset="0"/>
                        </a:rPr>
                        <m:t>𝑃𝑇</m:t>
                      </m:r>
                    </m:den>
                  </m:f>
                </m:oMath>
              </a14:m>
              <a:r>
                <a:rPr lang="es-BO" sz="1100" b="0" i="1"/>
                <a:t>x 100.000</a:t>
              </a:r>
            </a:p>
          </xdr:txBody>
        </xdr:sp>
      </mc:Choice>
      <mc:Fallback xmlns="">
        <xdr:sp macro="" textlink="">
          <xdr:nvSpPr>
            <xdr:cNvPr id="29" name="CuadroTexto 17"/>
            <xdr:cNvSpPr txBox="1"/>
          </xdr:nvSpPr>
          <xdr:spPr>
            <a:xfrm>
              <a:off x="44287018" y="20198822"/>
              <a:ext cx="1696357" cy="49892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noAutofit/>
            </a:bodyPr>
            <a:lstStyle/>
            <a:p>
              <a:r>
                <a:rPr lang="es-BO" sz="1100" b="0" i="1">
                  <a:latin typeface="+mn-lt"/>
                </a:rPr>
                <a:t>TITB</a:t>
              </a:r>
              <a:r>
                <a:rPr lang="es-BO" sz="1100" b="0" i="0">
                  <a:latin typeface="Cambria Math" panose="02040503050406030204" pitchFamily="18" charset="0"/>
                </a:rPr>
                <a:t>=𝑁𝐶𝑁𝑇𝐵/𝑃𝑇</a:t>
              </a:r>
              <a:r>
                <a:rPr lang="es-BO" sz="1100" b="0" i="1"/>
                <a:t>x 100.000</a:t>
              </a:r>
            </a:p>
          </xdr:txBody>
        </xdr:sp>
      </mc:Fallback>
    </mc:AlternateContent>
    <xdr:clientData/>
  </xdr:oneCellAnchor>
  <xdr:oneCellAnchor>
    <xdr:from>
      <xdr:col>42</xdr:col>
      <xdr:colOff>595923</xdr:colOff>
      <xdr:row>98</xdr:row>
      <xdr:rowOff>616684</xdr:rowOff>
    </xdr:from>
    <xdr:ext cx="1696357" cy="349250"/>
    <mc:AlternateContent xmlns:mc="http://schemas.openxmlformats.org/markup-compatibility/2006" xmlns:a14="http://schemas.microsoft.com/office/drawing/2010/main">
      <mc:Choice Requires="a14">
        <xdr:sp macro="" textlink="">
          <xdr:nvSpPr>
            <xdr:cNvPr id="30" name="CuadroTexto 18">
              <a:extLst>
                <a:ext uri="{FF2B5EF4-FFF2-40B4-BE49-F238E27FC236}">
                  <a16:creationId xmlns:a16="http://schemas.microsoft.com/office/drawing/2014/main" id="{00000000-0008-0000-0400-00001E000000}"/>
                </a:ext>
              </a:extLst>
            </xdr:cNvPr>
            <xdr:cNvSpPr txBox="1"/>
          </xdr:nvSpPr>
          <xdr:spPr>
            <a:xfrm>
              <a:off x="44115648" y="22971859"/>
              <a:ext cx="1696357" cy="34925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noAutofit/>
            </a:bodyPr>
            <a:lstStyle/>
            <a:p>
              <a:r>
                <a:rPr lang="es-BO" sz="1100" b="0" i="1">
                  <a:latin typeface="+mn-lt"/>
                </a:rPr>
                <a:t>IPA</a:t>
              </a:r>
              <a14:m>
                <m:oMath xmlns:m="http://schemas.openxmlformats.org/officeDocument/2006/math">
                  <m:r>
                    <a:rPr lang="es-BO" sz="1100" b="0" i="1">
                      <a:latin typeface="Cambria Math" panose="02040503050406030204" pitchFamily="18" charset="0"/>
                    </a:rPr>
                    <m:t>=</m:t>
                  </m:r>
                  <m:f>
                    <m:fPr>
                      <m:ctrlPr>
                        <a:rPr lang="es-BO" sz="1100" b="0" i="1">
                          <a:latin typeface="Cambria Math" panose="02040503050406030204" pitchFamily="18" charset="0"/>
                        </a:rPr>
                      </m:ctrlPr>
                    </m:fPr>
                    <m:num>
                      <m:r>
                        <a:rPr lang="es-BO" sz="1100" b="0" i="1">
                          <a:latin typeface="Cambria Math" panose="02040503050406030204" pitchFamily="18" charset="0"/>
                        </a:rPr>
                        <m:t>𝑁</m:t>
                      </m:r>
                      <m:r>
                        <a:rPr lang="es-ES" sz="1100" b="0" i="1">
                          <a:latin typeface="Cambria Math"/>
                        </a:rPr>
                        <m:t>𝐶𝐶𝑀</m:t>
                      </m:r>
                    </m:num>
                    <m:den>
                      <m:r>
                        <a:rPr lang="es-ES" sz="1100" b="0" i="1">
                          <a:latin typeface="Cambria Math"/>
                        </a:rPr>
                        <m:t>𝑃𝑅</m:t>
                      </m:r>
                    </m:den>
                  </m:f>
                </m:oMath>
              </a14:m>
              <a:r>
                <a:rPr lang="es-BO" sz="1100" b="0" i="1"/>
                <a:t>x 1.000</a:t>
              </a:r>
            </a:p>
          </xdr:txBody>
        </xdr:sp>
      </mc:Choice>
      <mc:Fallback xmlns="">
        <xdr:sp macro="" textlink="">
          <xdr:nvSpPr>
            <xdr:cNvPr id="30" name="CuadroTexto 18"/>
            <xdr:cNvSpPr txBox="1"/>
          </xdr:nvSpPr>
          <xdr:spPr>
            <a:xfrm>
              <a:off x="44115648" y="22971859"/>
              <a:ext cx="1696357" cy="34925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noAutofit/>
            </a:bodyPr>
            <a:lstStyle/>
            <a:p>
              <a:r>
                <a:rPr lang="es-BO" sz="1100" b="0" i="1">
                  <a:latin typeface="+mn-lt"/>
                </a:rPr>
                <a:t>IPA</a:t>
              </a:r>
              <a:r>
                <a:rPr lang="es-BO" sz="1100" b="0" i="0">
                  <a:latin typeface="Cambria Math" panose="02040503050406030204" pitchFamily="18" charset="0"/>
                </a:rPr>
                <a:t>=𝑁</a:t>
              </a:r>
              <a:r>
                <a:rPr lang="es-ES" sz="1100" b="0" i="0">
                  <a:latin typeface="Cambria Math"/>
                </a:rPr>
                <a:t>𝐶𝐶𝑀</a:t>
              </a:r>
              <a:r>
                <a:rPr lang="es-BO" sz="1100" b="0" i="0">
                  <a:latin typeface="Cambria Math" panose="02040503050406030204" pitchFamily="18" charset="0"/>
                </a:rPr>
                <a:t>/</a:t>
              </a:r>
              <a:r>
                <a:rPr lang="es-ES" sz="1100" b="0" i="0">
                  <a:latin typeface="Cambria Math"/>
                </a:rPr>
                <a:t>𝑃𝑅</a:t>
              </a:r>
              <a:r>
                <a:rPr lang="es-BO" sz="1100" b="0" i="1"/>
                <a:t>x 1.000</a:t>
              </a:r>
            </a:p>
          </xdr:txBody>
        </xdr:sp>
      </mc:Fallback>
    </mc:AlternateContent>
    <xdr:clientData/>
  </xdr:oneCellAnchor>
  <xdr:oneCellAnchor>
    <xdr:from>
      <xdr:col>42</xdr:col>
      <xdr:colOff>590096</xdr:colOff>
      <xdr:row>95</xdr:row>
      <xdr:rowOff>491142</xdr:rowOff>
    </xdr:from>
    <xdr:ext cx="1696357" cy="498929"/>
    <mc:AlternateContent xmlns:mc="http://schemas.openxmlformats.org/markup-compatibility/2006" xmlns:a14="http://schemas.microsoft.com/office/drawing/2010/main">
      <mc:Choice Requires="a14">
        <xdr:sp macro="" textlink="">
          <xdr:nvSpPr>
            <xdr:cNvPr id="31" name="CuadroTexto 21">
              <a:extLst>
                <a:ext uri="{FF2B5EF4-FFF2-40B4-BE49-F238E27FC236}">
                  <a16:creationId xmlns:a16="http://schemas.microsoft.com/office/drawing/2014/main" id="{00000000-0008-0000-0400-00001F000000}"/>
                </a:ext>
              </a:extLst>
            </xdr:cNvPr>
            <xdr:cNvSpPr txBox="1"/>
          </xdr:nvSpPr>
          <xdr:spPr>
            <a:xfrm>
              <a:off x="44109821" y="18493392"/>
              <a:ext cx="1696357" cy="49892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noAutofit/>
            </a:bodyPr>
            <a:lstStyle/>
            <a:p>
              <a:r>
                <a:rPr lang="es-BO" sz="1100" b="0" i="1">
                  <a:latin typeface="+mn-lt"/>
                </a:rPr>
                <a:t>TIVIH</a:t>
              </a:r>
              <a14:m>
                <m:oMath xmlns:m="http://schemas.openxmlformats.org/officeDocument/2006/math">
                  <m:r>
                    <a:rPr lang="es-BO" sz="1100" b="0" i="1">
                      <a:latin typeface="Cambria Math" panose="02040503050406030204" pitchFamily="18" charset="0"/>
                    </a:rPr>
                    <m:t>=</m:t>
                  </m:r>
                  <m:f>
                    <m:fPr>
                      <m:ctrlPr>
                        <a:rPr lang="es-BO" sz="1100" b="0" i="1">
                          <a:latin typeface="Cambria Math" panose="02040503050406030204" pitchFamily="18" charset="0"/>
                        </a:rPr>
                      </m:ctrlPr>
                    </m:fPr>
                    <m:num>
                      <m:r>
                        <a:rPr lang="es-BO" sz="1100" b="0" i="1">
                          <a:latin typeface="Cambria Math" panose="02040503050406030204" pitchFamily="18" charset="0"/>
                        </a:rPr>
                        <m:t>𝑁𝐶𝑁𝑉𝐼𝐻</m:t>
                      </m:r>
                    </m:num>
                    <m:den>
                      <m:r>
                        <a:rPr lang="es-BO" sz="1100" b="0" i="1">
                          <a:latin typeface="Cambria Math" panose="02040503050406030204" pitchFamily="18" charset="0"/>
                        </a:rPr>
                        <m:t>𝑁𝑇𝑃</m:t>
                      </m:r>
                    </m:den>
                  </m:f>
                </m:oMath>
              </a14:m>
              <a:r>
                <a:rPr lang="es-BO" sz="1100" b="0" i="1"/>
                <a:t>x 1.000.000</a:t>
              </a:r>
            </a:p>
          </xdr:txBody>
        </xdr:sp>
      </mc:Choice>
      <mc:Fallback xmlns="">
        <xdr:sp macro="" textlink="">
          <xdr:nvSpPr>
            <xdr:cNvPr id="31" name="CuadroTexto 21"/>
            <xdr:cNvSpPr txBox="1"/>
          </xdr:nvSpPr>
          <xdr:spPr>
            <a:xfrm>
              <a:off x="44109821" y="18493392"/>
              <a:ext cx="1696357" cy="49892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noAutofit/>
            </a:bodyPr>
            <a:lstStyle/>
            <a:p>
              <a:r>
                <a:rPr lang="es-BO" sz="1100" b="0" i="1">
                  <a:latin typeface="+mn-lt"/>
                </a:rPr>
                <a:t>TIVIH</a:t>
              </a:r>
              <a:r>
                <a:rPr lang="es-BO" sz="1100" b="0" i="0">
                  <a:latin typeface="Cambria Math" panose="02040503050406030204" pitchFamily="18" charset="0"/>
                </a:rPr>
                <a:t>=𝑁𝐶𝑁𝑉𝐼𝐻/𝑁𝑇𝑃</a:t>
              </a:r>
              <a:r>
                <a:rPr lang="es-BO" sz="1100" b="0" i="1"/>
                <a:t>x 1.000.000</a:t>
              </a:r>
            </a:p>
          </xdr:txBody>
        </xdr:sp>
      </mc:Fallback>
    </mc:AlternateContent>
    <xdr:clientData/>
  </xdr:oneCellAnchor>
  <xdr:oneCellAnchor>
    <xdr:from>
      <xdr:col>42</xdr:col>
      <xdr:colOff>495300</xdr:colOff>
      <xdr:row>99</xdr:row>
      <xdr:rowOff>323850</xdr:rowOff>
    </xdr:from>
    <xdr:ext cx="1696357" cy="349250"/>
    <mc:AlternateContent xmlns:mc="http://schemas.openxmlformats.org/markup-compatibility/2006" xmlns:a14="http://schemas.microsoft.com/office/drawing/2010/main">
      <mc:Choice Requires="a14">
        <xdr:sp macro="" textlink="">
          <xdr:nvSpPr>
            <xdr:cNvPr id="32" name="CuadroTexto 18">
              <a:extLst>
                <a:ext uri="{FF2B5EF4-FFF2-40B4-BE49-F238E27FC236}">
                  <a16:creationId xmlns:a16="http://schemas.microsoft.com/office/drawing/2014/main" id="{00000000-0008-0000-0400-000020000000}"/>
                </a:ext>
              </a:extLst>
            </xdr:cNvPr>
            <xdr:cNvSpPr txBox="1"/>
          </xdr:nvSpPr>
          <xdr:spPr>
            <a:xfrm>
              <a:off x="44015025" y="24136350"/>
              <a:ext cx="1696357" cy="34925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noAutofit/>
            </a:bodyPr>
            <a:lstStyle/>
            <a:p>
              <a:r>
                <a:rPr lang="es-BO" sz="1100" b="0" i="1">
                  <a:latin typeface="+mn-lt"/>
                </a:rPr>
                <a:t>TIC</a:t>
              </a:r>
              <a14:m>
                <m:oMath xmlns:m="http://schemas.openxmlformats.org/officeDocument/2006/math">
                  <m:r>
                    <a:rPr lang="es-BO" sz="1100" b="0" i="1">
                      <a:latin typeface="Cambria Math" panose="02040503050406030204" pitchFamily="18" charset="0"/>
                    </a:rPr>
                    <m:t>=</m:t>
                  </m:r>
                  <m:f>
                    <m:fPr>
                      <m:ctrlPr>
                        <a:rPr lang="es-BO" sz="1100" b="0" i="1">
                          <a:latin typeface="Cambria Math" panose="02040503050406030204" pitchFamily="18" charset="0"/>
                        </a:rPr>
                      </m:ctrlPr>
                    </m:fPr>
                    <m:num>
                      <m:r>
                        <a:rPr lang="es-BO" sz="1100" b="0" i="1">
                          <a:latin typeface="Cambria Math" panose="02040503050406030204" pitchFamily="18" charset="0"/>
                        </a:rPr>
                        <m:t>𝑁𝑇𝐶𝑁𝐶𝑇𝐷</m:t>
                      </m:r>
                    </m:num>
                    <m:den>
                      <m:r>
                        <a:rPr lang="es-BO" sz="1100" b="0" i="1">
                          <a:latin typeface="Cambria Math" panose="02040503050406030204" pitchFamily="18" charset="0"/>
                        </a:rPr>
                        <m:t>𝑃𝑇</m:t>
                      </m:r>
                    </m:den>
                  </m:f>
                </m:oMath>
              </a14:m>
              <a:r>
                <a:rPr lang="es-BO" sz="1100" b="0" i="1"/>
                <a:t>x 1.000</a:t>
              </a:r>
            </a:p>
          </xdr:txBody>
        </xdr:sp>
      </mc:Choice>
      <mc:Fallback xmlns="">
        <xdr:sp macro="" textlink="">
          <xdr:nvSpPr>
            <xdr:cNvPr id="32" name="CuadroTexto 18"/>
            <xdr:cNvSpPr txBox="1"/>
          </xdr:nvSpPr>
          <xdr:spPr>
            <a:xfrm>
              <a:off x="44015025" y="24136350"/>
              <a:ext cx="1696357" cy="34925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noAutofit/>
            </a:bodyPr>
            <a:lstStyle/>
            <a:p>
              <a:r>
                <a:rPr lang="es-BO" sz="1100" b="0" i="1">
                  <a:latin typeface="+mn-lt"/>
                </a:rPr>
                <a:t>TIC</a:t>
              </a:r>
              <a:r>
                <a:rPr lang="es-BO" sz="1100" b="0" i="0">
                  <a:latin typeface="Cambria Math" panose="02040503050406030204" pitchFamily="18" charset="0"/>
                </a:rPr>
                <a:t>=𝑁𝑇𝐶𝑁𝐶𝑇𝐷/𝑃𝑇</a:t>
              </a:r>
              <a:r>
                <a:rPr lang="es-BO" sz="1100" b="0" i="1"/>
                <a:t>x 1.000</a:t>
              </a:r>
            </a:p>
          </xdr:txBody>
        </xdr:sp>
      </mc:Fallback>
    </mc:AlternateContent>
    <xdr:clientData/>
  </xdr:oneCellAnchor>
  <xdr:oneCellAnchor>
    <xdr:from>
      <xdr:col>42</xdr:col>
      <xdr:colOff>495300</xdr:colOff>
      <xdr:row>101</xdr:row>
      <xdr:rowOff>415192</xdr:rowOff>
    </xdr:from>
    <xdr:ext cx="1938866" cy="257908"/>
    <mc:AlternateContent xmlns:mc="http://schemas.openxmlformats.org/markup-compatibility/2006" xmlns:a14="http://schemas.microsoft.com/office/drawing/2010/main">
      <mc:Choice Requires="a14">
        <xdr:sp macro="" textlink="">
          <xdr:nvSpPr>
            <xdr:cNvPr id="33" name="CuadroTexto 18">
              <a:extLst>
                <a:ext uri="{FF2B5EF4-FFF2-40B4-BE49-F238E27FC236}">
                  <a16:creationId xmlns:a16="http://schemas.microsoft.com/office/drawing/2014/main" id="{00000000-0008-0000-0400-000021000000}"/>
                </a:ext>
              </a:extLst>
            </xdr:cNvPr>
            <xdr:cNvSpPr txBox="1"/>
          </xdr:nvSpPr>
          <xdr:spPr>
            <a:xfrm>
              <a:off x="44015025" y="26494642"/>
              <a:ext cx="1938866" cy="25790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noAutofit/>
            </a:bodyPr>
            <a:lstStyle/>
            <a:p>
              <a:r>
                <a:rPr lang="es-BO" sz="1100" b="0" i="1">
                  <a:latin typeface="+mn-lt"/>
                </a:rPr>
                <a:t>TIHA</a:t>
              </a:r>
              <a14:m>
                <m:oMath xmlns:m="http://schemas.openxmlformats.org/officeDocument/2006/math">
                  <m:r>
                    <a:rPr lang="es-BO" sz="1100" b="0" i="1">
                      <a:latin typeface="Cambria Math" panose="02040503050406030204" pitchFamily="18" charset="0"/>
                    </a:rPr>
                    <m:t>=</m:t>
                  </m:r>
                  <m:f>
                    <m:fPr>
                      <m:ctrlPr>
                        <a:rPr lang="es-BO" sz="1100" b="0" i="1">
                          <a:latin typeface="Cambria Math" panose="02040503050406030204" pitchFamily="18" charset="0"/>
                        </a:rPr>
                      </m:ctrlPr>
                    </m:fPr>
                    <m:num>
                      <m:r>
                        <a:rPr lang="es-BO" sz="1100" b="0" i="1">
                          <a:latin typeface="Cambria Math" panose="02040503050406030204" pitchFamily="18" charset="0"/>
                        </a:rPr>
                        <m:t>𝑁𝑇𝐶𝑁</m:t>
                      </m:r>
                      <m:r>
                        <a:rPr lang="es-ES" sz="1100" b="0" i="1">
                          <a:latin typeface="Cambria Math"/>
                        </a:rPr>
                        <m:t>𝑑</m:t>
                      </m:r>
                      <m:r>
                        <a:rPr lang="es-BO" sz="1100" b="0" i="1">
                          <a:latin typeface="Cambria Math" panose="02040503050406030204" pitchFamily="18" charset="0"/>
                        </a:rPr>
                        <m:t>𝐻𝐴</m:t>
                      </m:r>
                    </m:num>
                    <m:den>
                      <m:r>
                        <a:rPr lang="es-BO" sz="1100" b="0" i="1">
                          <a:latin typeface="Cambria Math" panose="02040503050406030204" pitchFamily="18" charset="0"/>
                        </a:rPr>
                        <m:t>𝑃𝑇</m:t>
                      </m:r>
                    </m:den>
                  </m:f>
                </m:oMath>
              </a14:m>
              <a:r>
                <a:rPr lang="es-BO" sz="1100" b="0" i="1"/>
                <a:t>x 100.000</a:t>
              </a:r>
            </a:p>
          </xdr:txBody>
        </xdr:sp>
      </mc:Choice>
      <mc:Fallback xmlns="">
        <xdr:sp macro="" textlink="">
          <xdr:nvSpPr>
            <xdr:cNvPr id="33" name="CuadroTexto 18"/>
            <xdr:cNvSpPr txBox="1"/>
          </xdr:nvSpPr>
          <xdr:spPr>
            <a:xfrm>
              <a:off x="44015025" y="26494642"/>
              <a:ext cx="1938866" cy="25790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noAutofit/>
            </a:bodyPr>
            <a:lstStyle/>
            <a:p>
              <a:r>
                <a:rPr lang="es-BO" sz="1100" b="0" i="1">
                  <a:latin typeface="+mn-lt"/>
                </a:rPr>
                <a:t>TIHA</a:t>
              </a:r>
              <a:r>
                <a:rPr lang="es-BO" sz="1100" b="0" i="0">
                  <a:latin typeface="Cambria Math" panose="02040503050406030204" pitchFamily="18" charset="0"/>
                </a:rPr>
                <a:t>=𝑁𝑇𝐶𝑁</a:t>
              </a:r>
              <a:r>
                <a:rPr lang="es-ES" sz="1100" b="0" i="0">
                  <a:latin typeface="Cambria Math"/>
                </a:rPr>
                <a:t>𝑑</a:t>
              </a:r>
              <a:r>
                <a:rPr lang="es-BO" sz="1100" b="0" i="0">
                  <a:latin typeface="Cambria Math" panose="02040503050406030204" pitchFamily="18" charset="0"/>
                </a:rPr>
                <a:t>𝐻𝐴/𝑃𝑇</a:t>
              </a:r>
              <a:r>
                <a:rPr lang="es-BO" sz="1100" b="0" i="1"/>
                <a:t>x 100.000</a:t>
              </a:r>
            </a:p>
          </xdr:txBody>
        </xdr:sp>
      </mc:Fallback>
    </mc:AlternateContent>
    <xdr:clientData/>
  </xdr:oneCellAnchor>
  <xdr:oneCellAnchor>
    <xdr:from>
      <xdr:col>42</xdr:col>
      <xdr:colOff>722923</xdr:colOff>
      <xdr:row>103</xdr:row>
      <xdr:rowOff>297962</xdr:rowOff>
    </xdr:from>
    <xdr:ext cx="1696357" cy="257908"/>
    <mc:AlternateContent xmlns:mc="http://schemas.openxmlformats.org/markup-compatibility/2006" xmlns:a14="http://schemas.microsoft.com/office/drawing/2010/main">
      <mc:Choice Requires="a14">
        <xdr:sp macro="" textlink="">
          <xdr:nvSpPr>
            <xdr:cNvPr id="34" name="CuadroTexto 18">
              <a:extLst>
                <a:ext uri="{FF2B5EF4-FFF2-40B4-BE49-F238E27FC236}">
                  <a16:creationId xmlns:a16="http://schemas.microsoft.com/office/drawing/2014/main" id="{00000000-0008-0000-0400-000022000000}"/>
                </a:ext>
              </a:extLst>
            </xdr:cNvPr>
            <xdr:cNvSpPr txBox="1"/>
          </xdr:nvSpPr>
          <xdr:spPr>
            <a:xfrm>
              <a:off x="44242648" y="28644362"/>
              <a:ext cx="1696357" cy="25790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noAutofit/>
            </a:bodyPr>
            <a:lstStyle/>
            <a:p>
              <a:r>
                <a:rPr lang="es-BO" sz="1100" b="0" i="1">
                  <a:latin typeface="+mn-lt"/>
                </a:rPr>
                <a:t>TID</a:t>
              </a:r>
              <a14:m>
                <m:oMath xmlns:m="http://schemas.openxmlformats.org/officeDocument/2006/math">
                  <m:r>
                    <a:rPr lang="es-BO" sz="1100" b="0" i="1">
                      <a:latin typeface="Cambria Math" panose="02040503050406030204" pitchFamily="18" charset="0"/>
                    </a:rPr>
                    <m:t>=</m:t>
                  </m:r>
                  <m:f>
                    <m:fPr>
                      <m:ctrlPr>
                        <a:rPr lang="es-BO" sz="1100" b="0" i="1">
                          <a:latin typeface="Cambria Math" panose="02040503050406030204" pitchFamily="18" charset="0"/>
                        </a:rPr>
                      </m:ctrlPr>
                    </m:fPr>
                    <m:num>
                      <m:r>
                        <a:rPr lang="es-BO" sz="1100" b="0" i="1">
                          <a:latin typeface="Cambria Math" panose="02040503050406030204" pitchFamily="18" charset="0"/>
                        </a:rPr>
                        <m:t>𝑁𝑇𝐶𝑁</m:t>
                      </m:r>
                      <m:r>
                        <a:rPr lang="es-ES" sz="1100" b="0" i="1">
                          <a:latin typeface="Cambria Math"/>
                        </a:rPr>
                        <m:t>𝑑</m:t>
                      </m:r>
                      <m:r>
                        <a:rPr lang="es-BO" sz="1100" b="0" i="1">
                          <a:latin typeface="Cambria Math" panose="02040503050406030204" pitchFamily="18" charset="0"/>
                        </a:rPr>
                        <m:t>𝐷</m:t>
                      </m:r>
                    </m:num>
                    <m:den>
                      <m:r>
                        <a:rPr lang="es-BO" sz="1100" b="0" i="1">
                          <a:latin typeface="Cambria Math" panose="02040503050406030204" pitchFamily="18" charset="0"/>
                        </a:rPr>
                        <m:t>𝑃𝑇</m:t>
                      </m:r>
                    </m:den>
                  </m:f>
                </m:oMath>
              </a14:m>
              <a:r>
                <a:rPr lang="es-BO" sz="1100" b="0" i="1"/>
                <a:t>x 100.000</a:t>
              </a:r>
            </a:p>
          </xdr:txBody>
        </xdr:sp>
      </mc:Choice>
      <mc:Fallback xmlns="">
        <xdr:sp macro="" textlink="">
          <xdr:nvSpPr>
            <xdr:cNvPr id="34" name="CuadroTexto 18"/>
            <xdr:cNvSpPr txBox="1"/>
          </xdr:nvSpPr>
          <xdr:spPr>
            <a:xfrm>
              <a:off x="44242648" y="28644362"/>
              <a:ext cx="1696357" cy="25790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noAutofit/>
            </a:bodyPr>
            <a:lstStyle/>
            <a:p>
              <a:r>
                <a:rPr lang="es-BO" sz="1100" b="0" i="1">
                  <a:latin typeface="+mn-lt"/>
                </a:rPr>
                <a:t>TID</a:t>
              </a:r>
              <a:r>
                <a:rPr lang="es-BO" sz="1100" b="0" i="0">
                  <a:latin typeface="Cambria Math" panose="02040503050406030204" pitchFamily="18" charset="0"/>
                </a:rPr>
                <a:t>=𝑁𝑇𝐶𝑁</a:t>
              </a:r>
              <a:r>
                <a:rPr lang="es-ES" sz="1100" b="0" i="0">
                  <a:latin typeface="Cambria Math"/>
                </a:rPr>
                <a:t>𝑑</a:t>
              </a:r>
              <a:r>
                <a:rPr lang="es-BO" sz="1100" b="0" i="0">
                  <a:latin typeface="Cambria Math" panose="02040503050406030204" pitchFamily="18" charset="0"/>
                </a:rPr>
                <a:t>𝐷/𝑃𝑇</a:t>
              </a:r>
              <a:r>
                <a:rPr lang="es-BO" sz="1100" b="0" i="1"/>
                <a:t>x 100.000</a:t>
              </a:r>
            </a:p>
          </xdr:txBody>
        </xdr:sp>
      </mc:Fallback>
    </mc:AlternateContent>
    <xdr:clientData/>
  </xdr:oneCellAnchor>
  <xdr:oneCellAnchor>
    <xdr:from>
      <xdr:col>42</xdr:col>
      <xdr:colOff>552450</xdr:colOff>
      <xdr:row>105</xdr:row>
      <xdr:rowOff>428625</xdr:rowOff>
    </xdr:from>
    <xdr:ext cx="1696357" cy="349250"/>
    <mc:AlternateContent xmlns:mc="http://schemas.openxmlformats.org/markup-compatibility/2006" xmlns:a14="http://schemas.microsoft.com/office/drawing/2010/main">
      <mc:Choice Requires="a14">
        <xdr:sp macro="" textlink="">
          <xdr:nvSpPr>
            <xdr:cNvPr id="35" name="CuadroTexto 18">
              <a:extLst>
                <a:ext uri="{FF2B5EF4-FFF2-40B4-BE49-F238E27FC236}">
                  <a16:creationId xmlns:a16="http://schemas.microsoft.com/office/drawing/2014/main" id="{00000000-0008-0000-0400-000023000000}"/>
                </a:ext>
              </a:extLst>
            </xdr:cNvPr>
            <xdr:cNvSpPr txBox="1"/>
          </xdr:nvSpPr>
          <xdr:spPr>
            <a:xfrm>
              <a:off x="44072175" y="31041975"/>
              <a:ext cx="1696357" cy="34925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noAutofit/>
            </a:bodyPr>
            <a:lstStyle/>
            <a:p>
              <a:r>
                <a:rPr lang="es-BO" sz="1100" b="0" i="1">
                  <a:latin typeface="+mn-lt"/>
                </a:rPr>
                <a:t>ESRS</a:t>
              </a:r>
              <a14:m>
                <m:oMath xmlns:m="http://schemas.openxmlformats.org/officeDocument/2006/math">
                  <m:r>
                    <a:rPr lang="es-BO" sz="1100" b="0" i="1">
                      <a:latin typeface="Cambria Math" panose="02040503050406030204" pitchFamily="18" charset="0"/>
                    </a:rPr>
                    <m:t>=</m:t>
                  </m:r>
                  <m:f>
                    <m:fPr>
                      <m:ctrlPr>
                        <a:rPr lang="es-BO" sz="1100" b="0" i="1">
                          <a:latin typeface="Cambria Math" panose="02040503050406030204" pitchFamily="18" charset="0"/>
                        </a:rPr>
                      </m:ctrlPr>
                    </m:fPr>
                    <m:num>
                      <m:r>
                        <a:rPr lang="es-BO" sz="1100" b="0" i="1">
                          <a:latin typeface="Cambria Math" panose="02040503050406030204" pitchFamily="18" charset="0"/>
                        </a:rPr>
                        <m:t>𝑁</m:t>
                      </m:r>
                      <m:r>
                        <a:rPr lang="es-ES" sz="1100" b="0" i="1">
                          <a:latin typeface="Cambria Math"/>
                        </a:rPr>
                        <m:t>𝐸𝑆𝑅𝑆</m:t>
                      </m:r>
                    </m:num>
                    <m:den>
                      <m:r>
                        <a:rPr lang="es-BO" sz="1100" b="0" i="1">
                          <a:latin typeface="Cambria Math" panose="02040503050406030204" pitchFamily="18" charset="0"/>
                        </a:rPr>
                        <m:t>𝑁</m:t>
                      </m:r>
                      <m:r>
                        <a:rPr lang="es-ES" sz="1100" b="0" i="1">
                          <a:latin typeface="Cambria Math"/>
                        </a:rPr>
                        <m:t>𝑇𝐸𝑆</m:t>
                      </m:r>
                    </m:den>
                  </m:f>
                </m:oMath>
              </a14:m>
              <a:r>
                <a:rPr lang="es-BO" sz="1100" b="0" i="1"/>
                <a:t>x 100</a:t>
              </a:r>
            </a:p>
          </xdr:txBody>
        </xdr:sp>
      </mc:Choice>
      <mc:Fallback xmlns="">
        <xdr:sp macro="" textlink="">
          <xdr:nvSpPr>
            <xdr:cNvPr id="35" name="CuadroTexto 18"/>
            <xdr:cNvSpPr txBox="1"/>
          </xdr:nvSpPr>
          <xdr:spPr>
            <a:xfrm>
              <a:off x="44072175" y="31041975"/>
              <a:ext cx="1696357" cy="34925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noAutofit/>
            </a:bodyPr>
            <a:lstStyle/>
            <a:p>
              <a:r>
                <a:rPr lang="es-BO" sz="1100" b="0" i="1">
                  <a:latin typeface="+mn-lt"/>
                </a:rPr>
                <a:t>ESRS</a:t>
              </a:r>
              <a:r>
                <a:rPr lang="es-BO" sz="1100" b="0" i="0">
                  <a:latin typeface="Cambria Math" panose="02040503050406030204" pitchFamily="18" charset="0"/>
                </a:rPr>
                <a:t>=𝑁</a:t>
              </a:r>
              <a:r>
                <a:rPr lang="es-ES" sz="1100" b="0" i="0">
                  <a:latin typeface="Cambria Math"/>
                </a:rPr>
                <a:t>𝐸𝑆𝑅𝑆</a:t>
              </a:r>
              <a:r>
                <a:rPr lang="es-BO" sz="1100" b="0" i="0">
                  <a:latin typeface="Cambria Math" panose="02040503050406030204" pitchFamily="18" charset="0"/>
                </a:rPr>
                <a:t>/𝑁</a:t>
              </a:r>
              <a:r>
                <a:rPr lang="es-ES" sz="1100" b="0" i="0">
                  <a:latin typeface="Cambria Math"/>
                </a:rPr>
                <a:t>𝑇𝐸𝑆</a:t>
              </a:r>
              <a:r>
                <a:rPr lang="es-BO" sz="1100" b="0" i="1"/>
                <a:t>x 100</a:t>
              </a:r>
            </a:p>
          </xdr:txBody>
        </xdr:sp>
      </mc:Fallback>
    </mc:AlternateContent>
    <xdr:clientData/>
  </xdr:oneCellAnchor>
  <xdr:oneCellAnchor>
    <xdr:from>
      <xdr:col>42</xdr:col>
      <xdr:colOff>511969</xdr:colOff>
      <xdr:row>109</xdr:row>
      <xdr:rowOff>506676</xdr:rowOff>
    </xdr:from>
    <xdr:ext cx="1696357" cy="498929"/>
    <mc:AlternateContent xmlns:mc="http://schemas.openxmlformats.org/markup-compatibility/2006" xmlns:a14="http://schemas.microsoft.com/office/drawing/2010/main">
      <mc:Choice Requires="a14">
        <xdr:sp macro="" textlink="">
          <xdr:nvSpPr>
            <xdr:cNvPr id="36" name="CuadroTexto 20">
              <a:extLst>
                <a:ext uri="{FF2B5EF4-FFF2-40B4-BE49-F238E27FC236}">
                  <a16:creationId xmlns:a16="http://schemas.microsoft.com/office/drawing/2014/main" id="{00000000-0008-0000-0400-000024000000}"/>
                </a:ext>
              </a:extLst>
            </xdr:cNvPr>
            <xdr:cNvSpPr txBox="1"/>
          </xdr:nvSpPr>
          <xdr:spPr>
            <a:xfrm>
              <a:off x="44031694" y="32415426"/>
              <a:ext cx="1696357" cy="49892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noAutofit/>
            </a:bodyPr>
            <a:lstStyle/>
            <a:p>
              <a14:m>
                <m:oMath xmlns:m="http://schemas.openxmlformats.org/officeDocument/2006/math">
                  <m:r>
                    <a:rPr lang="es-ES" sz="1100" b="0" i="1">
                      <a:latin typeface="Cambria Math"/>
                    </a:rPr>
                    <m:t>𝐸𝐹</m:t>
                  </m:r>
                  <m:r>
                    <a:rPr lang="es-BO" sz="1100" b="0" i="1">
                      <a:latin typeface="Cambria Math" panose="02040503050406030204" pitchFamily="18" charset="0"/>
                    </a:rPr>
                    <m:t>𝑃𝐻</m:t>
                  </m:r>
                  <m:r>
                    <a:rPr lang="es-BO" sz="1100" b="0" i="1">
                      <a:latin typeface="Cambria Math" panose="02040503050406030204" pitchFamily="18" charset="0"/>
                    </a:rPr>
                    <m:t>=</m:t>
                  </m:r>
                  <m:f>
                    <m:fPr>
                      <m:ctrlPr>
                        <a:rPr lang="es-BO" sz="1100" b="0" i="1">
                          <a:latin typeface="Cambria Math" panose="02040503050406030204" pitchFamily="18" charset="0"/>
                        </a:rPr>
                      </m:ctrlPr>
                    </m:fPr>
                    <m:num>
                      <m:r>
                        <a:rPr lang="es-ES" sz="1100" b="0" i="1">
                          <a:latin typeface="Cambria Math" panose="02040503050406030204" pitchFamily="18" charset="0"/>
                        </a:rPr>
                        <m:t>𝑃𝐸</m:t>
                      </m:r>
                      <m:r>
                        <a:rPr lang="es-BO" sz="1100" b="0" i="1">
                          <a:latin typeface="Cambria Math" panose="02040503050406030204" pitchFamily="18" charset="0"/>
                        </a:rPr>
                        <m:t>𝑃𝐻</m:t>
                      </m:r>
                    </m:num>
                    <m:den>
                      <m:r>
                        <a:rPr lang="es-BO" sz="1100" b="0" i="1">
                          <a:latin typeface="Cambria Math" panose="02040503050406030204" pitchFamily="18" charset="0"/>
                        </a:rPr>
                        <m:t>𝑃𝑃𝑃𝐻</m:t>
                      </m:r>
                    </m:den>
                  </m:f>
                </m:oMath>
              </a14:m>
              <a:r>
                <a:rPr lang="es-BO" sz="1100" b="0" i="1"/>
                <a:t>x100</a:t>
              </a:r>
            </a:p>
          </xdr:txBody>
        </xdr:sp>
      </mc:Choice>
      <mc:Fallback xmlns="">
        <xdr:sp macro="" textlink="">
          <xdr:nvSpPr>
            <xdr:cNvPr id="36" name="CuadroTexto 20"/>
            <xdr:cNvSpPr txBox="1"/>
          </xdr:nvSpPr>
          <xdr:spPr>
            <a:xfrm>
              <a:off x="44031694" y="32415426"/>
              <a:ext cx="1696357" cy="49892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noAutofit/>
            </a:bodyPr>
            <a:lstStyle/>
            <a:p>
              <a:r>
                <a:rPr lang="es-ES" sz="1100" b="0" i="0">
                  <a:latin typeface="Cambria Math"/>
                </a:rPr>
                <a:t>𝐸𝐹</a:t>
              </a:r>
              <a:r>
                <a:rPr lang="es-BO" sz="1100" b="0" i="0">
                  <a:latin typeface="Cambria Math" panose="02040503050406030204" pitchFamily="18" charset="0"/>
                </a:rPr>
                <a:t>𝑃𝐻=</a:t>
              </a:r>
              <a:r>
                <a:rPr lang="es-ES" sz="1100" b="0" i="0">
                  <a:latin typeface="Cambria Math" panose="02040503050406030204" pitchFamily="18" charset="0"/>
                </a:rPr>
                <a:t>𝑃𝐸</a:t>
              </a:r>
              <a:r>
                <a:rPr lang="es-BO" sz="1100" b="0" i="0">
                  <a:latin typeface="Cambria Math" panose="02040503050406030204" pitchFamily="18" charset="0"/>
                </a:rPr>
                <a:t>𝑃𝐻/𝑃𝑃𝑃𝐻</a:t>
              </a:r>
              <a:r>
                <a:rPr lang="es-BO" sz="1100" b="0" i="1"/>
                <a:t>x100</a:t>
              </a:r>
            </a:p>
          </xdr:txBody>
        </xdr:sp>
      </mc:Fallback>
    </mc:AlternateContent>
    <xdr:clientData/>
  </xdr:oneCellAnchor>
  <xdr:oneCellAnchor>
    <xdr:from>
      <xdr:col>42</xdr:col>
      <xdr:colOff>580591</xdr:colOff>
      <xdr:row>89</xdr:row>
      <xdr:rowOff>466580</xdr:rowOff>
    </xdr:from>
    <xdr:ext cx="1696357" cy="498929"/>
    <mc:AlternateContent xmlns:mc="http://schemas.openxmlformats.org/markup-compatibility/2006" xmlns:a14="http://schemas.microsoft.com/office/drawing/2010/main">
      <mc:Choice Requires="a14">
        <xdr:sp macro="" textlink="">
          <xdr:nvSpPr>
            <xdr:cNvPr id="37" name="CuadroTexto 19">
              <a:extLst>
                <a:ext uri="{FF2B5EF4-FFF2-40B4-BE49-F238E27FC236}">
                  <a16:creationId xmlns:a16="http://schemas.microsoft.com/office/drawing/2014/main" id="{00000000-0008-0000-0400-000025000000}"/>
                </a:ext>
              </a:extLst>
            </xdr:cNvPr>
            <xdr:cNvSpPr txBox="1"/>
          </xdr:nvSpPr>
          <xdr:spPr>
            <a:xfrm>
              <a:off x="44100316" y="10563080"/>
              <a:ext cx="1696357" cy="49892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noAutofit/>
            </a:bodyPr>
            <a:lstStyle/>
            <a:p>
              <a:r>
                <a:rPr lang="es-BO" sz="1100" b="0" i="1">
                  <a:latin typeface="+mn-lt"/>
                </a:rPr>
                <a:t>RMM</a:t>
              </a:r>
              <a14:m>
                <m:oMath xmlns:m="http://schemas.openxmlformats.org/officeDocument/2006/math">
                  <m:r>
                    <a:rPr lang="es-BO" sz="1100" b="0" i="1">
                      <a:latin typeface="Cambria Math" panose="02040503050406030204" pitchFamily="18" charset="0"/>
                    </a:rPr>
                    <m:t>=</m:t>
                  </m:r>
                  <m:f>
                    <m:fPr>
                      <m:ctrlPr>
                        <a:rPr lang="es-BO" sz="1100" b="0" i="1">
                          <a:latin typeface="Cambria Math" panose="02040503050406030204" pitchFamily="18" charset="0"/>
                        </a:rPr>
                      </m:ctrlPr>
                    </m:fPr>
                    <m:num>
                      <m:r>
                        <a:rPr lang="es-BO" sz="1100" b="0" i="1">
                          <a:latin typeface="Cambria Math" panose="02040503050406030204" pitchFamily="18" charset="0"/>
                        </a:rPr>
                        <m:t>𝑁𝐷𝑀</m:t>
                      </m:r>
                    </m:num>
                    <m:den>
                      <m:r>
                        <a:rPr lang="es-BO" sz="1100" b="0" i="1">
                          <a:latin typeface="Cambria Math" panose="02040503050406030204" pitchFamily="18" charset="0"/>
                        </a:rPr>
                        <m:t>𝑁𝑉</m:t>
                      </m:r>
                    </m:den>
                  </m:f>
                </m:oMath>
              </a14:m>
              <a:r>
                <a:rPr lang="es-BO" sz="1100" b="0" i="1"/>
                <a:t>x 100.000 n.v.</a:t>
              </a:r>
            </a:p>
          </xdr:txBody>
        </xdr:sp>
      </mc:Choice>
      <mc:Fallback xmlns="">
        <xdr:sp macro="" textlink="">
          <xdr:nvSpPr>
            <xdr:cNvPr id="37" name="CuadroTexto 19"/>
            <xdr:cNvSpPr txBox="1"/>
          </xdr:nvSpPr>
          <xdr:spPr>
            <a:xfrm>
              <a:off x="44100316" y="10563080"/>
              <a:ext cx="1696357" cy="49892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noAutofit/>
            </a:bodyPr>
            <a:lstStyle/>
            <a:p>
              <a:r>
                <a:rPr lang="es-BO" sz="1100" b="0" i="1">
                  <a:latin typeface="+mn-lt"/>
                </a:rPr>
                <a:t>RMM</a:t>
              </a:r>
              <a:r>
                <a:rPr lang="es-BO" sz="1100" b="0" i="0">
                  <a:latin typeface="Cambria Math" panose="02040503050406030204" pitchFamily="18" charset="0"/>
                </a:rPr>
                <a:t>=𝑁𝐷𝑀/𝑁𝑉</a:t>
              </a:r>
              <a:r>
                <a:rPr lang="es-BO" sz="1100" b="0" i="1"/>
                <a:t>x 100.000 n.v.</a:t>
              </a:r>
            </a:p>
          </xdr:txBody>
        </xdr:sp>
      </mc:Fallback>
    </mc:AlternateContent>
    <xdr:clientData/>
  </xdr:oneCellAnchor>
  <xdr:oneCellAnchor>
    <xdr:from>
      <xdr:col>42</xdr:col>
      <xdr:colOff>759558</xdr:colOff>
      <xdr:row>91</xdr:row>
      <xdr:rowOff>412140</xdr:rowOff>
    </xdr:from>
    <xdr:ext cx="1696357" cy="498929"/>
    <mc:AlternateContent xmlns:mc="http://schemas.openxmlformats.org/markup-compatibility/2006" xmlns:a14="http://schemas.microsoft.com/office/drawing/2010/main">
      <mc:Choice Requires="a14">
        <xdr:sp macro="" textlink="">
          <xdr:nvSpPr>
            <xdr:cNvPr id="38" name="CuadroTexto 20">
              <a:extLst>
                <a:ext uri="{FF2B5EF4-FFF2-40B4-BE49-F238E27FC236}">
                  <a16:creationId xmlns:a16="http://schemas.microsoft.com/office/drawing/2014/main" id="{00000000-0008-0000-0400-000026000000}"/>
                </a:ext>
              </a:extLst>
            </xdr:cNvPr>
            <xdr:cNvSpPr txBox="1"/>
          </xdr:nvSpPr>
          <xdr:spPr>
            <a:xfrm>
              <a:off x="44279283" y="12527940"/>
              <a:ext cx="1696357" cy="49892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noAutofit/>
            </a:bodyPr>
            <a:lstStyle/>
            <a:p>
              <a:r>
                <a:rPr lang="es-BO" sz="1100" b="0" i="1">
                  <a:latin typeface="+mn-lt"/>
                </a:rPr>
                <a:t>PI</a:t>
              </a:r>
              <a14:m>
                <m:oMath xmlns:m="http://schemas.openxmlformats.org/officeDocument/2006/math">
                  <m:r>
                    <a:rPr lang="es-BO" sz="1100" b="0" i="1">
                      <a:latin typeface="Cambria Math" panose="02040503050406030204" pitchFamily="18" charset="0"/>
                    </a:rPr>
                    <m:t>=</m:t>
                  </m:r>
                  <m:f>
                    <m:fPr>
                      <m:ctrlPr>
                        <a:rPr lang="es-BO" sz="1100" b="0" i="1">
                          <a:latin typeface="Cambria Math" panose="02040503050406030204" pitchFamily="18" charset="0"/>
                        </a:rPr>
                      </m:ctrlPr>
                    </m:fPr>
                    <m:num>
                      <m:r>
                        <a:rPr lang="es-BO" sz="1100" b="0" i="1">
                          <a:latin typeface="Cambria Math" panose="02040503050406030204" pitchFamily="18" charset="0"/>
                        </a:rPr>
                        <m:t>𝑁𝑃𝐼</m:t>
                      </m:r>
                    </m:num>
                    <m:den>
                      <m:r>
                        <a:rPr lang="es-BO" sz="1100" b="0" i="1">
                          <a:latin typeface="Cambria Math" panose="02040503050406030204" pitchFamily="18" charset="0"/>
                        </a:rPr>
                        <m:t>𝑁𝑇𝑃𝐸</m:t>
                      </m:r>
                    </m:den>
                  </m:f>
                </m:oMath>
              </a14:m>
              <a:r>
                <a:rPr lang="es-BO" sz="1100" b="0" i="1"/>
                <a:t>x100</a:t>
              </a:r>
            </a:p>
          </xdr:txBody>
        </xdr:sp>
      </mc:Choice>
      <mc:Fallback xmlns="">
        <xdr:sp macro="" textlink="">
          <xdr:nvSpPr>
            <xdr:cNvPr id="38" name="CuadroTexto 20"/>
            <xdr:cNvSpPr txBox="1"/>
          </xdr:nvSpPr>
          <xdr:spPr>
            <a:xfrm>
              <a:off x="44279283" y="12527940"/>
              <a:ext cx="1696357" cy="49892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noAutofit/>
            </a:bodyPr>
            <a:lstStyle/>
            <a:p>
              <a:r>
                <a:rPr lang="es-BO" sz="1100" b="0" i="1">
                  <a:latin typeface="+mn-lt"/>
                </a:rPr>
                <a:t>PI</a:t>
              </a:r>
              <a:r>
                <a:rPr lang="es-BO" sz="1100" b="0" i="0">
                  <a:latin typeface="Cambria Math" panose="02040503050406030204" pitchFamily="18" charset="0"/>
                </a:rPr>
                <a:t>=𝑁𝑃𝐼/𝑁𝑇𝑃𝐸</a:t>
              </a:r>
              <a:r>
                <a:rPr lang="es-BO" sz="1100" b="0" i="1"/>
                <a:t>x100</a:t>
              </a:r>
            </a:p>
          </xdr:txBody>
        </xdr:sp>
      </mc:Fallback>
    </mc:AlternateContent>
    <xdr:clientData/>
  </xdr:oneCellAnchor>
  <xdr:oneCellAnchor>
    <xdr:from>
      <xdr:col>42</xdr:col>
      <xdr:colOff>767293</xdr:colOff>
      <xdr:row>97</xdr:row>
      <xdr:rowOff>748772</xdr:rowOff>
    </xdr:from>
    <xdr:ext cx="1696357" cy="498929"/>
    <mc:AlternateContent xmlns:mc="http://schemas.openxmlformats.org/markup-compatibility/2006" xmlns:a14="http://schemas.microsoft.com/office/drawing/2010/main">
      <mc:Choice Requires="a14">
        <xdr:sp macro="" textlink="">
          <xdr:nvSpPr>
            <xdr:cNvPr id="39" name="CuadroTexto 17">
              <a:extLst>
                <a:ext uri="{FF2B5EF4-FFF2-40B4-BE49-F238E27FC236}">
                  <a16:creationId xmlns:a16="http://schemas.microsoft.com/office/drawing/2014/main" id="{00000000-0008-0000-0400-000027000000}"/>
                </a:ext>
              </a:extLst>
            </xdr:cNvPr>
            <xdr:cNvSpPr txBox="1"/>
          </xdr:nvSpPr>
          <xdr:spPr>
            <a:xfrm>
              <a:off x="44287018" y="21646622"/>
              <a:ext cx="1696357" cy="49892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noAutofit/>
            </a:bodyPr>
            <a:lstStyle/>
            <a:p>
              <a:r>
                <a:rPr lang="es-BO" sz="1100" b="0" i="1">
                  <a:latin typeface="+mn-lt"/>
                </a:rPr>
                <a:t>TITB</a:t>
              </a:r>
              <a14:m>
                <m:oMath xmlns:m="http://schemas.openxmlformats.org/officeDocument/2006/math">
                  <m:r>
                    <a:rPr lang="es-BO" sz="1100" b="0" i="1">
                      <a:latin typeface="Cambria Math" panose="02040503050406030204" pitchFamily="18" charset="0"/>
                    </a:rPr>
                    <m:t>=</m:t>
                  </m:r>
                  <m:f>
                    <m:fPr>
                      <m:ctrlPr>
                        <a:rPr lang="es-BO" sz="1100" b="0" i="1">
                          <a:latin typeface="Cambria Math" panose="02040503050406030204" pitchFamily="18" charset="0"/>
                        </a:rPr>
                      </m:ctrlPr>
                    </m:fPr>
                    <m:num>
                      <m:r>
                        <a:rPr lang="es-BO" sz="1100" b="0" i="1">
                          <a:latin typeface="Cambria Math" panose="02040503050406030204" pitchFamily="18" charset="0"/>
                        </a:rPr>
                        <m:t>𝑁𝐶𝑁𝑇𝐵</m:t>
                      </m:r>
                    </m:num>
                    <m:den>
                      <m:r>
                        <a:rPr lang="es-BO" sz="1100" b="0" i="1">
                          <a:latin typeface="Cambria Math" panose="02040503050406030204" pitchFamily="18" charset="0"/>
                        </a:rPr>
                        <m:t>𝑃𝑇</m:t>
                      </m:r>
                    </m:den>
                  </m:f>
                </m:oMath>
              </a14:m>
              <a:r>
                <a:rPr lang="es-BO" sz="1100" b="0" i="1"/>
                <a:t>x 100.000</a:t>
              </a:r>
            </a:p>
          </xdr:txBody>
        </xdr:sp>
      </mc:Choice>
      <mc:Fallback xmlns="">
        <xdr:sp macro="" textlink="">
          <xdr:nvSpPr>
            <xdr:cNvPr id="39" name="CuadroTexto 17"/>
            <xdr:cNvSpPr txBox="1"/>
          </xdr:nvSpPr>
          <xdr:spPr>
            <a:xfrm>
              <a:off x="44287018" y="21646622"/>
              <a:ext cx="1696357" cy="49892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noAutofit/>
            </a:bodyPr>
            <a:lstStyle/>
            <a:p>
              <a:r>
                <a:rPr lang="es-BO" sz="1100" b="0" i="1">
                  <a:latin typeface="+mn-lt"/>
                </a:rPr>
                <a:t>TITB</a:t>
              </a:r>
              <a:r>
                <a:rPr lang="es-BO" sz="1100" b="0" i="0">
                  <a:latin typeface="Cambria Math" panose="02040503050406030204" pitchFamily="18" charset="0"/>
                </a:rPr>
                <a:t>=𝑁𝐶𝑁𝑇𝐵/𝑃𝑇</a:t>
              </a:r>
              <a:r>
                <a:rPr lang="es-BO" sz="1100" b="0" i="1"/>
                <a:t>x 100.000</a:t>
              </a:r>
            </a:p>
          </xdr:txBody>
        </xdr:sp>
      </mc:Fallback>
    </mc:AlternateContent>
    <xdr:clientData/>
  </xdr:oneCellAnchor>
  <xdr:oneCellAnchor>
    <xdr:from>
      <xdr:col>42</xdr:col>
      <xdr:colOff>495300</xdr:colOff>
      <xdr:row>100</xdr:row>
      <xdr:rowOff>323850</xdr:rowOff>
    </xdr:from>
    <xdr:ext cx="1696357" cy="349250"/>
    <mc:AlternateContent xmlns:mc="http://schemas.openxmlformats.org/markup-compatibility/2006" xmlns:a14="http://schemas.microsoft.com/office/drawing/2010/main">
      <mc:Choice Requires="a14">
        <xdr:sp macro="" textlink="">
          <xdr:nvSpPr>
            <xdr:cNvPr id="40" name="CuadroTexto 18">
              <a:extLst>
                <a:ext uri="{FF2B5EF4-FFF2-40B4-BE49-F238E27FC236}">
                  <a16:creationId xmlns:a16="http://schemas.microsoft.com/office/drawing/2014/main" id="{00000000-0008-0000-0400-000028000000}"/>
                </a:ext>
              </a:extLst>
            </xdr:cNvPr>
            <xdr:cNvSpPr txBox="1"/>
          </xdr:nvSpPr>
          <xdr:spPr>
            <a:xfrm>
              <a:off x="44015025" y="25269825"/>
              <a:ext cx="1696357" cy="34925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noAutofit/>
            </a:bodyPr>
            <a:lstStyle/>
            <a:p>
              <a:r>
                <a:rPr lang="es-BO" sz="1100" b="0" i="1">
                  <a:latin typeface="+mn-lt"/>
                </a:rPr>
                <a:t>TIC</a:t>
              </a:r>
              <a14:m>
                <m:oMath xmlns:m="http://schemas.openxmlformats.org/officeDocument/2006/math">
                  <m:r>
                    <a:rPr lang="es-BO" sz="1100" b="0" i="1">
                      <a:latin typeface="Cambria Math" panose="02040503050406030204" pitchFamily="18" charset="0"/>
                    </a:rPr>
                    <m:t>=</m:t>
                  </m:r>
                  <m:f>
                    <m:fPr>
                      <m:ctrlPr>
                        <a:rPr lang="es-BO" sz="1100" b="0" i="1">
                          <a:latin typeface="Cambria Math" panose="02040503050406030204" pitchFamily="18" charset="0"/>
                        </a:rPr>
                      </m:ctrlPr>
                    </m:fPr>
                    <m:num>
                      <m:r>
                        <a:rPr lang="es-BO" sz="1100" b="0" i="1">
                          <a:latin typeface="Cambria Math" panose="02040503050406030204" pitchFamily="18" charset="0"/>
                        </a:rPr>
                        <m:t>𝑁𝑇𝐶𝑁𝐶𝑇𝐷</m:t>
                      </m:r>
                    </m:num>
                    <m:den>
                      <m:r>
                        <a:rPr lang="es-BO" sz="1100" b="0" i="1">
                          <a:latin typeface="Cambria Math" panose="02040503050406030204" pitchFamily="18" charset="0"/>
                        </a:rPr>
                        <m:t>𝑃𝑇</m:t>
                      </m:r>
                    </m:den>
                  </m:f>
                </m:oMath>
              </a14:m>
              <a:r>
                <a:rPr lang="es-BO" sz="1100" b="0" i="1"/>
                <a:t>x 1.000</a:t>
              </a:r>
            </a:p>
          </xdr:txBody>
        </xdr:sp>
      </mc:Choice>
      <mc:Fallback xmlns="">
        <xdr:sp macro="" textlink="">
          <xdr:nvSpPr>
            <xdr:cNvPr id="40" name="CuadroTexto 18"/>
            <xdr:cNvSpPr txBox="1"/>
          </xdr:nvSpPr>
          <xdr:spPr>
            <a:xfrm>
              <a:off x="44015025" y="25269825"/>
              <a:ext cx="1696357" cy="34925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noAutofit/>
            </a:bodyPr>
            <a:lstStyle/>
            <a:p>
              <a:r>
                <a:rPr lang="es-BO" sz="1100" b="0" i="1">
                  <a:latin typeface="+mn-lt"/>
                </a:rPr>
                <a:t>TIC</a:t>
              </a:r>
              <a:r>
                <a:rPr lang="es-BO" sz="1100" b="0" i="0">
                  <a:latin typeface="Cambria Math" panose="02040503050406030204" pitchFamily="18" charset="0"/>
                </a:rPr>
                <a:t>=𝑁𝑇𝐶𝑁𝐶𝑇𝐷/𝑃𝑇</a:t>
              </a:r>
              <a:r>
                <a:rPr lang="es-BO" sz="1100" b="0" i="1"/>
                <a:t>x 1.000</a:t>
              </a:r>
            </a:p>
          </xdr:txBody>
        </xdr:sp>
      </mc:Fallback>
    </mc:AlternateContent>
    <xdr:clientData/>
  </xdr:oneCellAnchor>
  <xdr:oneCellAnchor>
    <xdr:from>
      <xdr:col>42</xdr:col>
      <xdr:colOff>495300</xdr:colOff>
      <xdr:row>102</xdr:row>
      <xdr:rowOff>415192</xdr:rowOff>
    </xdr:from>
    <xdr:ext cx="1938866" cy="257908"/>
    <mc:AlternateContent xmlns:mc="http://schemas.openxmlformats.org/markup-compatibility/2006" xmlns:a14="http://schemas.microsoft.com/office/drawing/2010/main">
      <mc:Choice Requires="a14">
        <xdr:sp macro="" textlink="">
          <xdr:nvSpPr>
            <xdr:cNvPr id="41" name="CuadroTexto 18">
              <a:extLst>
                <a:ext uri="{FF2B5EF4-FFF2-40B4-BE49-F238E27FC236}">
                  <a16:creationId xmlns:a16="http://schemas.microsoft.com/office/drawing/2014/main" id="{00000000-0008-0000-0400-000029000000}"/>
                </a:ext>
              </a:extLst>
            </xdr:cNvPr>
            <xdr:cNvSpPr txBox="1"/>
          </xdr:nvSpPr>
          <xdr:spPr>
            <a:xfrm>
              <a:off x="44015025" y="27628117"/>
              <a:ext cx="1938866" cy="25790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noAutofit/>
            </a:bodyPr>
            <a:lstStyle/>
            <a:p>
              <a:r>
                <a:rPr lang="es-BO" sz="1100" b="0" i="1">
                  <a:latin typeface="+mn-lt"/>
                </a:rPr>
                <a:t>TIHA</a:t>
              </a:r>
              <a14:m>
                <m:oMath xmlns:m="http://schemas.openxmlformats.org/officeDocument/2006/math">
                  <m:r>
                    <a:rPr lang="es-BO" sz="1100" b="0" i="1">
                      <a:latin typeface="Cambria Math" panose="02040503050406030204" pitchFamily="18" charset="0"/>
                    </a:rPr>
                    <m:t>=</m:t>
                  </m:r>
                  <m:f>
                    <m:fPr>
                      <m:ctrlPr>
                        <a:rPr lang="es-BO" sz="1100" b="0" i="1">
                          <a:latin typeface="Cambria Math" panose="02040503050406030204" pitchFamily="18" charset="0"/>
                        </a:rPr>
                      </m:ctrlPr>
                    </m:fPr>
                    <m:num>
                      <m:r>
                        <a:rPr lang="es-BO" sz="1100" b="0" i="1">
                          <a:latin typeface="Cambria Math" panose="02040503050406030204" pitchFamily="18" charset="0"/>
                        </a:rPr>
                        <m:t>𝑁𝑇𝐶𝑁</m:t>
                      </m:r>
                      <m:r>
                        <a:rPr lang="es-ES" sz="1100" b="0" i="1">
                          <a:latin typeface="Cambria Math"/>
                        </a:rPr>
                        <m:t>𝑑</m:t>
                      </m:r>
                      <m:r>
                        <a:rPr lang="es-BO" sz="1100" b="0" i="1">
                          <a:latin typeface="Cambria Math" panose="02040503050406030204" pitchFamily="18" charset="0"/>
                        </a:rPr>
                        <m:t>𝐻𝐴</m:t>
                      </m:r>
                    </m:num>
                    <m:den>
                      <m:r>
                        <a:rPr lang="es-BO" sz="1100" b="0" i="1">
                          <a:latin typeface="Cambria Math" panose="02040503050406030204" pitchFamily="18" charset="0"/>
                        </a:rPr>
                        <m:t>𝑃𝑇</m:t>
                      </m:r>
                    </m:den>
                  </m:f>
                </m:oMath>
              </a14:m>
              <a:r>
                <a:rPr lang="es-BO" sz="1100" b="0" i="1"/>
                <a:t>x 100.000</a:t>
              </a:r>
            </a:p>
          </xdr:txBody>
        </xdr:sp>
      </mc:Choice>
      <mc:Fallback xmlns="">
        <xdr:sp macro="" textlink="">
          <xdr:nvSpPr>
            <xdr:cNvPr id="41" name="CuadroTexto 18"/>
            <xdr:cNvSpPr txBox="1"/>
          </xdr:nvSpPr>
          <xdr:spPr>
            <a:xfrm>
              <a:off x="44015025" y="27628117"/>
              <a:ext cx="1938866" cy="25790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noAutofit/>
            </a:bodyPr>
            <a:lstStyle/>
            <a:p>
              <a:r>
                <a:rPr lang="es-BO" sz="1100" b="0" i="1">
                  <a:latin typeface="+mn-lt"/>
                </a:rPr>
                <a:t>TIHA</a:t>
              </a:r>
              <a:r>
                <a:rPr lang="es-BO" sz="1100" b="0" i="0">
                  <a:latin typeface="Cambria Math" panose="02040503050406030204" pitchFamily="18" charset="0"/>
                </a:rPr>
                <a:t>=𝑁𝑇𝐶𝑁</a:t>
              </a:r>
              <a:r>
                <a:rPr lang="es-ES" sz="1100" b="0" i="0">
                  <a:latin typeface="Cambria Math"/>
                </a:rPr>
                <a:t>𝑑</a:t>
              </a:r>
              <a:r>
                <a:rPr lang="es-BO" sz="1100" b="0" i="0">
                  <a:latin typeface="Cambria Math" panose="02040503050406030204" pitchFamily="18" charset="0"/>
                </a:rPr>
                <a:t>𝐻𝐴/𝑃𝑇</a:t>
              </a:r>
              <a:r>
                <a:rPr lang="es-BO" sz="1100" b="0" i="1"/>
                <a:t>x 100.000</a:t>
              </a:r>
            </a:p>
          </xdr:txBody>
        </xdr:sp>
      </mc:Fallback>
    </mc:AlternateContent>
    <xdr:clientData/>
  </xdr:oneCellAnchor>
  <xdr:oneCellAnchor>
    <xdr:from>
      <xdr:col>42</xdr:col>
      <xdr:colOff>722923</xdr:colOff>
      <xdr:row>104</xdr:row>
      <xdr:rowOff>297962</xdr:rowOff>
    </xdr:from>
    <xdr:ext cx="1696357" cy="257908"/>
    <mc:AlternateContent xmlns:mc="http://schemas.openxmlformats.org/markup-compatibility/2006" xmlns:a14="http://schemas.microsoft.com/office/drawing/2010/main">
      <mc:Choice Requires="a14">
        <xdr:sp macro="" textlink="">
          <xdr:nvSpPr>
            <xdr:cNvPr id="42" name="CuadroTexto 18">
              <a:extLst>
                <a:ext uri="{FF2B5EF4-FFF2-40B4-BE49-F238E27FC236}">
                  <a16:creationId xmlns:a16="http://schemas.microsoft.com/office/drawing/2014/main" id="{00000000-0008-0000-0400-00002A000000}"/>
                </a:ext>
              </a:extLst>
            </xdr:cNvPr>
            <xdr:cNvSpPr txBox="1"/>
          </xdr:nvSpPr>
          <xdr:spPr>
            <a:xfrm>
              <a:off x="44242648" y="29777837"/>
              <a:ext cx="1696357" cy="25790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noAutofit/>
            </a:bodyPr>
            <a:lstStyle/>
            <a:p>
              <a:r>
                <a:rPr lang="es-BO" sz="1100" b="0" i="1">
                  <a:latin typeface="+mn-lt"/>
                </a:rPr>
                <a:t>TID</a:t>
              </a:r>
              <a14:m>
                <m:oMath xmlns:m="http://schemas.openxmlformats.org/officeDocument/2006/math">
                  <m:r>
                    <a:rPr lang="es-BO" sz="1100" b="0" i="1">
                      <a:latin typeface="Cambria Math" panose="02040503050406030204" pitchFamily="18" charset="0"/>
                    </a:rPr>
                    <m:t>=</m:t>
                  </m:r>
                  <m:f>
                    <m:fPr>
                      <m:ctrlPr>
                        <a:rPr lang="es-BO" sz="1100" b="0" i="1">
                          <a:latin typeface="Cambria Math" panose="02040503050406030204" pitchFamily="18" charset="0"/>
                        </a:rPr>
                      </m:ctrlPr>
                    </m:fPr>
                    <m:num>
                      <m:r>
                        <a:rPr lang="es-BO" sz="1100" b="0" i="1">
                          <a:latin typeface="Cambria Math" panose="02040503050406030204" pitchFamily="18" charset="0"/>
                        </a:rPr>
                        <m:t>𝑁𝑇𝐶𝑁</m:t>
                      </m:r>
                      <m:r>
                        <a:rPr lang="es-ES" sz="1100" b="0" i="1">
                          <a:latin typeface="Cambria Math"/>
                        </a:rPr>
                        <m:t>𝑑</m:t>
                      </m:r>
                      <m:r>
                        <a:rPr lang="es-BO" sz="1100" b="0" i="1">
                          <a:latin typeface="Cambria Math" panose="02040503050406030204" pitchFamily="18" charset="0"/>
                        </a:rPr>
                        <m:t>𝐷</m:t>
                      </m:r>
                    </m:num>
                    <m:den>
                      <m:r>
                        <a:rPr lang="es-BO" sz="1100" b="0" i="1">
                          <a:latin typeface="Cambria Math" panose="02040503050406030204" pitchFamily="18" charset="0"/>
                        </a:rPr>
                        <m:t>𝑃𝑇</m:t>
                      </m:r>
                    </m:den>
                  </m:f>
                </m:oMath>
              </a14:m>
              <a:r>
                <a:rPr lang="es-BO" sz="1100" b="0" i="1"/>
                <a:t>x 100.000</a:t>
              </a:r>
            </a:p>
          </xdr:txBody>
        </xdr:sp>
      </mc:Choice>
      <mc:Fallback xmlns="">
        <xdr:sp macro="" textlink="">
          <xdr:nvSpPr>
            <xdr:cNvPr id="42" name="CuadroTexto 18"/>
            <xdr:cNvSpPr txBox="1"/>
          </xdr:nvSpPr>
          <xdr:spPr>
            <a:xfrm>
              <a:off x="44242648" y="29777837"/>
              <a:ext cx="1696357" cy="25790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noAutofit/>
            </a:bodyPr>
            <a:lstStyle/>
            <a:p>
              <a:r>
                <a:rPr lang="es-BO" sz="1100" b="0" i="1">
                  <a:latin typeface="+mn-lt"/>
                </a:rPr>
                <a:t>TID</a:t>
              </a:r>
              <a:r>
                <a:rPr lang="es-BO" sz="1100" b="0" i="0">
                  <a:latin typeface="Cambria Math" panose="02040503050406030204" pitchFamily="18" charset="0"/>
                </a:rPr>
                <a:t>=𝑁𝑇𝐶𝑁</a:t>
              </a:r>
              <a:r>
                <a:rPr lang="es-ES" sz="1100" b="0" i="0">
                  <a:latin typeface="Cambria Math"/>
                </a:rPr>
                <a:t>𝑑</a:t>
              </a:r>
              <a:r>
                <a:rPr lang="es-BO" sz="1100" b="0" i="0">
                  <a:latin typeface="Cambria Math" panose="02040503050406030204" pitchFamily="18" charset="0"/>
                </a:rPr>
                <a:t>𝐷/𝑃𝑇</a:t>
              </a:r>
              <a:r>
                <a:rPr lang="es-BO" sz="1100" b="0" i="1"/>
                <a:t>x 100.000</a:t>
              </a:r>
            </a:p>
          </xdr:txBody>
        </xdr:sp>
      </mc:Fallback>
    </mc:AlternateContent>
    <xdr:clientData/>
  </xdr:oneCellAnchor>
  <xdr:oneCellAnchor>
    <xdr:from>
      <xdr:col>42</xdr:col>
      <xdr:colOff>511969</xdr:colOff>
      <xdr:row>111</xdr:row>
      <xdr:rowOff>506676</xdr:rowOff>
    </xdr:from>
    <xdr:ext cx="1696357" cy="498929"/>
    <mc:AlternateContent xmlns:mc="http://schemas.openxmlformats.org/markup-compatibility/2006" xmlns:a14="http://schemas.microsoft.com/office/drawing/2010/main">
      <mc:Choice Requires="a14">
        <xdr:sp macro="" textlink="">
          <xdr:nvSpPr>
            <xdr:cNvPr id="43" name="CuadroTexto 20">
              <a:extLst>
                <a:ext uri="{FF2B5EF4-FFF2-40B4-BE49-F238E27FC236}">
                  <a16:creationId xmlns:a16="http://schemas.microsoft.com/office/drawing/2014/main" id="{00000000-0008-0000-0400-00002B000000}"/>
                </a:ext>
              </a:extLst>
            </xdr:cNvPr>
            <xdr:cNvSpPr txBox="1"/>
          </xdr:nvSpPr>
          <xdr:spPr>
            <a:xfrm>
              <a:off x="44031694" y="35977776"/>
              <a:ext cx="1696357" cy="49892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noAutofit/>
            </a:bodyPr>
            <a:lstStyle/>
            <a:p>
              <a14:m>
                <m:oMath xmlns:m="http://schemas.openxmlformats.org/officeDocument/2006/math">
                  <m:r>
                    <a:rPr lang="es-ES" sz="1100" b="0" i="1">
                      <a:latin typeface="Cambria Math"/>
                    </a:rPr>
                    <m:t>𝐸𝐹</m:t>
                  </m:r>
                  <m:r>
                    <a:rPr lang="es-ES" sz="1100" b="0" i="1">
                      <a:latin typeface="Cambria Math" panose="02040503050406030204" pitchFamily="18" charset="0"/>
                    </a:rPr>
                    <m:t>𝐶𝑁</m:t>
                  </m:r>
                  <m:r>
                    <a:rPr lang="es-BO" sz="1100" b="0" i="1">
                      <a:latin typeface="Cambria Math" panose="02040503050406030204" pitchFamily="18" charset="0"/>
                    </a:rPr>
                    <m:t>=</m:t>
                  </m:r>
                  <m:f>
                    <m:fPr>
                      <m:ctrlPr>
                        <a:rPr lang="es-BO" sz="1100" b="0" i="1">
                          <a:latin typeface="Cambria Math" panose="02040503050406030204" pitchFamily="18" charset="0"/>
                        </a:rPr>
                      </m:ctrlPr>
                    </m:fPr>
                    <m:num>
                      <m:r>
                        <a:rPr lang="es-ES" sz="1100" b="0" i="1">
                          <a:latin typeface="Cambria Math" panose="02040503050406030204" pitchFamily="18" charset="0"/>
                        </a:rPr>
                        <m:t>𝑃𝐸𝐶𝑁</m:t>
                      </m:r>
                    </m:num>
                    <m:den>
                      <m:r>
                        <a:rPr lang="es-BO" sz="1100" b="0" i="1">
                          <a:latin typeface="Cambria Math" panose="02040503050406030204" pitchFamily="18" charset="0"/>
                        </a:rPr>
                        <m:t>𝑃𝑃</m:t>
                      </m:r>
                      <m:r>
                        <a:rPr lang="es-ES" sz="1100" b="0" i="1">
                          <a:latin typeface="Cambria Math" panose="02040503050406030204" pitchFamily="18" charset="0"/>
                        </a:rPr>
                        <m:t>𝐶𝑁</m:t>
                      </m:r>
                    </m:den>
                  </m:f>
                </m:oMath>
              </a14:m>
              <a:r>
                <a:rPr lang="es-BO" sz="1100" b="0" i="1"/>
                <a:t>x100</a:t>
              </a:r>
            </a:p>
          </xdr:txBody>
        </xdr:sp>
      </mc:Choice>
      <mc:Fallback xmlns="">
        <xdr:sp macro="" textlink="">
          <xdr:nvSpPr>
            <xdr:cNvPr id="43" name="CuadroTexto 20"/>
            <xdr:cNvSpPr txBox="1"/>
          </xdr:nvSpPr>
          <xdr:spPr>
            <a:xfrm>
              <a:off x="44031694" y="35977776"/>
              <a:ext cx="1696357" cy="49892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noAutofit/>
            </a:bodyPr>
            <a:lstStyle/>
            <a:p>
              <a:r>
                <a:rPr lang="es-ES" sz="1100" b="0" i="0">
                  <a:latin typeface="Cambria Math"/>
                </a:rPr>
                <a:t>𝐸𝐹</a:t>
              </a:r>
              <a:r>
                <a:rPr lang="es-ES" sz="1100" b="0" i="0">
                  <a:latin typeface="Cambria Math" panose="02040503050406030204" pitchFamily="18" charset="0"/>
                </a:rPr>
                <a:t>𝐶𝑁</a:t>
              </a:r>
              <a:r>
                <a:rPr lang="es-BO" sz="1100" b="0" i="0">
                  <a:latin typeface="Cambria Math" panose="02040503050406030204" pitchFamily="18" charset="0"/>
                </a:rPr>
                <a:t>=</a:t>
              </a:r>
              <a:r>
                <a:rPr lang="es-ES" sz="1100" b="0" i="0">
                  <a:latin typeface="Cambria Math" panose="02040503050406030204" pitchFamily="18" charset="0"/>
                </a:rPr>
                <a:t>𝑃𝐸𝐶𝑁</a:t>
              </a:r>
              <a:r>
                <a:rPr lang="es-BO" sz="1100" b="0" i="0">
                  <a:latin typeface="Cambria Math" panose="02040503050406030204" pitchFamily="18" charset="0"/>
                </a:rPr>
                <a:t>/𝑃𝑃</a:t>
              </a:r>
              <a:r>
                <a:rPr lang="es-ES" sz="1100" b="0" i="0">
                  <a:latin typeface="Cambria Math" panose="02040503050406030204" pitchFamily="18" charset="0"/>
                </a:rPr>
                <a:t>𝐶𝑁</a:t>
              </a:r>
              <a:r>
                <a:rPr lang="es-BO" sz="1100" b="0" i="1"/>
                <a:t>x100</a:t>
              </a:r>
            </a:p>
          </xdr:txBody>
        </xdr:sp>
      </mc:Fallback>
    </mc:AlternateContent>
    <xdr:clientData/>
  </xdr:oneCellAnchor>
  <xdr:oneCellAnchor>
    <xdr:from>
      <xdr:col>42</xdr:col>
      <xdr:colOff>511969</xdr:colOff>
      <xdr:row>113</xdr:row>
      <xdr:rowOff>506676</xdr:rowOff>
    </xdr:from>
    <xdr:ext cx="1696357" cy="498929"/>
    <mc:AlternateContent xmlns:mc="http://schemas.openxmlformats.org/markup-compatibility/2006" xmlns:a14="http://schemas.microsoft.com/office/drawing/2010/main">
      <mc:Choice Requires="a14">
        <xdr:sp macro="" textlink="">
          <xdr:nvSpPr>
            <xdr:cNvPr id="44" name="CuadroTexto 20">
              <a:extLst>
                <a:ext uri="{FF2B5EF4-FFF2-40B4-BE49-F238E27FC236}">
                  <a16:creationId xmlns:a16="http://schemas.microsoft.com/office/drawing/2014/main" id="{00000000-0008-0000-0400-00002C000000}"/>
                </a:ext>
              </a:extLst>
            </xdr:cNvPr>
            <xdr:cNvSpPr txBox="1"/>
          </xdr:nvSpPr>
          <xdr:spPr>
            <a:xfrm>
              <a:off x="44031694" y="39349626"/>
              <a:ext cx="1696357" cy="49892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noAutofit/>
            </a:bodyPr>
            <a:lstStyle/>
            <a:p>
              <a14:m>
                <m:oMath xmlns:m="http://schemas.openxmlformats.org/officeDocument/2006/math">
                  <m:r>
                    <a:rPr lang="es-ES" sz="1100" b="0" i="1">
                      <a:latin typeface="Cambria Math"/>
                    </a:rPr>
                    <m:t>𝐸𝐹</m:t>
                  </m:r>
                  <m:r>
                    <a:rPr lang="es-ES" sz="1100" b="0" i="1">
                      <a:latin typeface="Cambria Math" panose="02040503050406030204" pitchFamily="18" charset="0"/>
                    </a:rPr>
                    <m:t>𝑇𝑁</m:t>
                  </m:r>
                  <m:r>
                    <a:rPr lang="es-BO" sz="1100" b="0" i="1">
                      <a:latin typeface="Cambria Math" panose="02040503050406030204" pitchFamily="18" charset="0"/>
                    </a:rPr>
                    <m:t>=</m:t>
                  </m:r>
                  <m:f>
                    <m:fPr>
                      <m:ctrlPr>
                        <a:rPr lang="es-BO" sz="1100" b="0" i="1">
                          <a:latin typeface="Cambria Math" panose="02040503050406030204" pitchFamily="18" charset="0"/>
                        </a:rPr>
                      </m:ctrlPr>
                    </m:fPr>
                    <m:num>
                      <m:r>
                        <a:rPr lang="es-ES" sz="1100" b="0" i="1">
                          <a:latin typeface="Cambria Math" panose="02040503050406030204" pitchFamily="18" charset="0"/>
                        </a:rPr>
                        <m:t>𝑃𝐸𝑇𝑁</m:t>
                      </m:r>
                    </m:num>
                    <m:den>
                      <m:r>
                        <a:rPr lang="es-BO" sz="1100" b="0" i="1">
                          <a:latin typeface="Cambria Math" panose="02040503050406030204" pitchFamily="18" charset="0"/>
                        </a:rPr>
                        <m:t>𝑃𝑃</m:t>
                      </m:r>
                      <m:r>
                        <a:rPr lang="es-ES" sz="1100" b="0" i="1">
                          <a:latin typeface="Cambria Math" panose="02040503050406030204" pitchFamily="18" charset="0"/>
                        </a:rPr>
                        <m:t>𝑇𝑁</m:t>
                      </m:r>
                    </m:den>
                  </m:f>
                </m:oMath>
              </a14:m>
              <a:r>
                <a:rPr lang="es-BO" sz="1100" b="0" i="1"/>
                <a:t>x100</a:t>
              </a:r>
            </a:p>
          </xdr:txBody>
        </xdr:sp>
      </mc:Choice>
      <mc:Fallback xmlns="">
        <xdr:sp macro="" textlink="">
          <xdr:nvSpPr>
            <xdr:cNvPr id="44" name="CuadroTexto 20"/>
            <xdr:cNvSpPr txBox="1"/>
          </xdr:nvSpPr>
          <xdr:spPr>
            <a:xfrm>
              <a:off x="44031694" y="39349626"/>
              <a:ext cx="1696357" cy="49892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noAutofit/>
            </a:bodyPr>
            <a:lstStyle/>
            <a:p>
              <a:r>
                <a:rPr lang="es-ES" sz="1100" b="0" i="0">
                  <a:latin typeface="Cambria Math"/>
                </a:rPr>
                <a:t>𝐸𝐹</a:t>
              </a:r>
              <a:r>
                <a:rPr lang="es-ES" sz="1100" b="0" i="0">
                  <a:latin typeface="Cambria Math" panose="02040503050406030204" pitchFamily="18" charset="0"/>
                </a:rPr>
                <a:t>𝑇𝑁</a:t>
              </a:r>
              <a:r>
                <a:rPr lang="es-BO" sz="1100" b="0" i="0">
                  <a:latin typeface="Cambria Math" panose="02040503050406030204" pitchFamily="18" charset="0"/>
                </a:rPr>
                <a:t>=</a:t>
              </a:r>
              <a:r>
                <a:rPr lang="es-ES" sz="1100" b="0" i="0">
                  <a:latin typeface="Cambria Math" panose="02040503050406030204" pitchFamily="18" charset="0"/>
                </a:rPr>
                <a:t>𝑃𝐸𝑇𝑁</a:t>
              </a:r>
              <a:r>
                <a:rPr lang="es-BO" sz="1100" b="0" i="0">
                  <a:latin typeface="Cambria Math" panose="02040503050406030204" pitchFamily="18" charset="0"/>
                </a:rPr>
                <a:t>/𝑃𝑃</a:t>
              </a:r>
              <a:r>
                <a:rPr lang="es-ES" sz="1100" b="0" i="0">
                  <a:latin typeface="Cambria Math" panose="02040503050406030204" pitchFamily="18" charset="0"/>
                </a:rPr>
                <a:t>𝑇𝑁</a:t>
              </a:r>
              <a:r>
                <a:rPr lang="es-BO" sz="1100" b="0" i="1"/>
                <a:t>x100</a:t>
              </a:r>
            </a:p>
          </xdr:txBody>
        </xdr:sp>
      </mc:Fallback>
    </mc:AlternateContent>
    <xdr:clientData/>
  </xdr:oneCellAnchor>
  <xdr:oneCellAnchor>
    <xdr:from>
      <xdr:col>42</xdr:col>
      <xdr:colOff>511969</xdr:colOff>
      <xdr:row>115</xdr:row>
      <xdr:rowOff>506676</xdr:rowOff>
    </xdr:from>
    <xdr:ext cx="1696357" cy="498929"/>
    <mc:AlternateContent xmlns:mc="http://schemas.openxmlformats.org/markup-compatibility/2006" xmlns:a14="http://schemas.microsoft.com/office/drawing/2010/main">
      <mc:Choice Requires="a14">
        <xdr:sp macro="" textlink="">
          <xdr:nvSpPr>
            <xdr:cNvPr id="45" name="CuadroTexto 20">
              <a:extLst>
                <a:ext uri="{FF2B5EF4-FFF2-40B4-BE49-F238E27FC236}">
                  <a16:creationId xmlns:a16="http://schemas.microsoft.com/office/drawing/2014/main" id="{00000000-0008-0000-0400-00002D000000}"/>
                </a:ext>
              </a:extLst>
            </xdr:cNvPr>
            <xdr:cNvSpPr txBox="1"/>
          </xdr:nvSpPr>
          <xdr:spPr>
            <a:xfrm>
              <a:off x="44031694" y="42721476"/>
              <a:ext cx="1696357" cy="49892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noAutofit/>
            </a:bodyPr>
            <a:lstStyle/>
            <a:p>
              <a14:m>
                <m:oMath xmlns:m="http://schemas.openxmlformats.org/officeDocument/2006/math">
                  <m:r>
                    <a:rPr lang="es-ES" sz="1100" b="0" i="1">
                      <a:latin typeface="Cambria Math"/>
                    </a:rPr>
                    <m:t>𝐸𝐹</m:t>
                  </m:r>
                  <m:r>
                    <a:rPr lang="es-MX" sz="1100" b="0" i="1">
                      <a:latin typeface="Cambria Math" panose="02040503050406030204" pitchFamily="18" charset="0"/>
                    </a:rPr>
                    <m:t>𝑆</m:t>
                  </m:r>
                  <m:r>
                    <a:rPr lang="es-ES" sz="1100" b="0" i="1">
                      <a:latin typeface="Cambria Math" panose="02040503050406030204" pitchFamily="18" charset="0"/>
                    </a:rPr>
                    <m:t>𝑁</m:t>
                  </m:r>
                  <m:r>
                    <a:rPr lang="es-BO" sz="1100" b="0" i="1">
                      <a:latin typeface="Cambria Math" panose="02040503050406030204" pitchFamily="18" charset="0"/>
                    </a:rPr>
                    <m:t>=</m:t>
                  </m:r>
                  <m:f>
                    <m:fPr>
                      <m:ctrlPr>
                        <a:rPr lang="es-BO" sz="1100" b="0" i="1">
                          <a:latin typeface="Cambria Math" panose="02040503050406030204" pitchFamily="18" charset="0"/>
                        </a:rPr>
                      </m:ctrlPr>
                    </m:fPr>
                    <m:num>
                      <m:r>
                        <a:rPr lang="es-ES" sz="1100" b="0" i="1">
                          <a:latin typeface="Cambria Math" panose="02040503050406030204" pitchFamily="18" charset="0"/>
                        </a:rPr>
                        <m:t>𝑃𝐸</m:t>
                      </m:r>
                      <m:r>
                        <a:rPr lang="es-MX" sz="1100" b="0" i="1">
                          <a:latin typeface="Cambria Math" panose="02040503050406030204" pitchFamily="18" charset="0"/>
                        </a:rPr>
                        <m:t>𝑆</m:t>
                      </m:r>
                      <m:r>
                        <a:rPr lang="es-ES" sz="1100" b="0" i="1">
                          <a:latin typeface="Cambria Math" panose="02040503050406030204" pitchFamily="18" charset="0"/>
                        </a:rPr>
                        <m:t>𝑁</m:t>
                      </m:r>
                    </m:num>
                    <m:den>
                      <m:r>
                        <a:rPr lang="es-BO" sz="1100" b="0" i="1">
                          <a:latin typeface="Cambria Math" panose="02040503050406030204" pitchFamily="18" charset="0"/>
                        </a:rPr>
                        <m:t>𝑃𝑃</m:t>
                      </m:r>
                      <m:r>
                        <a:rPr lang="es-MX" sz="1100" b="0" i="1">
                          <a:latin typeface="Cambria Math" panose="02040503050406030204" pitchFamily="18" charset="0"/>
                        </a:rPr>
                        <m:t>𝑆</m:t>
                      </m:r>
                      <m:r>
                        <a:rPr lang="es-ES" sz="1100" b="0" i="1">
                          <a:latin typeface="Cambria Math" panose="02040503050406030204" pitchFamily="18" charset="0"/>
                        </a:rPr>
                        <m:t>𝑁</m:t>
                      </m:r>
                    </m:den>
                  </m:f>
                </m:oMath>
              </a14:m>
              <a:r>
                <a:rPr lang="es-BO" sz="1100" b="0" i="1"/>
                <a:t>x100</a:t>
              </a:r>
            </a:p>
          </xdr:txBody>
        </xdr:sp>
      </mc:Choice>
      <mc:Fallback xmlns="">
        <xdr:sp macro="" textlink="">
          <xdr:nvSpPr>
            <xdr:cNvPr id="45" name="CuadroTexto 20"/>
            <xdr:cNvSpPr txBox="1"/>
          </xdr:nvSpPr>
          <xdr:spPr>
            <a:xfrm>
              <a:off x="44031694" y="42721476"/>
              <a:ext cx="1696357" cy="49892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noAutofit/>
            </a:bodyPr>
            <a:lstStyle/>
            <a:p>
              <a:r>
                <a:rPr lang="es-ES" sz="1100" b="0" i="0">
                  <a:latin typeface="Cambria Math"/>
                </a:rPr>
                <a:t>𝐸𝐹</a:t>
              </a:r>
              <a:r>
                <a:rPr lang="es-MX" sz="1100" b="0" i="0">
                  <a:latin typeface="Cambria Math" panose="02040503050406030204" pitchFamily="18" charset="0"/>
                </a:rPr>
                <a:t>𝑆</a:t>
              </a:r>
              <a:r>
                <a:rPr lang="es-ES" sz="1100" b="0" i="0">
                  <a:latin typeface="Cambria Math" panose="02040503050406030204" pitchFamily="18" charset="0"/>
                </a:rPr>
                <a:t>𝑁</a:t>
              </a:r>
              <a:r>
                <a:rPr lang="es-BO" sz="1100" b="0" i="0">
                  <a:latin typeface="Cambria Math" panose="02040503050406030204" pitchFamily="18" charset="0"/>
                </a:rPr>
                <a:t>=</a:t>
              </a:r>
              <a:r>
                <a:rPr lang="es-ES" sz="1100" b="0" i="0">
                  <a:latin typeface="Cambria Math" panose="02040503050406030204" pitchFamily="18" charset="0"/>
                </a:rPr>
                <a:t>𝑃𝐸</a:t>
              </a:r>
              <a:r>
                <a:rPr lang="es-MX" sz="1100" b="0" i="0">
                  <a:latin typeface="Cambria Math" panose="02040503050406030204" pitchFamily="18" charset="0"/>
                </a:rPr>
                <a:t>𝑆</a:t>
              </a:r>
              <a:r>
                <a:rPr lang="es-ES" sz="1100" b="0" i="0">
                  <a:latin typeface="Cambria Math" panose="02040503050406030204" pitchFamily="18" charset="0"/>
                </a:rPr>
                <a:t>𝑁</a:t>
              </a:r>
              <a:r>
                <a:rPr lang="es-BO" sz="1100" b="0" i="0">
                  <a:latin typeface="Cambria Math" panose="02040503050406030204" pitchFamily="18" charset="0"/>
                </a:rPr>
                <a:t>/𝑃𝑃</a:t>
              </a:r>
              <a:r>
                <a:rPr lang="es-MX" sz="1100" b="0" i="0">
                  <a:latin typeface="Cambria Math" panose="02040503050406030204" pitchFamily="18" charset="0"/>
                </a:rPr>
                <a:t>𝑆</a:t>
              </a:r>
              <a:r>
                <a:rPr lang="es-ES" sz="1100" b="0" i="0">
                  <a:latin typeface="Cambria Math" panose="02040503050406030204" pitchFamily="18" charset="0"/>
                </a:rPr>
                <a:t>𝑁</a:t>
              </a:r>
              <a:r>
                <a:rPr lang="es-BO" sz="1100" b="0" i="1"/>
                <a:t>x100</a:t>
              </a:r>
            </a:p>
          </xdr:txBody>
        </xdr:sp>
      </mc:Fallback>
    </mc:AlternateContent>
    <xdr:clientData/>
  </xdr:oneCellAnchor>
  <xdr:oneCellAnchor>
    <xdr:from>
      <xdr:col>42</xdr:col>
      <xdr:colOff>571501</xdr:colOff>
      <xdr:row>118</xdr:row>
      <xdr:rowOff>510886</xdr:rowOff>
    </xdr:from>
    <xdr:ext cx="1532660" cy="498929"/>
    <mc:AlternateContent xmlns:mc="http://schemas.openxmlformats.org/markup-compatibility/2006" xmlns:a14="http://schemas.microsoft.com/office/drawing/2010/main">
      <mc:Choice Requires="a14">
        <xdr:sp macro="" textlink="">
          <xdr:nvSpPr>
            <xdr:cNvPr id="46" name="CuadroTexto 20">
              <a:extLst>
                <a:ext uri="{FF2B5EF4-FFF2-40B4-BE49-F238E27FC236}">
                  <a16:creationId xmlns:a16="http://schemas.microsoft.com/office/drawing/2014/main" id="{00000000-0008-0000-0400-00002E000000}"/>
                </a:ext>
              </a:extLst>
            </xdr:cNvPr>
            <xdr:cNvSpPr txBox="1"/>
          </xdr:nvSpPr>
          <xdr:spPr>
            <a:xfrm>
              <a:off x="44091226" y="48231136"/>
              <a:ext cx="1532660" cy="49892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noAutofit/>
            </a:bodyPr>
            <a:lstStyle/>
            <a:p>
              <a:r>
                <a:rPr lang="es-BO" sz="1100" b="0" i="1">
                  <a:latin typeface="+mn-lt"/>
                </a:rPr>
                <a:t>DR</a:t>
              </a:r>
              <a14:m>
                <m:oMath xmlns:m="http://schemas.openxmlformats.org/officeDocument/2006/math">
                  <m:r>
                    <a:rPr lang="es-MX" sz="1100" b="0" i="1">
                      <a:latin typeface="Cambria Math" panose="02040503050406030204" pitchFamily="18" charset="0"/>
                    </a:rPr>
                    <m:t>𝐻</m:t>
                  </m:r>
                  <m:r>
                    <a:rPr lang="es-BO" sz="1100" b="0" i="1">
                      <a:latin typeface="Cambria Math" panose="02040503050406030204" pitchFamily="18" charset="0"/>
                    </a:rPr>
                    <m:t>=</m:t>
                  </m:r>
                  <m:f>
                    <m:fPr>
                      <m:ctrlPr>
                        <a:rPr lang="es-BO" sz="1100" b="0" i="1">
                          <a:latin typeface="Cambria Math" panose="02040503050406030204" pitchFamily="18" charset="0"/>
                        </a:rPr>
                      </m:ctrlPr>
                    </m:fPr>
                    <m:num>
                      <m:r>
                        <a:rPr lang="es-BO" sz="1100" b="0" i="1">
                          <a:latin typeface="Cambria Math" panose="02040503050406030204" pitchFamily="18" charset="0"/>
                        </a:rPr>
                        <m:t>𝑁</m:t>
                      </m:r>
                      <m:r>
                        <a:rPr lang="es-MX" sz="1100" b="0" i="1">
                          <a:latin typeface="Cambria Math" panose="02040503050406030204" pitchFamily="18" charset="0"/>
                        </a:rPr>
                        <m:t>𝑅𝐻</m:t>
                      </m:r>
                    </m:num>
                    <m:den>
                      <m:r>
                        <a:rPr lang="es-ES" sz="1100" b="0" i="1">
                          <a:latin typeface="Cambria Math"/>
                        </a:rPr>
                        <m:t>𝑃𝑇</m:t>
                      </m:r>
                    </m:den>
                  </m:f>
                </m:oMath>
              </a14:m>
              <a:r>
                <a:rPr lang="es-BO" sz="1100" b="0" i="1"/>
                <a:t>x10.000</a:t>
              </a:r>
            </a:p>
          </xdr:txBody>
        </xdr:sp>
      </mc:Choice>
      <mc:Fallback xmlns="">
        <xdr:sp macro="" textlink="">
          <xdr:nvSpPr>
            <xdr:cNvPr id="46" name="CuadroTexto 20"/>
            <xdr:cNvSpPr txBox="1"/>
          </xdr:nvSpPr>
          <xdr:spPr>
            <a:xfrm>
              <a:off x="44091226" y="48231136"/>
              <a:ext cx="1532660" cy="49892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noAutofit/>
            </a:bodyPr>
            <a:lstStyle/>
            <a:p>
              <a:r>
                <a:rPr lang="es-BO" sz="1100" b="0" i="1">
                  <a:latin typeface="+mn-lt"/>
                </a:rPr>
                <a:t>DR</a:t>
              </a:r>
              <a:r>
                <a:rPr lang="es-MX" sz="1100" b="0" i="0">
                  <a:latin typeface="Cambria Math" panose="02040503050406030204" pitchFamily="18" charset="0"/>
                </a:rPr>
                <a:t>𝐻</a:t>
              </a:r>
              <a:r>
                <a:rPr lang="es-BO" sz="1100" b="0" i="0">
                  <a:latin typeface="Cambria Math" panose="02040503050406030204" pitchFamily="18" charset="0"/>
                </a:rPr>
                <a:t>=𝑁</a:t>
              </a:r>
              <a:r>
                <a:rPr lang="es-MX" sz="1100" b="0" i="0">
                  <a:latin typeface="Cambria Math" panose="02040503050406030204" pitchFamily="18" charset="0"/>
                </a:rPr>
                <a:t>𝑅𝐻</a:t>
              </a:r>
              <a:r>
                <a:rPr lang="es-BO" sz="1100" b="0" i="0">
                  <a:latin typeface="Cambria Math" panose="02040503050406030204" pitchFamily="18" charset="0"/>
                </a:rPr>
                <a:t>/</a:t>
              </a:r>
              <a:r>
                <a:rPr lang="es-ES" sz="1100" b="0" i="0">
                  <a:latin typeface="Cambria Math"/>
                </a:rPr>
                <a:t>𝑃𝑇</a:t>
              </a:r>
              <a:r>
                <a:rPr lang="es-BO" sz="1100" b="0" i="1"/>
                <a:t>x10.000</a:t>
              </a:r>
            </a:p>
          </xdr:txBody>
        </xdr:sp>
      </mc:Fallback>
    </mc:AlternateContent>
    <xdr:clientData/>
  </xdr:oneCellAnchor>
  <xdr:oneCellAnchor>
    <xdr:from>
      <xdr:col>42</xdr:col>
      <xdr:colOff>571501</xdr:colOff>
      <xdr:row>119</xdr:row>
      <xdr:rowOff>510886</xdr:rowOff>
    </xdr:from>
    <xdr:ext cx="1532660" cy="498929"/>
    <mc:AlternateContent xmlns:mc="http://schemas.openxmlformats.org/markup-compatibility/2006" xmlns:a14="http://schemas.microsoft.com/office/drawing/2010/main">
      <mc:Choice Requires="a14">
        <xdr:sp macro="" textlink="">
          <xdr:nvSpPr>
            <xdr:cNvPr id="47" name="CuadroTexto 20">
              <a:extLst>
                <a:ext uri="{FF2B5EF4-FFF2-40B4-BE49-F238E27FC236}">
                  <a16:creationId xmlns:a16="http://schemas.microsoft.com/office/drawing/2014/main" id="{00000000-0008-0000-0400-00002F000000}"/>
                </a:ext>
              </a:extLst>
            </xdr:cNvPr>
            <xdr:cNvSpPr txBox="1"/>
          </xdr:nvSpPr>
          <xdr:spPr>
            <a:xfrm>
              <a:off x="44091226" y="49717036"/>
              <a:ext cx="1532660" cy="49892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noAutofit/>
            </a:bodyPr>
            <a:lstStyle/>
            <a:p>
              <a:r>
                <a:rPr lang="es-BO" sz="1100" b="0" i="1">
                  <a:latin typeface="+mn-lt"/>
                </a:rPr>
                <a:t>DR</a:t>
              </a:r>
              <a14:m>
                <m:oMath xmlns:m="http://schemas.openxmlformats.org/officeDocument/2006/math">
                  <m:r>
                    <a:rPr lang="es-MX" sz="1100" b="0" i="1">
                      <a:latin typeface="Cambria Math" panose="02040503050406030204" pitchFamily="18" charset="0"/>
                    </a:rPr>
                    <m:t>𝐻</m:t>
                  </m:r>
                  <m:r>
                    <a:rPr lang="es-BO" sz="1100" b="0" i="1">
                      <a:latin typeface="Cambria Math" panose="02040503050406030204" pitchFamily="18" charset="0"/>
                    </a:rPr>
                    <m:t>=</m:t>
                  </m:r>
                  <m:f>
                    <m:fPr>
                      <m:ctrlPr>
                        <a:rPr lang="es-BO" sz="1100" b="0" i="1">
                          <a:latin typeface="Cambria Math" panose="02040503050406030204" pitchFamily="18" charset="0"/>
                        </a:rPr>
                      </m:ctrlPr>
                    </m:fPr>
                    <m:num>
                      <m:r>
                        <a:rPr lang="es-BO" sz="1100" b="0" i="1">
                          <a:latin typeface="Cambria Math" panose="02040503050406030204" pitchFamily="18" charset="0"/>
                        </a:rPr>
                        <m:t>𝑁</m:t>
                      </m:r>
                      <m:r>
                        <a:rPr lang="es-MX" sz="1100" b="0" i="1">
                          <a:latin typeface="Cambria Math" panose="02040503050406030204" pitchFamily="18" charset="0"/>
                        </a:rPr>
                        <m:t>𝑅𝐻</m:t>
                      </m:r>
                    </m:num>
                    <m:den>
                      <m:r>
                        <a:rPr lang="es-ES" sz="1100" b="0" i="1">
                          <a:latin typeface="Cambria Math"/>
                        </a:rPr>
                        <m:t>𝑃𝑇</m:t>
                      </m:r>
                    </m:den>
                  </m:f>
                </m:oMath>
              </a14:m>
              <a:r>
                <a:rPr lang="es-BO" sz="1100" b="0" i="1"/>
                <a:t>x10.000</a:t>
              </a:r>
            </a:p>
          </xdr:txBody>
        </xdr:sp>
      </mc:Choice>
      <mc:Fallback xmlns="">
        <xdr:sp macro="" textlink="">
          <xdr:nvSpPr>
            <xdr:cNvPr id="47" name="CuadroTexto 20"/>
            <xdr:cNvSpPr txBox="1"/>
          </xdr:nvSpPr>
          <xdr:spPr>
            <a:xfrm>
              <a:off x="44091226" y="49717036"/>
              <a:ext cx="1532660" cy="49892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noAutofit/>
            </a:bodyPr>
            <a:lstStyle/>
            <a:p>
              <a:r>
                <a:rPr lang="es-BO" sz="1100" b="0" i="1">
                  <a:latin typeface="+mn-lt"/>
                </a:rPr>
                <a:t>DR</a:t>
              </a:r>
              <a:r>
                <a:rPr lang="es-MX" sz="1100" b="0" i="0">
                  <a:latin typeface="Cambria Math" panose="02040503050406030204" pitchFamily="18" charset="0"/>
                </a:rPr>
                <a:t>𝐻</a:t>
              </a:r>
              <a:r>
                <a:rPr lang="es-BO" sz="1100" b="0" i="0">
                  <a:latin typeface="Cambria Math" panose="02040503050406030204" pitchFamily="18" charset="0"/>
                </a:rPr>
                <a:t>=𝑁</a:t>
              </a:r>
              <a:r>
                <a:rPr lang="es-MX" sz="1100" b="0" i="0">
                  <a:latin typeface="Cambria Math" panose="02040503050406030204" pitchFamily="18" charset="0"/>
                </a:rPr>
                <a:t>𝑅𝐻</a:t>
              </a:r>
              <a:r>
                <a:rPr lang="es-BO" sz="1100" b="0" i="0">
                  <a:latin typeface="Cambria Math" panose="02040503050406030204" pitchFamily="18" charset="0"/>
                </a:rPr>
                <a:t>/</a:t>
              </a:r>
              <a:r>
                <a:rPr lang="es-ES" sz="1100" b="0" i="0">
                  <a:latin typeface="Cambria Math"/>
                </a:rPr>
                <a:t>𝑃𝑇</a:t>
              </a:r>
              <a:r>
                <a:rPr lang="es-BO" sz="1100" b="0" i="1"/>
                <a:t>x10.000</a:t>
              </a:r>
            </a:p>
          </xdr:txBody>
        </xdr:sp>
      </mc:Fallback>
    </mc:AlternateContent>
    <xdr:clientData/>
  </xdr:oneCellAnchor>
  <xdr:oneCellAnchor>
    <xdr:from>
      <xdr:col>42</xdr:col>
      <xdr:colOff>392906</xdr:colOff>
      <xdr:row>107</xdr:row>
      <xdr:rowOff>678657</xdr:rowOff>
    </xdr:from>
    <xdr:ext cx="1696357" cy="349250"/>
    <mc:AlternateContent xmlns:mc="http://schemas.openxmlformats.org/markup-compatibility/2006" xmlns:a14="http://schemas.microsoft.com/office/drawing/2010/main">
      <mc:Choice Requires="a14">
        <xdr:sp macro="" textlink="">
          <xdr:nvSpPr>
            <xdr:cNvPr id="48" name="CuadroTexto 18">
              <a:extLst>
                <a:ext uri="{FF2B5EF4-FFF2-40B4-BE49-F238E27FC236}">
                  <a16:creationId xmlns:a16="http://schemas.microsoft.com/office/drawing/2014/main" id="{00000000-0008-0000-0400-000030000000}"/>
                </a:ext>
              </a:extLst>
            </xdr:cNvPr>
            <xdr:cNvSpPr txBox="1"/>
          </xdr:nvSpPr>
          <xdr:spPr>
            <a:xfrm>
              <a:off x="43912631" y="54780657"/>
              <a:ext cx="1696357" cy="349250"/>
            </a:xfrm>
            <a:prstGeom prst="rect">
              <a:avLst/>
            </a:prstGeom>
            <a:noFill/>
            <a:ln>
              <a:noFill/>
            </a:ln>
            <a:effectLst/>
          </xdr:spPr>
          <xdr:txBody>
            <a:bodyPr vertOverflow="clip" horzOverflow="clip" wrap="square" lIns="0" tIns="0" rIns="0" bIns="0" rtlCol="0" anchor="t">
              <a:noAutofit/>
            </a:bodyPr>
            <a:lstStyle/>
            <a:p>
              <a:pPr marL="0" marR="0" lvl="0" indent="0" defTabSz="914400" eaLnBrk="1" fontAlgn="auto" latinLnBrk="0" hangingPunct="1">
                <a:lnSpc>
                  <a:spcPct val="100000"/>
                </a:lnSpc>
                <a:spcBef>
                  <a:spcPts val="0"/>
                </a:spcBef>
                <a:spcAft>
                  <a:spcPts val="0"/>
                </a:spcAft>
                <a:buClrTx/>
                <a:buSzTx/>
                <a:buFontTx/>
                <a:buNone/>
                <a:tabLst/>
                <a:defRPr/>
              </a:pPr>
              <a14:m>
                <m:oMath xmlns:m="http://schemas.openxmlformats.org/officeDocument/2006/math">
                  <m:r>
                    <a:rPr kumimoji="0" lang="es-BO" sz="1100" b="0" i="1" u="none" strike="noStrike" kern="0" cap="none" spc="0" normalizeH="0" baseline="0" noProof="0">
                      <a:ln>
                        <a:noFill/>
                      </a:ln>
                      <a:solidFill>
                        <a:sysClr val="windowText" lastClr="000000"/>
                      </a:solidFill>
                      <a:effectLst/>
                      <a:uLnTx/>
                      <a:uFillTx/>
                      <a:latin typeface="Cambria Math" panose="02040503050406030204" pitchFamily="18" charset="0"/>
                      <a:ea typeface="+mn-ea"/>
                      <a:cs typeface="+mn-cs"/>
                    </a:rPr>
                    <m:t>𝑃𝐴</m:t>
                  </m:r>
                  <m:r>
                    <a:rPr kumimoji="0" lang="es-ES" sz="1100" b="0" i="1" u="none" strike="noStrike" kern="0" cap="none" spc="0" normalizeH="0" baseline="0" noProof="0">
                      <a:ln>
                        <a:noFill/>
                      </a:ln>
                      <a:solidFill>
                        <a:sysClr val="windowText" lastClr="000000"/>
                      </a:solidFill>
                      <a:effectLst/>
                      <a:uLnTx/>
                      <a:uFillTx/>
                      <a:latin typeface="Cambria Math"/>
                      <a:ea typeface="+mn-ea"/>
                      <a:cs typeface="+mn-cs"/>
                    </a:rPr>
                    <m:t>𝑆𝑆𝐺</m:t>
                  </m:r>
                  <m:r>
                    <a:rPr kumimoji="0" lang="es-BO" sz="1100" b="0" i="1" u="none" strike="noStrike" kern="0" cap="none" spc="0" normalizeH="0" baseline="0" noProof="0">
                      <a:ln>
                        <a:noFill/>
                      </a:ln>
                      <a:solidFill>
                        <a:sysClr val="windowText" lastClr="000000"/>
                      </a:solidFill>
                      <a:effectLst/>
                      <a:uLnTx/>
                      <a:uFillTx/>
                      <a:latin typeface="Cambria Math" panose="02040503050406030204" pitchFamily="18" charset="0"/>
                      <a:ea typeface="+mn-ea"/>
                      <a:cs typeface="+mn-cs"/>
                    </a:rPr>
                    <m:t>=</m:t>
                  </m:r>
                  <m:f>
                    <m:fPr>
                      <m:ctrlPr>
                        <a:rPr kumimoji="0" lang="es-BO" sz="1100" b="0" i="1" u="none" strike="noStrike" kern="0" cap="none" spc="0" normalizeH="0" baseline="0" noProof="0">
                          <a:ln>
                            <a:noFill/>
                          </a:ln>
                          <a:solidFill>
                            <a:sysClr val="windowText" lastClr="000000"/>
                          </a:solidFill>
                          <a:effectLst/>
                          <a:uLnTx/>
                          <a:uFillTx/>
                          <a:latin typeface="Cambria Math" panose="02040503050406030204" pitchFamily="18" charset="0"/>
                          <a:ea typeface="+mn-ea"/>
                          <a:cs typeface="+mn-cs"/>
                        </a:rPr>
                      </m:ctrlPr>
                    </m:fPr>
                    <m:num>
                      <m:r>
                        <a:rPr kumimoji="0" lang="es-ES" sz="1100" b="0" i="1" u="none" strike="noStrike" kern="0" cap="none" spc="0" normalizeH="0" baseline="0" noProof="0">
                          <a:ln>
                            <a:noFill/>
                          </a:ln>
                          <a:solidFill>
                            <a:sysClr val="windowText" lastClr="000000"/>
                          </a:solidFill>
                          <a:effectLst/>
                          <a:uLnTx/>
                          <a:uFillTx/>
                          <a:latin typeface="Cambria Math"/>
                          <a:ea typeface="+mn-ea"/>
                          <a:cs typeface="+mn-cs"/>
                        </a:rPr>
                        <m:t>𝑁𝐴𝑆𝑆𝐺</m:t>
                      </m:r>
                    </m:num>
                    <m:den>
                      <m:r>
                        <a:rPr kumimoji="0" lang="es-ES" sz="1100" b="0" i="1" u="none" strike="noStrike" kern="0" cap="none" spc="0" normalizeH="0" baseline="0" noProof="0">
                          <a:ln>
                            <a:noFill/>
                          </a:ln>
                          <a:solidFill>
                            <a:sysClr val="windowText" lastClr="000000"/>
                          </a:solidFill>
                          <a:effectLst/>
                          <a:uLnTx/>
                          <a:uFillTx/>
                          <a:latin typeface="Cambria Math"/>
                          <a:ea typeface="+mn-ea"/>
                          <a:cs typeface="+mn-cs"/>
                        </a:rPr>
                        <m:t>𝑃𝑇</m:t>
                      </m:r>
                    </m:den>
                  </m:f>
                </m:oMath>
              </a14:m>
              <a:r>
                <a:rPr kumimoji="0" lang="es-BO" sz="1100" b="0" i="1" u="none" strike="noStrike" kern="0" cap="none" spc="0" normalizeH="0" baseline="0" noProof="0">
                  <a:ln>
                    <a:noFill/>
                  </a:ln>
                  <a:solidFill>
                    <a:sysClr val="windowText" lastClr="000000"/>
                  </a:solidFill>
                  <a:effectLst/>
                  <a:uLnTx/>
                  <a:uFillTx/>
                  <a:latin typeface="Calibri"/>
                  <a:ea typeface="+mn-ea"/>
                  <a:cs typeface="+mn-cs"/>
                </a:rPr>
                <a:t>x 100</a:t>
              </a:r>
            </a:p>
          </xdr:txBody>
        </xdr:sp>
      </mc:Choice>
      <mc:Fallback xmlns="">
        <xdr:sp macro="" textlink="">
          <xdr:nvSpPr>
            <xdr:cNvPr id="48" name="CuadroTexto 18"/>
            <xdr:cNvSpPr txBox="1"/>
          </xdr:nvSpPr>
          <xdr:spPr>
            <a:xfrm>
              <a:off x="43912631" y="54780657"/>
              <a:ext cx="1696357" cy="349250"/>
            </a:xfrm>
            <a:prstGeom prst="rect">
              <a:avLst/>
            </a:prstGeom>
            <a:noFill/>
            <a:ln>
              <a:noFill/>
            </a:ln>
            <a:effectLst/>
          </xdr:spPr>
          <xdr:txBody>
            <a:bodyPr vertOverflow="clip" horzOverflow="clip" wrap="square" lIns="0" tIns="0" rIns="0" bIns="0" rtlCol="0" anchor="t">
              <a:noAutofit/>
            </a:bodyPr>
            <a:lstStyle/>
            <a:p>
              <a:pPr marL="0" marR="0" lvl="0" indent="0" defTabSz="914400" eaLnBrk="1" fontAlgn="auto" latinLnBrk="0" hangingPunct="1">
                <a:lnSpc>
                  <a:spcPct val="100000"/>
                </a:lnSpc>
                <a:spcBef>
                  <a:spcPts val="0"/>
                </a:spcBef>
                <a:spcAft>
                  <a:spcPts val="0"/>
                </a:spcAft>
                <a:buClrTx/>
                <a:buSzTx/>
                <a:buFontTx/>
                <a:buNone/>
                <a:tabLst/>
                <a:defRPr/>
              </a:pPr>
              <a:r>
                <a:rPr kumimoji="0" lang="es-BO" sz="1100" b="0" i="0" u="none" strike="noStrike" kern="0" cap="none" spc="0" normalizeH="0" baseline="0" noProof="0">
                  <a:ln>
                    <a:noFill/>
                  </a:ln>
                  <a:solidFill>
                    <a:sysClr val="windowText" lastClr="000000"/>
                  </a:solidFill>
                  <a:effectLst/>
                  <a:uLnTx/>
                  <a:uFillTx/>
                  <a:latin typeface="Cambria Math" panose="02040503050406030204" pitchFamily="18" charset="0"/>
                  <a:ea typeface="+mn-ea"/>
                  <a:cs typeface="+mn-cs"/>
                </a:rPr>
                <a:t>𝑃𝐴</a:t>
              </a:r>
              <a:r>
                <a:rPr kumimoji="0" lang="es-ES" sz="1100" b="0" i="0" u="none" strike="noStrike" kern="0" cap="none" spc="0" normalizeH="0" baseline="0" noProof="0">
                  <a:ln>
                    <a:noFill/>
                  </a:ln>
                  <a:solidFill>
                    <a:sysClr val="windowText" lastClr="000000"/>
                  </a:solidFill>
                  <a:effectLst/>
                  <a:uLnTx/>
                  <a:uFillTx/>
                  <a:latin typeface="Cambria Math"/>
                  <a:ea typeface="+mn-ea"/>
                  <a:cs typeface="+mn-cs"/>
                </a:rPr>
                <a:t>𝑆𝑆𝐺</a:t>
              </a:r>
              <a:r>
                <a:rPr kumimoji="0" lang="es-BO" sz="1100" b="0" i="0" u="none" strike="noStrike" kern="0" cap="none" spc="0" normalizeH="0" baseline="0" noProof="0">
                  <a:ln>
                    <a:noFill/>
                  </a:ln>
                  <a:solidFill>
                    <a:sysClr val="windowText" lastClr="000000"/>
                  </a:solidFill>
                  <a:effectLst/>
                  <a:uLnTx/>
                  <a:uFillTx/>
                  <a:latin typeface="Cambria Math" panose="02040503050406030204" pitchFamily="18" charset="0"/>
                  <a:ea typeface="+mn-ea"/>
                  <a:cs typeface="+mn-cs"/>
                </a:rPr>
                <a:t>=</a:t>
              </a:r>
              <a:r>
                <a:rPr kumimoji="0" lang="es-ES" sz="1100" b="0" i="0" u="none" strike="noStrike" kern="0" cap="none" spc="0" normalizeH="0" baseline="0" noProof="0">
                  <a:ln>
                    <a:noFill/>
                  </a:ln>
                  <a:solidFill>
                    <a:sysClr val="windowText" lastClr="000000"/>
                  </a:solidFill>
                  <a:effectLst/>
                  <a:uLnTx/>
                  <a:uFillTx/>
                  <a:latin typeface="Cambria Math"/>
                  <a:ea typeface="+mn-ea"/>
                  <a:cs typeface="+mn-cs"/>
                </a:rPr>
                <a:t>𝑁𝐴𝑆𝑆𝐺</a:t>
              </a:r>
              <a:r>
                <a:rPr kumimoji="0" lang="es-BO" sz="1100" b="0" i="0" u="none" strike="noStrike" kern="0" cap="none" spc="0" normalizeH="0" baseline="0" noProof="0">
                  <a:ln>
                    <a:noFill/>
                  </a:ln>
                  <a:solidFill>
                    <a:sysClr val="windowText" lastClr="000000"/>
                  </a:solidFill>
                  <a:effectLst/>
                  <a:uLnTx/>
                  <a:uFillTx/>
                  <a:latin typeface="Cambria Math" panose="02040503050406030204" pitchFamily="18" charset="0"/>
                  <a:ea typeface="+mn-ea"/>
                  <a:cs typeface="+mn-cs"/>
                </a:rPr>
                <a:t>/</a:t>
              </a:r>
              <a:r>
                <a:rPr kumimoji="0" lang="es-ES" sz="1100" b="0" i="0" u="none" strike="noStrike" kern="0" cap="none" spc="0" normalizeH="0" baseline="0" noProof="0">
                  <a:ln>
                    <a:noFill/>
                  </a:ln>
                  <a:solidFill>
                    <a:sysClr val="windowText" lastClr="000000"/>
                  </a:solidFill>
                  <a:effectLst/>
                  <a:uLnTx/>
                  <a:uFillTx/>
                  <a:latin typeface="Cambria Math"/>
                  <a:ea typeface="+mn-ea"/>
                  <a:cs typeface="+mn-cs"/>
                </a:rPr>
                <a:t>𝑃𝑇</a:t>
              </a:r>
              <a:r>
                <a:rPr kumimoji="0" lang="es-BO" sz="1100" b="0" i="1" u="none" strike="noStrike" kern="0" cap="none" spc="0" normalizeH="0" baseline="0" noProof="0">
                  <a:ln>
                    <a:noFill/>
                  </a:ln>
                  <a:solidFill>
                    <a:sysClr val="windowText" lastClr="000000"/>
                  </a:solidFill>
                  <a:effectLst/>
                  <a:uLnTx/>
                  <a:uFillTx/>
                  <a:latin typeface="Calibri"/>
                  <a:ea typeface="+mn-ea"/>
                  <a:cs typeface="+mn-cs"/>
                </a:rPr>
                <a:t>x 100</a:t>
              </a:r>
            </a:p>
          </xdr:txBody>
        </xdr:sp>
      </mc:Fallback>
    </mc:AlternateContent>
    <xdr:clientData/>
  </xdr:oneCellAnchor>
  <xdr:oneCellAnchor>
    <xdr:from>
      <xdr:col>42</xdr:col>
      <xdr:colOff>458932</xdr:colOff>
      <xdr:row>108</xdr:row>
      <xdr:rowOff>718705</xdr:rowOff>
    </xdr:from>
    <xdr:ext cx="1696357" cy="349250"/>
    <mc:AlternateContent xmlns:mc="http://schemas.openxmlformats.org/markup-compatibility/2006" xmlns:a14="http://schemas.microsoft.com/office/drawing/2010/main">
      <mc:Choice Requires="a14">
        <xdr:sp macro="" textlink="">
          <xdr:nvSpPr>
            <xdr:cNvPr id="49" name="CuadroTexto 18">
              <a:extLst>
                <a:ext uri="{FF2B5EF4-FFF2-40B4-BE49-F238E27FC236}">
                  <a16:creationId xmlns:a16="http://schemas.microsoft.com/office/drawing/2014/main" id="{00000000-0008-0000-0400-000031000000}"/>
                </a:ext>
              </a:extLst>
            </xdr:cNvPr>
            <xdr:cNvSpPr txBox="1"/>
          </xdr:nvSpPr>
          <xdr:spPr>
            <a:xfrm>
              <a:off x="43978657" y="56287555"/>
              <a:ext cx="1696357" cy="349250"/>
            </a:xfrm>
            <a:prstGeom prst="rect">
              <a:avLst/>
            </a:prstGeom>
            <a:noFill/>
            <a:ln>
              <a:noFill/>
            </a:ln>
            <a:effectLst/>
          </xdr:spPr>
          <xdr:txBody>
            <a:bodyPr vertOverflow="clip" horzOverflow="clip" wrap="square" lIns="0" tIns="0" rIns="0" bIns="0" rtlCol="0" anchor="t">
              <a:noAutofit/>
            </a:bodyPr>
            <a:lstStyle/>
            <a:p>
              <a:pPr marL="0" marR="0" lvl="0" indent="0" defTabSz="914400" eaLnBrk="1" fontAlgn="auto" latinLnBrk="0" hangingPunct="1">
                <a:lnSpc>
                  <a:spcPct val="100000"/>
                </a:lnSpc>
                <a:spcBef>
                  <a:spcPts val="0"/>
                </a:spcBef>
                <a:spcAft>
                  <a:spcPts val="0"/>
                </a:spcAft>
                <a:buClrTx/>
                <a:buSzTx/>
                <a:buFontTx/>
                <a:buNone/>
                <a:tabLst/>
                <a:defRPr/>
              </a:pPr>
              <a:r>
                <a:rPr kumimoji="0" lang="es-BO" sz="1100" b="0" i="0" u="none" strike="noStrike" kern="0" cap="none" spc="0" normalizeH="0" baseline="0" noProof="0">
                  <a:ln>
                    <a:noFill/>
                  </a:ln>
                  <a:solidFill>
                    <a:sysClr val="windowText" lastClr="000000"/>
                  </a:solidFill>
                  <a:effectLst/>
                  <a:uLnTx/>
                  <a:uFillTx/>
                  <a:latin typeface="+mn-lt"/>
                  <a:ea typeface="+mn-ea"/>
                  <a:cs typeface="+mn-cs"/>
                </a:rPr>
                <a:t>M</a:t>
              </a:r>
              <a14:m>
                <m:oMath xmlns:m="http://schemas.openxmlformats.org/officeDocument/2006/math">
                  <m:r>
                    <a:rPr kumimoji="0" lang="es-BO" sz="1100" b="0" i="1" u="none" strike="noStrike" kern="0" cap="none" spc="0" normalizeH="0" baseline="0" noProof="0">
                      <a:ln>
                        <a:noFill/>
                      </a:ln>
                      <a:solidFill>
                        <a:sysClr val="windowText" lastClr="000000"/>
                      </a:solidFill>
                      <a:effectLst/>
                      <a:uLnTx/>
                      <a:uFillTx/>
                      <a:latin typeface="Cambria Math" panose="02040503050406030204" pitchFamily="18" charset="0"/>
                      <a:ea typeface="+mn-ea"/>
                      <a:cs typeface="+mn-cs"/>
                    </a:rPr>
                    <m:t>𝐴𝑀𝐸𝑆𝐶</m:t>
                  </m:r>
                  <m:r>
                    <a:rPr kumimoji="0" lang="es-BO" sz="1100" b="0" i="1" u="none" strike="noStrike" kern="0" cap="none" spc="0" normalizeH="0" baseline="0" noProof="0">
                      <a:ln>
                        <a:noFill/>
                      </a:ln>
                      <a:solidFill>
                        <a:sysClr val="windowText" lastClr="000000"/>
                      </a:solidFill>
                      <a:effectLst/>
                      <a:uLnTx/>
                      <a:uFillTx/>
                      <a:latin typeface="Cambria Math" panose="02040503050406030204" pitchFamily="18" charset="0"/>
                      <a:ea typeface="+mn-ea"/>
                      <a:cs typeface="+mn-cs"/>
                    </a:rPr>
                    <m:t>=</m:t>
                  </m:r>
                  <m:f>
                    <m:fPr>
                      <m:ctrlPr>
                        <a:rPr kumimoji="0" lang="es-BO" sz="1100" b="0" i="1" u="none" strike="noStrike" kern="0" cap="none" spc="0" normalizeH="0" baseline="0" noProof="0">
                          <a:ln>
                            <a:noFill/>
                          </a:ln>
                          <a:solidFill>
                            <a:sysClr val="windowText" lastClr="000000"/>
                          </a:solidFill>
                          <a:effectLst/>
                          <a:uLnTx/>
                          <a:uFillTx/>
                          <a:latin typeface="Cambria Math" panose="02040503050406030204" pitchFamily="18" charset="0"/>
                          <a:ea typeface="+mn-ea"/>
                          <a:cs typeface="+mn-cs"/>
                        </a:rPr>
                      </m:ctrlPr>
                    </m:fPr>
                    <m:num>
                      <m:r>
                        <a:rPr kumimoji="0" lang="es-ES" sz="1100" b="0" i="1" u="none" strike="noStrike" kern="0" cap="none" spc="0" normalizeH="0" baseline="0" noProof="0">
                          <a:ln>
                            <a:noFill/>
                          </a:ln>
                          <a:solidFill>
                            <a:sysClr val="windowText" lastClr="000000"/>
                          </a:solidFill>
                          <a:effectLst/>
                          <a:uLnTx/>
                          <a:uFillTx/>
                          <a:latin typeface="Cambria Math"/>
                          <a:ea typeface="+mn-ea"/>
                          <a:cs typeface="+mn-cs"/>
                        </a:rPr>
                        <m:t>𝑁</m:t>
                      </m:r>
                      <m:r>
                        <a:rPr kumimoji="0" lang="es-BO" sz="1100" b="0" i="1" u="none" strike="noStrike" kern="0" cap="none" spc="0" normalizeH="0" baseline="0" noProof="0">
                          <a:ln>
                            <a:noFill/>
                          </a:ln>
                          <a:solidFill>
                            <a:sysClr val="windowText" lastClr="000000"/>
                          </a:solidFill>
                          <a:effectLst/>
                          <a:uLnTx/>
                          <a:uFillTx/>
                          <a:latin typeface="Cambria Math" panose="02040503050406030204" pitchFamily="18" charset="0"/>
                          <a:ea typeface="+mn-ea"/>
                          <a:cs typeface="+mn-cs"/>
                        </a:rPr>
                        <m:t>𝑀𝐴𝑀𝐸</m:t>
                      </m:r>
                    </m:num>
                    <m:den>
                      <m:r>
                        <a:rPr kumimoji="0" lang="es-ES" sz="1100" b="0" i="1" u="none" strike="noStrike" kern="0" cap="none" spc="0" normalizeH="0" baseline="0" noProof="0">
                          <a:ln>
                            <a:noFill/>
                          </a:ln>
                          <a:solidFill>
                            <a:sysClr val="windowText" lastClr="000000"/>
                          </a:solidFill>
                          <a:effectLst/>
                          <a:uLnTx/>
                          <a:uFillTx/>
                          <a:latin typeface="Cambria Math"/>
                          <a:ea typeface="+mn-ea"/>
                          <a:cs typeface="+mn-cs"/>
                        </a:rPr>
                        <m:t>𝑇</m:t>
                      </m:r>
                      <m:r>
                        <a:rPr kumimoji="0" lang="es-BO" sz="1100" b="0" i="1" u="none" strike="noStrike" kern="0" cap="none" spc="0" normalizeH="0" baseline="0" noProof="0">
                          <a:ln>
                            <a:noFill/>
                          </a:ln>
                          <a:solidFill>
                            <a:sysClr val="windowText" lastClr="000000"/>
                          </a:solidFill>
                          <a:effectLst/>
                          <a:uLnTx/>
                          <a:uFillTx/>
                          <a:latin typeface="Cambria Math" panose="02040503050406030204" pitchFamily="18" charset="0"/>
                          <a:ea typeface="+mn-ea"/>
                          <a:cs typeface="+mn-cs"/>
                        </a:rPr>
                        <m:t>𝑀</m:t>
                      </m:r>
                    </m:den>
                  </m:f>
                </m:oMath>
              </a14:m>
              <a:r>
                <a:rPr kumimoji="0" lang="es-BO" sz="1100" b="0" i="1" u="none" strike="noStrike" kern="0" cap="none" spc="0" normalizeH="0" baseline="0" noProof="0">
                  <a:ln>
                    <a:noFill/>
                  </a:ln>
                  <a:solidFill>
                    <a:sysClr val="windowText" lastClr="000000"/>
                  </a:solidFill>
                  <a:effectLst/>
                  <a:uLnTx/>
                  <a:uFillTx/>
                  <a:latin typeface="Calibri"/>
                  <a:ea typeface="+mn-ea"/>
                  <a:cs typeface="+mn-cs"/>
                </a:rPr>
                <a:t>x 100</a:t>
              </a:r>
            </a:p>
          </xdr:txBody>
        </xdr:sp>
      </mc:Choice>
      <mc:Fallback xmlns="">
        <xdr:sp macro="" textlink="">
          <xdr:nvSpPr>
            <xdr:cNvPr id="49" name="CuadroTexto 18"/>
            <xdr:cNvSpPr txBox="1"/>
          </xdr:nvSpPr>
          <xdr:spPr>
            <a:xfrm>
              <a:off x="43978657" y="56287555"/>
              <a:ext cx="1696357" cy="349250"/>
            </a:xfrm>
            <a:prstGeom prst="rect">
              <a:avLst/>
            </a:prstGeom>
            <a:noFill/>
            <a:ln>
              <a:noFill/>
            </a:ln>
            <a:effectLst/>
          </xdr:spPr>
          <xdr:txBody>
            <a:bodyPr vertOverflow="clip" horzOverflow="clip" wrap="square" lIns="0" tIns="0" rIns="0" bIns="0" rtlCol="0" anchor="t">
              <a:noAutofit/>
            </a:bodyPr>
            <a:lstStyle/>
            <a:p>
              <a:pPr marL="0" marR="0" lvl="0" indent="0" defTabSz="914400" eaLnBrk="1" fontAlgn="auto" latinLnBrk="0" hangingPunct="1">
                <a:lnSpc>
                  <a:spcPct val="100000"/>
                </a:lnSpc>
                <a:spcBef>
                  <a:spcPts val="0"/>
                </a:spcBef>
                <a:spcAft>
                  <a:spcPts val="0"/>
                </a:spcAft>
                <a:buClrTx/>
                <a:buSzTx/>
                <a:buFontTx/>
                <a:buNone/>
                <a:tabLst/>
                <a:defRPr/>
              </a:pPr>
              <a:r>
                <a:rPr kumimoji="0" lang="es-BO" sz="1100" b="0" i="0" u="none" strike="noStrike" kern="0" cap="none" spc="0" normalizeH="0" baseline="0" noProof="0">
                  <a:ln>
                    <a:noFill/>
                  </a:ln>
                  <a:solidFill>
                    <a:sysClr val="windowText" lastClr="000000"/>
                  </a:solidFill>
                  <a:effectLst/>
                  <a:uLnTx/>
                  <a:uFillTx/>
                  <a:latin typeface="+mn-lt"/>
                  <a:ea typeface="+mn-ea"/>
                  <a:cs typeface="+mn-cs"/>
                </a:rPr>
                <a:t>M</a:t>
              </a:r>
              <a:r>
                <a:rPr kumimoji="0" lang="es-BO" sz="1100" b="0" i="0" u="none" strike="noStrike" kern="0" cap="none" spc="0" normalizeH="0" baseline="0" noProof="0">
                  <a:ln>
                    <a:noFill/>
                  </a:ln>
                  <a:solidFill>
                    <a:sysClr val="windowText" lastClr="000000"/>
                  </a:solidFill>
                  <a:effectLst/>
                  <a:uLnTx/>
                  <a:uFillTx/>
                  <a:latin typeface="Cambria Math" panose="02040503050406030204" pitchFamily="18" charset="0"/>
                  <a:ea typeface="+mn-ea"/>
                  <a:cs typeface="+mn-cs"/>
                </a:rPr>
                <a:t>𝐴𝑀𝐸𝑆𝐶=</a:t>
              </a:r>
              <a:r>
                <a:rPr kumimoji="0" lang="es-ES" sz="1100" b="0" i="0" u="none" strike="noStrike" kern="0" cap="none" spc="0" normalizeH="0" baseline="0" noProof="0">
                  <a:ln>
                    <a:noFill/>
                  </a:ln>
                  <a:solidFill>
                    <a:sysClr val="windowText" lastClr="000000"/>
                  </a:solidFill>
                  <a:effectLst/>
                  <a:uLnTx/>
                  <a:uFillTx/>
                  <a:latin typeface="Cambria Math"/>
                  <a:ea typeface="+mn-ea"/>
                  <a:cs typeface="+mn-cs"/>
                </a:rPr>
                <a:t>𝑁</a:t>
              </a:r>
              <a:r>
                <a:rPr kumimoji="0" lang="es-BO" sz="1100" b="0" i="0" u="none" strike="noStrike" kern="0" cap="none" spc="0" normalizeH="0" baseline="0" noProof="0">
                  <a:ln>
                    <a:noFill/>
                  </a:ln>
                  <a:solidFill>
                    <a:sysClr val="windowText" lastClr="000000"/>
                  </a:solidFill>
                  <a:effectLst/>
                  <a:uLnTx/>
                  <a:uFillTx/>
                  <a:latin typeface="Cambria Math" panose="02040503050406030204" pitchFamily="18" charset="0"/>
                  <a:ea typeface="+mn-ea"/>
                  <a:cs typeface="+mn-cs"/>
                </a:rPr>
                <a:t>𝑀𝐴𝑀𝐸/</a:t>
              </a:r>
              <a:r>
                <a:rPr kumimoji="0" lang="es-ES" sz="1100" b="0" i="0" u="none" strike="noStrike" kern="0" cap="none" spc="0" normalizeH="0" baseline="0" noProof="0">
                  <a:ln>
                    <a:noFill/>
                  </a:ln>
                  <a:solidFill>
                    <a:sysClr val="windowText" lastClr="000000"/>
                  </a:solidFill>
                  <a:effectLst/>
                  <a:uLnTx/>
                  <a:uFillTx/>
                  <a:latin typeface="Cambria Math"/>
                  <a:ea typeface="+mn-ea"/>
                  <a:cs typeface="+mn-cs"/>
                </a:rPr>
                <a:t>𝑇</a:t>
              </a:r>
              <a:r>
                <a:rPr kumimoji="0" lang="es-BO" sz="1100" b="0" i="0" u="none" strike="noStrike" kern="0" cap="none" spc="0" normalizeH="0" baseline="0" noProof="0">
                  <a:ln>
                    <a:noFill/>
                  </a:ln>
                  <a:solidFill>
                    <a:sysClr val="windowText" lastClr="000000"/>
                  </a:solidFill>
                  <a:effectLst/>
                  <a:uLnTx/>
                  <a:uFillTx/>
                  <a:latin typeface="Cambria Math" panose="02040503050406030204" pitchFamily="18" charset="0"/>
                  <a:ea typeface="+mn-ea"/>
                  <a:cs typeface="+mn-cs"/>
                </a:rPr>
                <a:t>𝑀</a:t>
              </a:r>
              <a:r>
                <a:rPr kumimoji="0" lang="es-BO" sz="1100" b="0" i="1" u="none" strike="noStrike" kern="0" cap="none" spc="0" normalizeH="0" baseline="0" noProof="0">
                  <a:ln>
                    <a:noFill/>
                  </a:ln>
                  <a:solidFill>
                    <a:sysClr val="windowText" lastClr="000000"/>
                  </a:solidFill>
                  <a:effectLst/>
                  <a:uLnTx/>
                  <a:uFillTx/>
                  <a:latin typeface="Calibri"/>
                  <a:ea typeface="+mn-ea"/>
                  <a:cs typeface="+mn-cs"/>
                </a:rPr>
                <a:t>x 100</a:t>
              </a:r>
            </a:p>
          </xdr:txBody>
        </xdr:sp>
      </mc:Fallback>
    </mc:AlternateContent>
    <xdr:clientData/>
  </xdr:oneCellAnchor>
  <xdr:oneCellAnchor>
    <xdr:from>
      <xdr:col>42</xdr:col>
      <xdr:colOff>425824</xdr:colOff>
      <xdr:row>233</xdr:row>
      <xdr:rowOff>784411</xdr:rowOff>
    </xdr:from>
    <xdr:ext cx="1696357" cy="498929"/>
    <mc:AlternateContent xmlns:mc="http://schemas.openxmlformats.org/markup-compatibility/2006" xmlns:a14="http://schemas.microsoft.com/office/drawing/2010/main">
      <mc:Choice Requires="a14">
        <xdr:sp macro="" textlink="">
          <xdr:nvSpPr>
            <xdr:cNvPr id="50" name="CuadroTexto 20">
              <a:extLst>
                <a:ext uri="{FF2B5EF4-FFF2-40B4-BE49-F238E27FC236}">
                  <a16:creationId xmlns:a16="http://schemas.microsoft.com/office/drawing/2014/main" id="{00000000-0008-0000-0400-000032000000}"/>
                </a:ext>
              </a:extLst>
            </xdr:cNvPr>
            <xdr:cNvSpPr txBox="1"/>
          </xdr:nvSpPr>
          <xdr:spPr>
            <a:xfrm>
              <a:off x="43945549" y="58115386"/>
              <a:ext cx="1696357" cy="49892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noAutofit/>
            </a:bodyPr>
            <a:lstStyle/>
            <a:p>
              <a:r>
                <a:rPr lang="es-BO" sz="1100" b="0" i="1">
                  <a:latin typeface="+mn-lt"/>
                </a:rPr>
                <a:t>POCA</a:t>
              </a:r>
              <a14:m>
                <m:oMath xmlns:m="http://schemas.openxmlformats.org/officeDocument/2006/math">
                  <m:r>
                    <a:rPr lang="es-BO" sz="1100" b="0" i="1">
                      <a:latin typeface="Cambria Math" panose="02040503050406030204" pitchFamily="18" charset="0"/>
                    </a:rPr>
                    <m:t>=</m:t>
                  </m:r>
                  <m:f>
                    <m:fPr>
                      <m:ctrlPr>
                        <a:rPr lang="es-BO" sz="1100" b="0" i="1">
                          <a:latin typeface="Cambria Math" panose="02040503050406030204" pitchFamily="18" charset="0"/>
                        </a:rPr>
                      </m:ctrlPr>
                    </m:fPr>
                    <m:num>
                      <m:r>
                        <a:rPr lang="es-BO" sz="1100" b="0" i="1">
                          <a:latin typeface="Cambria Math" panose="02040503050406030204" pitchFamily="18" charset="0"/>
                        </a:rPr>
                        <m:t>𝑃</m:t>
                      </m:r>
                      <m:r>
                        <a:rPr lang="es-MX" sz="1100" b="0" i="1">
                          <a:latin typeface="Cambria Math" panose="02040503050406030204" pitchFamily="18" charset="0"/>
                        </a:rPr>
                        <m:t>𝑃𝐶𝐴𝑆𝑆𝐶𝑃</m:t>
                      </m:r>
                    </m:num>
                    <m:den>
                      <m:r>
                        <a:rPr lang="es-BO" sz="1100" b="0" i="1">
                          <a:latin typeface="Cambria Math" panose="02040503050406030204" pitchFamily="18" charset="0"/>
                        </a:rPr>
                        <m:t>𝑇</m:t>
                      </m:r>
                      <m:r>
                        <a:rPr lang="es-MX" sz="1100" b="0" i="1">
                          <a:latin typeface="Cambria Math" panose="02040503050406030204" pitchFamily="18" charset="0"/>
                        </a:rPr>
                        <m:t>𝑃𝑂</m:t>
                      </m:r>
                    </m:den>
                  </m:f>
                </m:oMath>
              </a14:m>
              <a:r>
                <a:rPr lang="es-BO" sz="1100" b="0" i="1"/>
                <a:t>x100</a:t>
              </a:r>
            </a:p>
          </xdr:txBody>
        </xdr:sp>
      </mc:Choice>
      <mc:Fallback xmlns="">
        <xdr:sp macro="" textlink="">
          <xdr:nvSpPr>
            <xdr:cNvPr id="50" name="CuadroTexto 20"/>
            <xdr:cNvSpPr txBox="1"/>
          </xdr:nvSpPr>
          <xdr:spPr>
            <a:xfrm>
              <a:off x="43945549" y="58115386"/>
              <a:ext cx="1696357" cy="49892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noAutofit/>
            </a:bodyPr>
            <a:lstStyle/>
            <a:p>
              <a:r>
                <a:rPr lang="es-BO" sz="1100" b="0" i="1">
                  <a:latin typeface="+mn-lt"/>
                </a:rPr>
                <a:t>POCA</a:t>
              </a:r>
              <a:r>
                <a:rPr lang="es-BO" sz="1100" b="0" i="0">
                  <a:latin typeface="Cambria Math" panose="02040503050406030204" pitchFamily="18" charset="0"/>
                </a:rPr>
                <a:t>=𝑃</a:t>
              </a:r>
              <a:r>
                <a:rPr lang="es-MX" sz="1100" b="0" i="0">
                  <a:latin typeface="Cambria Math" panose="02040503050406030204" pitchFamily="18" charset="0"/>
                </a:rPr>
                <a:t>𝑃𝐶𝐴𝑆𝑆𝐶𝑃</a:t>
              </a:r>
              <a:r>
                <a:rPr lang="es-BO" sz="1100" b="0" i="0">
                  <a:latin typeface="Cambria Math" panose="02040503050406030204" pitchFamily="18" charset="0"/>
                </a:rPr>
                <a:t>/𝑇</a:t>
              </a:r>
              <a:r>
                <a:rPr lang="es-MX" sz="1100" b="0" i="0">
                  <a:latin typeface="Cambria Math" panose="02040503050406030204" pitchFamily="18" charset="0"/>
                </a:rPr>
                <a:t>𝑃𝑂</a:t>
              </a:r>
              <a:r>
                <a:rPr lang="es-BO" sz="1100" b="0" i="1"/>
                <a:t>x100</a:t>
              </a:r>
            </a:p>
          </xdr:txBody>
        </xdr:sp>
      </mc:Fallback>
    </mc:AlternateContent>
    <xdr:clientData/>
  </xdr:oneCellAnchor>
  <xdr:oneCellAnchor>
    <xdr:from>
      <xdr:col>42</xdr:col>
      <xdr:colOff>425824</xdr:colOff>
      <xdr:row>234</xdr:row>
      <xdr:rowOff>784411</xdr:rowOff>
    </xdr:from>
    <xdr:ext cx="1696357" cy="498929"/>
    <mc:AlternateContent xmlns:mc="http://schemas.openxmlformats.org/markup-compatibility/2006" xmlns:a14="http://schemas.microsoft.com/office/drawing/2010/main">
      <mc:Choice Requires="a14">
        <xdr:sp macro="" textlink="">
          <xdr:nvSpPr>
            <xdr:cNvPr id="51" name="CuadroTexto 20">
              <a:extLst>
                <a:ext uri="{FF2B5EF4-FFF2-40B4-BE49-F238E27FC236}">
                  <a16:creationId xmlns:a16="http://schemas.microsoft.com/office/drawing/2014/main" id="{00000000-0008-0000-0400-000033000000}"/>
                </a:ext>
              </a:extLst>
            </xdr:cNvPr>
            <xdr:cNvSpPr txBox="1"/>
          </xdr:nvSpPr>
          <xdr:spPr>
            <a:xfrm>
              <a:off x="43945549" y="60315661"/>
              <a:ext cx="1696357" cy="49892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noAutofit/>
            </a:bodyPr>
            <a:lstStyle/>
            <a:p>
              <a:r>
                <a:rPr lang="es-BO" sz="1100" b="0" i="1">
                  <a:latin typeface="+mn-lt"/>
                </a:rPr>
                <a:t>POCA</a:t>
              </a:r>
              <a14:m>
                <m:oMath xmlns:m="http://schemas.openxmlformats.org/officeDocument/2006/math">
                  <m:r>
                    <a:rPr lang="es-BO" sz="1100" b="0" i="1">
                      <a:latin typeface="Cambria Math" panose="02040503050406030204" pitchFamily="18" charset="0"/>
                    </a:rPr>
                    <m:t>=</m:t>
                  </m:r>
                  <m:f>
                    <m:fPr>
                      <m:ctrlPr>
                        <a:rPr lang="es-BO" sz="1100" b="0" i="1">
                          <a:latin typeface="Cambria Math" panose="02040503050406030204" pitchFamily="18" charset="0"/>
                        </a:rPr>
                      </m:ctrlPr>
                    </m:fPr>
                    <m:num>
                      <m:r>
                        <a:rPr lang="es-BO" sz="1100" b="0" i="1">
                          <a:latin typeface="Cambria Math" panose="02040503050406030204" pitchFamily="18" charset="0"/>
                        </a:rPr>
                        <m:t>𝑃</m:t>
                      </m:r>
                      <m:r>
                        <a:rPr lang="es-MX" sz="1100" b="0" i="1">
                          <a:latin typeface="Cambria Math" panose="02040503050406030204" pitchFamily="18" charset="0"/>
                        </a:rPr>
                        <m:t>𝑃𝐶𝐴𝑆𝑆𝐶𝑃</m:t>
                      </m:r>
                    </m:num>
                    <m:den>
                      <m:r>
                        <a:rPr lang="es-BO" sz="1100" b="0" i="1">
                          <a:latin typeface="Cambria Math" panose="02040503050406030204" pitchFamily="18" charset="0"/>
                        </a:rPr>
                        <m:t>𝑇</m:t>
                      </m:r>
                      <m:r>
                        <a:rPr lang="es-MX" sz="1100" b="0" i="1">
                          <a:latin typeface="Cambria Math" panose="02040503050406030204" pitchFamily="18" charset="0"/>
                        </a:rPr>
                        <m:t>𝑃𝑂</m:t>
                      </m:r>
                    </m:den>
                  </m:f>
                </m:oMath>
              </a14:m>
              <a:r>
                <a:rPr lang="es-BO" sz="1100" b="0" i="1"/>
                <a:t>x100</a:t>
              </a:r>
            </a:p>
          </xdr:txBody>
        </xdr:sp>
      </mc:Choice>
      <mc:Fallback xmlns="">
        <xdr:sp macro="" textlink="">
          <xdr:nvSpPr>
            <xdr:cNvPr id="51" name="CuadroTexto 20"/>
            <xdr:cNvSpPr txBox="1"/>
          </xdr:nvSpPr>
          <xdr:spPr>
            <a:xfrm>
              <a:off x="43945549" y="60315661"/>
              <a:ext cx="1696357" cy="49892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noAutofit/>
            </a:bodyPr>
            <a:lstStyle/>
            <a:p>
              <a:r>
                <a:rPr lang="es-BO" sz="1100" b="0" i="1">
                  <a:latin typeface="+mn-lt"/>
                </a:rPr>
                <a:t>POCA</a:t>
              </a:r>
              <a:r>
                <a:rPr lang="es-BO" sz="1100" b="0" i="0">
                  <a:latin typeface="Cambria Math" panose="02040503050406030204" pitchFamily="18" charset="0"/>
                </a:rPr>
                <a:t>=𝑃</a:t>
              </a:r>
              <a:r>
                <a:rPr lang="es-MX" sz="1100" b="0" i="0">
                  <a:latin typeface="Cambria Math" panose="02040503050406030204" pitchFamily="18" charset="0"/>
                </a:rPr>
                <a:t>𝑃𝐶𝐴𝑆𝑆𝐶𝑃</a:t>
              </a:r>
              <a:r>
                <a:rPr lang="es-BO" sz="1100" b="0" i="0">
                  <a:latin typeface="Cambria Math" panose="02040503050406030204" pitchFamily="18" charset="0"/>
                </a:rPr>
                <a:t>/𝑇</a:t>
              </a:r>
              <a:r>
                <a:rPr lang="es-MX" sz="1100" b="0" i="0">
                  <a:latin typeface="Cambria Math" panose="02040503050406030204" pitchFamily="18" charset="0"/>
                </a:rPr>
                <a:t>𝑃𝑂</a:t>
              </a:r>
              <a:r>
                <a:rPr lang="es-BO" sz="1100" b="0" i="1"/>
                <a:t>x100</a:t>
              </a:r>
            </a:p>
          </xdr:txBody>
        </xdr:sp>
      </mc:Fallback>
    </mc:AlternateContent>
    <xdr:clientData/>
  </xdr:oneCellAnchor>
  <mc:AlternateContent xmlns:mc="http://schemas.openxmlformats.org/markup-compatibility/2006">
    <mc:Choice xmlns:a14="http://schemas.microsoft.com/office/drawing/2010/main" Requires="a14">
      <xdr:twoCellAnchor>
        <xdr:from>
          <xdr:col>42</xdr:col>
          <xdr:colOff>28575</xdr:colOff>
          <xdr:row>271</xdr:row>
          <xdr:rowOff>371475</xdr:rowOff>
        </xdr:from>
        <xdr:to>
          <xdr:col>42</xdr:col>
          <xdr:colOff>2505075</xdr:colOff>
          <xdr:row>271</xdr:row>
          <xdr:rowOff>800100</xdr:rowOff>
        </xdr:to>
        <xdr:sp macro="" textlink="">
          <xdr:nvSpPr>
            <xdr:cNvPr id="61623" name="Object 1" hidden="1">
              <a:extLst>
                <a:ext uri="{63B3BB69-23CF-44E3-9099-C40C66FF867C}">
                  <a14:compatExt spid="_x0000_s61623"/>
                </a:ext>
                <a:ext uri="{FF2B5EF4-FFF2-40B4-BE49-F238E27FC236}">
                  <a16:creationId xmlns:a16="http://schemas.microsoft.com/office/drawing/2014/main" id="{00000000-0008-0000-0400-0000B7F00000}"/>
                </a:ext>
              </a:extLst>
            </xdr:cNvPr>
            <xdr:cNvSpPr/>
          </xdr:nvSpPr>
          <xdr:spPr bwMode="auto">
            <a:xfrm>
              <a:off x="0" y="0"/>
              <a:ext cx="0" cy="0"/>
            </a:xfrm>
            <a:prstGeom prst="rect">
              <a:avLst/>
            </a:prstGeom>
            <a:noFill/>
            <a:extLst>
              <a:ext uri="{909E8E84-426E-40DD-AFC4-6F175D3DCCD1}">
                <a14:hiddenFill>
                  <a:solidFill>
                    <a:srgbClr val="FFFFFF"/>
                  </a:solid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42</xdr:col>
          <xdr:colOff>885825</xdr:colOff>
          <xdr:row>10</xdr:row>
          <xdr:rowOff>0</xdr:rowOff>
        </xdr:from>
        <xdr:to>
          <xdr:col>42</xdr:col>
          <xdr:colOff>819150</xdr:colOff>
          <xdr:row>10</xdr:row>
          <xdr:rowOff>0</xdr:rowOff>
        </xdr:to>
        <xdr:sp macro="" textlink="">
          <xdr:nvSpPr>
            <xdr:cNvPr id="61631" name="Object 191" hidden="1">
              <a:extLst>
                <a:ext uri="{63B3BB69-23CF-44E3-9099-C40C66FF867C}">
                  <a14:compatExt spid="_x0000_s61631"/>
                </a:ext>
                <a:ext uri="{FF2B5EF4-FFF2-40B4-BE49-F238E27FC236}">
                  <a16:creationId xmlns:a16="http://schemas.microsoft.com/office/drawing/2014/main" id="{00000000-0008-0000-0400-0000BFF00000}"/>
                </a:ext>
              </a:extLst>
            </xdr:cNvPr>
            <xdr:cNvSpPr/>
          </xdr:nvSpPr>
          <xdr:spPr bwMode="auto">
            <a:xfrm>
              <a:off x="0" y="0"/>
              <a:ext cx="0" cy="0"/>
            </a:xfrm>
            <a:prstGeom prst="rect">
              <a:avLst/>
            </a:prstGeom>
            <a:noFill/>
            <a:extLst>
              <a:ext uri="{909E8E84-426E-40DD-AFC4-6F175D3DCCD1}">
                <a14:hiddenFill>
                  <a:solidFill>
                    <a:srgbClr val="FFFFFF"/>
                  </a:solid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42</xdr:col>
          <xdr:colOff>57150</xdr:colOff>
          <xdr:row>4</xdr:row>
          <xdr:rowOff>381000</xdr:rowOff>
        </xdr:from>
        <xdr:to>
          <xdr:col>42</xdr:col>
          <xdr:colOff>2752725</xdr:colOff>
          <xdr:row>4</xdr:row>
          <xdr:rowOff>981075</xdr:rowOff>
        </xdr:to>
        <xdr:sp macro="" textlink="">
          <xdr:nvSpPr>
            <xdr:cNvPr id="61637" name="Object 5" hidden="1">
              <a:extLst>
                <a:ext uri="{63B3BB69-23CF-44E3-9099-C40C66FF867C}">
                  <a14:compatExt spid="_x0000_s61637"/>
                </a:ext>
                <a:ext uri="{FF2B5EF4-FFF2-40B4-BE49-F238E27FC236}">
                  <a16:creationId xmlns:a16="http://schemas.microsoft.com/office/drawing/2014/main" id="{00000000-0008-0000-0400-0000C5F00000}"/>
                </a:ext>
              </a:extLst>
            </xdr:cNvPr>
            <xdr:cNvSpPr/>
          </xdr:nvSpPr>
          <xdr:spPr bwMode="auto">
            <a:xfrm>
              <a:off x="0" y="0"/>
              <a:ext cx="0" cy="0"/>
            </a:xfrm>
            <a:prstGeom prst="rect">
              <a:avLst/>
            </a:prstGeom>
            <a:noFill/>
            <a:extLst>
              <a:ext uri="{909E8E84-426E-40DD-AFC4-6F175D3DCCD1}">
                <a14:hiddenFill>
                  <a:solidFill>
                    <a:srgbClr val="FFFFFF"/>
                  </a:solid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42</xdr:col>
          <xdr:colOff>57150</xdr:colOff>
          <xdr:row>3</xdr:row>
          <xdr:rowOff>609600</xdr:rowOff>
        </xdr:from>
        <xdr:to>
          <xdr:col>43</xdr:col>
          <xdr:colOff>66675</xdr:colOff>
          <xdr:row>3</xdr:row>
          <xdr:rowOff>1247775</xdr:rowOff>
        </xdr:to>
        <xdr:sp macro="" textlink="">
          <xdr:nvSpPr>
            <xdr:cNvPr id="61638" name="Object 6" hidden="1">
              <a:extLst>
                <a:ext uri="{63B3BB69-23CF-44E3-9099-C40C66FF867C}">
                  <a14:compatExt spid="_x0000_s61638"/>
                </a:ext>
                <a:ext uri="{FF2B5EF4-FFF2-40B4-BE49-F238E27FC236}">
                  <a16:creationId xmlns:a16="http://schemas.microsoft.com/office/drawing/2014/main" id="{00000000-0008-0000-0400-0000C6F00000}"/>
                </a:ext>
              </a:extLst>
            </xdr:cNvPr>
            <xdr:cNvSpPr/>
          </xdr:nvSpPr>
          <xdr:spPr bwMode="auto">
            <a:xfrm>
              <a:off x="0" y="0"/>
              <a:ext cx="0" cy="0"/>
            </a:xfrm>
            <a:prstGeom prst="rect">
              <a:avLst/>
            </a:prstGeom>
            <a:noFill/>
            <a:extLst>
              <a:ext uri="{909E8E84-426E-40DD-AFC4-6F175D3DCCD1}">
                <a14:hiddenFill>
                  <a:solidFill>
                    <a:srgbClr val="FFFFFF"/>
                  </a:solidFill>
                </a14:hiddenFill>
              </a:ext>
            </a:extLst>
          </xdr:spPr>
        </xdr:sp>
        <xdr:clientData/>
      </xdr:twoCellAnchor>
    </mc:Choice>
    <mc:Fallback/>
  </mc:AlternateContent>
  <xdr:twoCellAnchor>
    <xdr:from>
      <xdr:col>42</xdr:col>
      <xdr:colOff>71437</xdr:colOff>
      <xdr:row>5</xdr:row>
      <xdr:rowOff>1035843</xdr:rowOff>
    </xdr:from>
    <xdr:to>
      <xdr:col>42</xdr:col>
      <xdr:colOff>2758281</xdr:colOff>
      <xdr:row>5</xdr:row>
      <xdr:rowOff>1591468</xdr:rowOff>
    </xdr:to>
    <xdr:pic>
      <xdr:nvPicPr>
        <xdr:cNvPr id="56" name="14 Imagen">
          <a:extLst>
            <a:ext uri="{FF2B5EF4-FFF2-40B4-BE49-F238E27FC236}">
              <a16:creationId xmlns:a16="http://schemas.microsoft.com/office/drawing/2014/main" id="{00000000-0008-0000-0400-000038000000}"/>
            </a:ext>
          </a:extLst>
        </xdr:cNvPr>
        <xdr:cNvPicPr>
          <a:picLocks noChangeAspect="1" noChangeArrowheads="1"/>
        </xdr:cNvPicPr>
      </xdr:nvPicPr>
      <xdr:blipFill>
        <a:blip xmlns:r="http://schemas.openxmlformats.org/officeDocument/2006/relationships" r:embed="rId1">
          <a:clrChange>
            <a:clrFrom>
              <a:srgbClr val="FFFFFF"/>
            </a:clrFrom>
            <a:clrTo>
              <a:srgbClr val="FFFFFF">
                <a:alpha val="0"/>
              </a:srgbClr>
            </a:clrTo>
          </a:clrChange>
          <a:extLst>
            <a:ext uri="{28A0092B-C50C-407E-A947-70E740481C1C}">
              <a14:useLocalDpi xmlns:a14="http://schemas.microsoft.com/office/drawing/2010/main" val="0"/>
            </a:ext>
          </a:extLst>
        </a:blip>
        <a:srcRect/>
        <a:stretch>
          <a:fillRect/>
        </a:stretch>
      </xdr:blipFill>
      <xdr:spPr bwMode="auto">
        <a:xfrm>
          <a:off x="56697562" y="7360443"/>
          <a:ext cx="2686844" cy="5556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mc:AlternateContent xmlns:mc="http://schemas.openxmlformats.org/markup-compatibility/2006">
    <mc:Choice xmlns:a14="http://schemas.microsoft.com/office/drawing/2010/main" Requires="a14">
      <xdr:twoCellAnchor>
        <xdr:from>
          <xdr:col>42</xdr:col>
          <xdr:colOff>38100</xdr:colOff>
          <xdr:row>6</xdr:row>
          <xdr:rowOff>638175</xdr:rowOff>
        </xdr:from>
        <xdr:to>
          <xdr:col>43</xdr:col>
          <xdr:colOff>57150</xdr:colOff>
          <xdr:row>6</xdr:row>
          <xdr:rowOff>1028700</xdr:rowOff>
        </xdr:to>
        <xdr:sp macro="" textlink="">
          <xdr:nvSpPr>
            <xdr:cNvPr id="61639" name="Object 1" hidden="1">
              <a:extLst>
                <a:ext uri="{63B3BB69-23CF-44E3-9099-C40C66FF867C}">
                  <a14:compatExt spid="_x0000_s61639"/>
                </a:ext>
                <a:ext uri="{FF2B5EF4-FFF2-40B4-BE49-F238E27FC236}">
                  <a16:creationId xmlns:a16="http://schemas.microsoft.com/office/drawing/2014/main" id="{00000000-0008-0000-0400-0000C7F00000}"/>
                </a:ext>
              </a:extLst>
            </xdr:cNvPr>
            <xdr:cNvSpPr/>
          </xdr:nvSpPr>
          <xdr:spPr bwMode="auto">
            <a:xfrm>
              <a:off x="0" y="0"/>
              <a:ext cx="0" cy="0"/>
            </a:xfrm>
            <a:prstGeom prst="rect">
              <a:avLst/>
            </a:prstGeom>
            <a:noFill/>
            <a:extLst>
              <a:ext uri="{909E8E84-426E-40DD-AFC4-6F175D3DCCD1}">
                <a14:hiddenFill>
                  <a:solidFill>
                    <a:srgbClr val="FFFFFF"/>
                  </a:solidFill>
                </a14:hiddenFill>
              </a:ext>
            </a:extLst>
          </xdr:spPr>
        </xdr:sp>
        <xdr:clientData/>
      </xdr:twoCellAnchor>
    </mc:Choice>
    <mc:Fallback/>
  </mc:AlternateContent>
  <xdr:twoCellAnchor editAs="oneCell">
    <xdr:from>
      <xdr:col>42</xdr:col>
      <xdr:colOff>108857</xdr:colOff>
      <xdr:row>195</xdr:row>
      <xdr:rowOff>190500</xdr:rowOff>
    </xdr:from>
    <xdr:to>
      <xdr:col>42</xdr:col>
      <xdr:colOff>108857</xdr:colOff>
      <xdr:row>196</xdr:row>
      <xdr:rowOff>1493496</xdr:rowOff>
    </xdr:to>
    <xdr:pic>
      <xdr:nvPicPr>
        <xdr:cNvPr id="58" name="6 Imagen">
          <a:extLst>
            <a:ext uri="{FF2B5EF4-FFF2-40B4-BE49-F238E27FC236}">
              <a16:creationId xmlns:a16="http://schemas.microsoft.com/office/drawing/2014/main" id="{00000000-0008-0000-0400-00003A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56734982" y="16602075"/>
          <a:ext cx="0" cy="348104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42</xdr:col>
      <xdr:colOff>35718</xdr:colOff>
      <xdr:row>191</xdr:row>
      <xdr:rowOff>1004094</xdr:rowOff>
    </xdr:from>
    <xdr:to>
      <xdr:col>42</xdr:col>
      <xdr:colOff>2612231</xdr:colOff>
      <xdr:row>191</xdr:row>
      <xdr:rowOff>1512094</xdr:rowOff>
    </xdr:to>
    <xdr:pic>
      <xdr:nvPicPr>
        <xdr:cNvPr id="59" name="9 Imagen">
          <a:extLst>
            <a:ext uri="{FF2B5EF4-FFF2-40B4-BE49-F238E27FC236}">
              <a16:creationId xmlns:a16="http://schemas.microsoft.com/office/drawing/2014/main" id="{00000000-0008-0000-0400-00003B000000}"/>
            </a:ext>
          </a:extLst>
        </xdr:cNvPr>
        <xdr:cNvPicPr>
          <a:picLocks noChangeAspect="1" noChangeArrowheads="1"/>
        </xdr:cNvPicPr>
      </xdr:nvPicPr>
      <xdr:blipFill>
        <a:blip xmlns:r="http://schemas.openxmlformats.org/officeDocument/2006/relationships" r:embed="rId3">
          <a:clrChange>
            <a:clrFrom>
              <a:srgbClr val="FFFFFF"/>
            </a:clrFrom>
            <a:clrTo>
              <a:srgbClr val="FFFFFF">
                <a:alpha val="0"/>
              </a:srgbClr>
            </a:clrTo>
          </a:clrChange>
          <a:extLst>
            <a:ext uri="{28A0092B-C50C-407E-A947-70E740481C1C}">
              <a14:useLocalDpi xmlns:a14="http://schemas.microsoft.com/office/drawing/2010/main" val="0"/>
            </a:ext>
          </a:extLst>
        </a:blip>
        <a:srcRect/>
        <a:stretch>
          <a:fillRect/>
        </a:stretch>
      </xdr:blipFill>
      <xdr:spPr bwMode="auto">
        <a:xfrm>
          <a:off x="56661843" y="3347244"/>
          <a:ext cx="2576513" cy="508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42</xdr:col>
      <xdr:colOff>47624</xdr:colOff>
      <xdr:row>193</xdr:row>
      <xdr:rowOff>916780</xdr:rowOff>
    </xdr:from>
    <xdr:to>
      <xdr:col>42</xdr:col>
      <xdr:colOff>2722562</xdr:colOff>
      <xdr:row>193</xdr:row>
      <xdr:rowOff>1472405</xdr:rowOff>
    </xdr:to>
    <xdr:pic>
      <xdr:nvPicPr>
        <xdr:cNvPr id="60" name="10 Imagen">
          <a:extLst>
            <a:ext uri="{FF2B5EF4-FFF2-40B4-BE49-F238E27FC236}">
              <a16:creationId xmlns:a16="http://schemas.microsoft.com/office/drawing/2014/main" id="{00000000-0008-0000-0400-00003C000000}"/>
            </a:ext>
          </a:extLst>
        </xdr:cNvPr>
        <xdr:cNvPicPr>
          <a:picLocks noChangeAspect="1" noChangeArrowheads="1"/>
        </xdr:cNvPicPr>
      </xdr:nvPicPr>
      <xdr:blipFill>
        <a:blip xmlns:r="http://schemas.openxmlformats.org/officeDocument/2006/relationships" r:embed="rId4">
          <a:clrChange>
            <a:clrFrom>
              <a:srgbClr val="FFFFFF"/>
            </a:clrFrom>
            <a:clrTo>
              <a:srgbClr val="FFFFFF">
                <a:alpha val="0"/>
              </a:srgbClr>
            </a:clrTo>
          </a:clrChange>
          <a:extLst>
            <a:ext uri="{28A0092B-C50C-407E-A947-70E740481C1C}">
              <a14:useLocalDpi xmlns:a14="http://schemas.microsoft.com/office/drawing/2010/main" val="0"/>
            </a:ext>
          </a:extLst>
        </a:blip>
        <a:srcRect/>
        <a:stretch>
          <a:fillRect/>
        </a:stretch>
      </xdr:blipFill>
      <xdr:spPr bwMode="auto">
        <a:xfrm>
          <a:off x="56673749" y="10013155"/>
          <a:ext cx="2674938" cy="5556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42</xdr:col>
      <xdr:colOff>59531</xdr:colOff>
      <xdr:row>194</xdr:row>
      <xdr:rowOff>1357312</xdr:rowOff>
    </xdr:from>
    <xdr:to>
      <xdr:col>42</xdr:col>
      <xdr:colOff>2710657</xdr:colOff>
      <xdr:row>194</xdr:row>
      <xdr:rowOff>1976437</xdr:rowOff>
    </xdr:to>
    <xdr:pic>
      <xdr:nvPicPr>
        <xdr:cNvPr id="61" name="11 Imagen">
          <a:extLst>
            <a:ext uri="{FF2B5EF4-FFF2-40B4-BE49-F238E27FC236}">
              <a16:creationId xmlns:a16="http://schemas.microsoft.com/office/drawing/2014/main" id="{00000000-0008-0000-0400-00003D000000}"/>
            </a:ext>
          </a:extLst>
        </xdr:cNvPr>
        <xdr:cNvPicPr>
          <a:picLocks noChangeAspect="1" noChangeArrowheads="1"/>
        </xdr:cNvPicPr>
      </xdr:nvPicPr>
      <xdr:blipFill>
        <a:blip xmlns:r="http://schemas.openxmlformats.org/officeDocument/2006/relationships" r:embed="rId4">
          <a:clrChange>
            <a:clrFrom>
              <a:srgbClr val="FFFFFF"/>
            </a:clrFrom>
            <a:clrTo>
              <a:srgbClr val="FFFFFF">
                <a:alpha val="0"/>
              </a:srgbClr>
            </a:clrTo>
          </a:clrChange>
          <a:extLst>
            <a:ext uri="{28A0092B-C50C-407E-A947-70E740481C1C}">
              <a14:useLocalDpi xmlns:a14="http://schemas.microsoft.com/office/drawing/2010/main" val="0"/>
            </a:ext>
          </a:extLst>
        </a:blip>
        <a:srcRect/>
        <a:stretch>
          <a:fillRect/>
        </a:stretch>
      </xdr:blipFill>
      <xdr:spPr bwMode="auto">
        <a:xfrm>
          <a:off x="56685656" y="14111287"/>
          <a:ext cx="2651126" cy="6191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42</xdr:col>
      <xdr:colOff>142875</xdr:colOff>
      <xdr:row>192</xdr:row>
      <xdr:rowOff>801688</xdr:rowOff>
    </xdr:from>
    <xdr:to>
      <xdr:col>42</xdr:col>
      <xdr:colOff>2619375</xdr:colOff>
      <xdr:row>192</xdr:row>
      <xdr:rowOff>1373188</xdr:rowOff>
    </xdr:to>
    <xdr:pic>
      <xdr:nvPicPr>
        <xdr:cNvPr id="62" name="12 Imagen">
          <a:extLst>
            <a:ext uri="{FF2B5EF4-FFF2-40B4-BE49-F238E27FC236}">
              <a16:creationId xmlns:a16="http://schemas.microsoft.com/office/drawing/2014/main" id="{00000000-0008-0000-0400-00003E000000}"/>
            </a:ext>
          </a:extLst>
        </xdr:cNvPr>
        <xdr:cNvPicPr>
          <a:picLocks noChangeAspect="1" noChangeArrowheads="1"/>
        </xdr:cNvPicPr>
      </xdr:nvPicPr>
      <xdr:blipFill>
        <a:blip xmlns:r="http://schemas.openxmlformats.org/officeDocument/2006/relationships" r:embed="rId3">
          <a:clrChange>
            <a:clrFrom>
              <a:srgbClr val="FFFFFF"/>
            </a:clrFrom>
            <a:clrTo>
              <a:srgbClr val="FFFFFF">
                <a:alpha val="0"/>
              </a:srgbClr>
            </a:clrTo>
          </a:clrChange>
          <a:extLst>
            <a:ext uri="{28A0092B-C50C-407E-A947-70E740481C1C}">
              <a14:useLocalDpi xmlns:a14="http://schemas.microsoft.com/office/drawing/2010/main" val="0"/>
            </a:ext>
          </a:extLst>
        </a:blip>
        <a:srcRect/>
        <a:stretch>
          <a:fillRect/>
        </a:stretch>
      </xdr:blipFill>
      <xdr:spPr bwMode="auto">
        <a:xfrm>
          <a:off x="56769000" y="6240463"/>
          <a:ext cx="2476500" cy="5715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42</xdr:col>
      <xdr:colOff>108857</xdr:colOff>
      <xdr:row>195</xdr:row>
      <xdr:rowOff>190500</xdr:rowOff>
    </xdr:from>
    <xdr:to>
      <xdr:col>42</xdr:col>
      <xdr:colOff>108857</xdr:colOff>
      <xdr:row>195</xdr:row>
      <xdr:rowOff>1006929</xdr:rowOff>
    </xdr:to>
    <xdr:pic>
      <xdr:nvPicPr>
        <xdr:cNvPr id="63" name="6 Imagen">
          <a:extLst>
            <a:ext uri="{FF2B5EF4-FFF2-40B4-BE49-F238E27FC236}">
              <a16:creationId xmlns:a16="http://schemas.microsoft.com/office/drawing/2014/main" id="{00000000-0008-0000-0400-00003F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56734982" y="16602075"/>
          <a:ext cx="0" cy="81642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oneCellAnchor>
    <xdr:from>
      <xdr:col>42</xdr:col>
      <xdr:colOff>108857</xdr:colOff>
      <xdr:row>235</xdr:row>
      <xdr:rowOff>190500</xdr:rowOff>
    </xdr:from>
    <xdr:ext cx="0" cy="816429"/>
    <xdr:pic>
      <xdr:nvPicPr>
        <xdr:cNvPr id="64" name="6 Imagen">
          <a:extLst>
            <a:ext uri="{FF2B5EF4-FFF2-40B4-BE49-F238E27FC236}">
              <a16:creationId xmlns:a16="http://schemas.microsoft.com/office/drawing/2014/main" id="{00000000-0008-0000-0400-000040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56734982" y="19516725"/>
          <a:ext cx="0" cy="816429"/>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42</xdr:col>
      <xdr:colOff>108857</xdr:colOff>
      <xdr:row>236</xdr:row>
      <xdr:rowOff>190500</xdr:rowOff>
    </xdr:from>
    <xdr:ext cx="0" cy="816429"/>
    <xdr:pic>
      <xdr:nvPicPr>
        <xdr:cNvPr id="65" name="6 Imagen">
          <a:extLst>
            <a:ext uri="{FF2B5EF4-FFF2-40B4-BE49-F238E27FC236}">
              <a16:creationId xmlns:a16="http://schemas.microsoft.com/office/drawing/2014/main" id="{00000000-0008-0000-0400-000041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56734982" y="24555450"/>
          <a:ext cx="0" cy="816429"/>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mc:AlternateContent xmlns:mc="http://schemas.openxmlformats.org/markup-compatibility/2006">
    <mc:Choice xmlns:a14="http://schemas.microsoft.com/office/drawing/2010/main" Requires="a14">
      <xdr:twoCellAnchor editAs="oneCell">
        <xdr:from>
          <xdr:col>42</xdr:col>
          <xdr:colOff>57150</xdr:colOff>
          <xdr:row>195</xdr:row>
          <xdr:rowOff>847725</xdr:rowOff>
        </xdr:from>
        <xdr:to>
          <xdr:col>42</xdr:col>
          <xdr:colOff>2724150</xdr:colOff>
          <xdr:row>196</xdr:row>
          <xdr:rowOff>742950</xdr:rowOff>
        </xdr:to>
        <xdr:sp macro="" textlink="">
          <xdr:nvSpPr>
            <xdr:cNvPr id="61642" name="Object 202" hidden="1">
              <a:extLst>
                <a:ext uri="{63B3BB69-23CF-44E3-9099-C40C66FF867C}">
                  <a14:compatExt spid="_x0000_s61642"/>
                </a:ext>
                <a:ext uri="{FF2B5EF4-FFF2-40B4-BE49-F238E27FC236}">
                  <a16:creationId xmlns:a16="http://schemas.microsoft.com/office/drawing/2014/main" id="{00000000-0008-0000-0400-0000CAF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oneCellAnchor>
    <xdr:from>
      <xdr:col>42</xdr:col>
      <xdr:colOff>429357</xdr:colOff>
      <xdr:row>139</xdr:row>
      <xdr:rowOff>161924</xdr:rowOff>
    </xdr:from>
    <xdr:ext cx="1724062" cy="338426"/>
    <mc:AlternateContent xmlns:mc="http://schemas.openxmlformats.org/markup-compatibility/2006" xmlns:a14="http://schemas.microsoft.com/office/drawing/2010/main">
      <mc:Choice Requires="a14">
        <xdr:sp macro="" textlink="">
          <xdr:nvSpPr>
            <xdr:cNvPr id="67" name="CuadroTexto 66">
              <a:extLst>
                <a:ext uri="{FF2B5EF4-FFF2-40B4-BE49-F238E27FC236}">
                  <a16:creationId xmlns:a16="http://schemas.microsoft.com/office/drawing/2014/main" id="{00000000-0008-0000-0400-000043000000}"/>
                </a:ext>
              </a:extLst>
            </xdr:cNvPr>
            <xdr:cNvSpPr txBox="1"/>
          </xdr:nvSpPr>
          <xdr:spPr>
            <a:xfrm>
              <a:off x="40253382" y="1095374"/>
              <a:ext cx="1724062" cy="33842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marL="0" marR="0" indent="0" defTabSz="914400" eaLnBrk="1" fontAlgn="auto" latinLnBrk="0" hangingPunct="1">
                <a:lnSpc>
                  <a:spcPct val="100000"/>
                </a:lnSpc>
                <a:spcBef>
                  <a:spcPts val="0"/>
                </a:spcBef>
                <a:spcAft>
                  <a:spcPts val="0"/>
                </a:spcAft>
                <a:buClrTx/>
                <a:buSzTx/>
                <a:buFontTx/>
                <a:buNone/>
                <a:tabLst/>
                <a:defRPr/>
              </a:pPr>
              <a14:m>
                <m:oMathPara xmlns:m="http://schemas.openxmlformats.org/officeDocument/2006/math">
                  <m:oMathParaPr>
                    <m:jc m:val="centerGroup"/>
                  </m:oMathParaPr>
                  <m:oMath xmlns:m="http://schemas.openxmlformats.org/officeDocument/2006/math">
                    <m:r>
                      <a:rPr lang="es-MX" sz="1000" b="0" i="1">
                        <a:latin typeface="Cambria Math" panose="02040503050406030204" pitchFamily="18" charset="0"/>
                      </a:rPr>
                      <m:t>𝑃𝐴𝐼𝐷</m:t>
                    </m:r>
                    <m:r>
                      <a:rPr lang="es-MX" sz="1000" b="0" i="1">
                        <a:latin typeface="Cambria Math" panose="02040503050406030204" pitchFamily="18" charset="0"/>
                      </a:rPr>
                      <m:t>=</m:t>
                    </m:r>
                    <m:f>
                      <m:fPr>
                        <m:ctrlPr>
                          <a:rPr lang="es-MX" sz="1000" b="0" i="1">
                            <a:latin typeface="Cambria Math" panose="02040503050406030204" pitchFamily="18" charset="0"/>
                          </a:rPr>
                        </m:ctrlPr>
                      </m:fPr>
                      <m:num>
                        <m:sSub>
                          <m:sSubPr>
                            <m:ctrlPr>
                              <a:rPr lang="es-MX" sz="1000" b="0" i="1">
                                <a:latin typeface="Cambria Math" panose="02040503050406030204" pitchFamily="18" charset="0"/>
                              </a:rPr>
                            </m:ctrlPr>
                          </m:sSubPr>
                          <m:e>
                            <m:r>
                              <a:rPr lang="es-MX" sz="1000" b="0" i="1">
                                <a:latin typeface="Cambria Math" panose="02040503050406030204" pitchFamily="18" charset="0"/>
                              </a:rPr>
                              <m:t>𝑃𝐶𝐴𝐼𝐷</m:t>
                            </m:r>
                          </m:e>
                          <m:sub>
                            <m:r>
                              <a:rPr lang="es-MX" sz="1000" b="0" i="1">
                                <a:latin typeface="Cambria Math" panose="02040503050406030204" pitchFamily="18" charset="0"/>
                              </a:rPr>
                              <m:t>5</m:t>
                            </m:r>
                            <m:r>
                              <a:rPr lang="es-MX" sz="1000" b="0" i="1">
                                <a:latin typeface="Cambria Math" panose="02040503050406030204" pitchFamily="18" charset="0"/>
                              </a:rPr>
                              <m:t>𝑎</m:t>
                            </m:r>
                            <m:r>
                              <a:rPr lang="es-MX" sz="1000" b="0" i="1">
                                <a:latin typeface="Cambria Math" panose="02040503050406030204" pitchFamily="18" charset="0"/>
                              </a:rPr>
                              <m:t>ñ</m:t>
                            </m:r>
                            <m:r>
                              <a:rPr lang="es-MX" sz="1000" b="0" i="1">
                                <a:latin typeface="Cambria Math" panose="02040503050406030204" pitchFamily="18" charset="0"/>
                              </a:rPr>
                              <m:t>𝑜𝑠</m:t>
                            </m:r>
                            <m:r>
                              <a:rPr lang="es-MX" sz="1000" b="0" i="1">
                                <a:latin typeface="Cambria Math" panose="02040503050406030204" pitchFamily="18" charset="0"/>
                              </a:rPr>
                              <m:t> </m:t>
                            </m:r>
                            <m:r>
                              <a:rPr lang="es-MX" sz="1000" b="0" i="1">
                                <a:latin typeface="Cambria Math" panose="02040503050406030204" pitchFamily="18" charset="0"/>
                              </a:rPr>
                              <m:t>𝑦</m:t>
                            </m:r>
                            <m:r>
                              <a:rPr lang="es-MX" sz="1000" b="0" i="1">
                                <a:latin typeface="Cambria Math" panose="02040503050406030204" pitchFamily="18" charset="0"/>
                              </a:rPr>
                              <m:t> </m:t>
                            </m:r>
                            <m:r>
                              <a:rPr lang="es-MX" sz="1000" b="0" i="1">
                                <a:latin typeface="Cambria Math" panose="02040503050406030204" pitchFamily="18" charset="0"/>
                              </a:rPr>
                              <m:t>𝑚</m:t>
                            </m:r>
                            <m:r>
                              <a:rPr lang="es-MX" sz="1000" b="0" i="1">
                                <a:latin typeface="Cambria Math" panose="02040503050406030204" pitchFamily="18" charset="0"/>
                              </a:rPr>
                              <m:t>á</m:t>
                            </m:r>
                            <m:r>
                              <a:rPr lang="es-MX" sz="1000" b="0" i="1">
                                <a:latin typeface="Cambria Math" panose="02040503050406030204" pitchFamily="18" charset="0"/>
                              </a:rPr>
                              <m:t>𝑠</m:t>
                            </m:r>
                          </m:sub>
                        </m:sSub>
                      </m:num>
                      <m:den>
                        <m:sSub>
                          <m:sSubPr>
                            <m:ctrlPr>
                              <a:rPr lang="es-MX" sz="1000" b="0" i="1">
                                <a:latin typeface="Cambria Math" panose="02040503050406030204" pitchFamily="18" charset="0"/>
                              </a:rPr>
                            </m:ctrlPr>
                          </m:sSubPr>
                          <m:e>
                            <m:r>
                              <a:rPr lang="es-MX" sz="1000" b="0" i="1">
                                <a:latin typeface="Cambria Math" panose="02040503050406030204" pitchFamily="18" charset="0"/>
                              </a:rPr>
                              <m:t>𝑃𝑇</m:t>
                            </m:r>
                          </m:e>
                          <m:sub>
                            <m:r>
                              <a:rPr lang="es-MX" sz="1000" b="0" i="1">
                                <a:solidFill>
                                  <a:schemeClr val="tx1"/>
                                </a:solidFill>
                                <a:effectLst/>
                                <a:latin typeface="Cambria Math" panose="02040503050406030204" pitchFamily="18" charset="0"/>
                                <a:ea typeface="+mn-ea"/>
                                <a:cs typeface="+mn-cs"/>
                              </a:rPr>
                              <m:t>5</m:t>
                            </m:r>
                            <m:r>
                              <a:rPr lang="es-MX" sz="1000" b="0" i="1">
                                <a:solidFill>
                                  <a:schemeClr val="tx1"/>
                                </a:solidFill>
                                <a:effectLst/>
                                <a:latin typeface="Cambria Math" panose="02040503050406030204" pitchFamily="18" charset="0"/>
                                <a:ea typeface="+mn-ea"/>
                                <a:cs typeface="+mn-cs"/>
                              </a:rPr>
                              <m:t>𝑎</m:t>
                            </m:r>
                            <m:r>
                              <a:rPr lang="es-MX" sz="1000" b="0" i="1">
                                <a:solidFill>
                                  <a:schemeClr val="tx1"/>
                                </a:solidFill>
                                <a:effectLst/>
                                <a:latin typeface="Cambria Math" panose="02040503050406030204" pitchFamily="18" charset="0"/>
                                <a:ea typeface="+mn-ea"/>
                                <a:cs typeface="+mn-cs"/>
                              </a:rPr>
                              <m:t>ñ</m:t>
                            </m:r>
                            <m:r>
                              <a:rPr lang="es-MX" sz="1000" b="0" i="1">
                                <a:solidFill>
                                  <a:schemeClr val="tx1"/>
                                </a:solidFill>
                                <a:effectLst/>
                                <a:latin typeface="Cambria Math" panose="02040503050406030204" pitchFamily="18" charset="0"/>
                                <a:ea typeface="+mn-ea"/>
                                <a:cs typeface="+mn-cs"/>
                              </a:rPr>
                              <m:t>𝑜𝑠</m:t>
                            </m:r>
                            <m:r>
                              <a:rPr lang="es-MX" sz="1000" b="0" i="1">
                                <a:solidFill>
                                  <a:schemeClr val="tx1"/>
                                </a:solidFill>
                                <a:effectLst/>
                                <a:latin typeface="Cambria Math" panose="02040503050406030204" pitchFamily="18" charset="0"/>
                                <a:ea typeface="+mn-ea"/>
                                <a:cs typeface="+mn-cs"/>
                              </a:rPr>
                              <m:t> </m:t>
                            </m:r>
                            <m:r>
                              <a:rPr lang="es-MX" sz="1000" b="0" i="1">
                                <a:solidFill>
                                  <a:schemeClr val="tx1"/>
                                </a:solidFill>
                                <a:effectLst/>
                                <a:latin typeface="Cambria Math" panose="02040503050406030204" pitchFamily="18" charset="0"/>
                                <a:ea typeface="+mn-ea"/>
                                <a:cs typeface="+mn-cs"/>
                              </a:rPr>
                              <m:t>𝑦</m:t>
                            </m:r>
                            <m:r>
                              <a:rPr lang="es-MX" sz="1000" b="0" i="1">
                                <a:solidFill>
                                  <a:schemeClr val="tx1"/>
                                </a:solidFill>
                                <a:effectLst/>
                                <a:latin typeface="Cambria Math" panose="02040503050406030204" pitchFamily="18" charset="0"/>
                                <a:ea typeface="+mn-ea"/>
                                <a:cs typeface="+mn-cs"/>
                              </a:rPr>
                              <m:t> </m:t>
                            </m:r>
                            <m:r>
                              <a:rPr lang="es-MX" sz="1000" b="0" i="1">
                                <a:solidFill>
                                  <a:schemeClr val="tx1"/>
                                </a:solidFill>
                                <a:effectLst/>
                                <a:latin typeface="Cambria Math" panose="02040503050406030204" pitchFamily="18" charset="0"/>
                                <a:ea typeface="+mn-ea"/>
                                <a:cs typeface="+mn-cs"/>
                              </a:rPr>
                              <m:t>𝑚</m:t>
                            </m:r>
                            <m:r>
                              <a:rPr lang="es-MX" sz="1000" b="0" i="1">
                                <a:solidFill>
                                  <a:schemeClr val="tx1"/>
                                </a:solidFill>
                                <a:effectLst/>
                                <a:latin typeface="Cambria Math" panose="02040503050406030204" pitchFamily="18" charset="0"/>
                                <a:ea typeface="+mn-ea"/>
                                <a:cs typeface="+mn-cs"/>
                              </a:rPr>
                              <m:t>á</m:t>
                            </m:r>
                            <m:r>
                              <a:rPr lang="es-MX" sz="1000" b="0" i="1">
                                <a:solidFill>
                                  <a:schemeClr val="tx1"/>
                                </a:solidFill>
                                <a:effectLst/>
                                <a:latin typeface="Cambria Math" panose="02040503050406030204" pitchFamily="18" charset="0"/>
                                <a:ea typeface="+mn-ea"/>
                                <a:cs typeface="+mn-cs"/>
                              </a:rPr>
                              <m:t>𝑠</m:t>
                            </m:r>
                          </m:sub>
                        </m:sSub>
                      </m:den>
                    </m:f>
                    <m:r>
                      <m:rPr>
                        <m:sty m:val="p"/>
                      </m:rPr>
                      <a:rPr lang="es-MX" sz="1000" b="0" i="0">
                        <a:solidFill>
                          <a:schemeClr val="tx1"/>
                        </a:solidFill>
                        <a:effectLst/>
                        <a:latin typeface="Cambria Math" panose="02040503050406030204" pitchFamily="18" charset="0"/>
                        <a:ea typeface="+mn-ea"/>
                        <a:cs typeface="+mn-cs"/>
                      </a:rPr>
                      <m:t>x</m:t>
                    </m:r>
                    <m:r>
                      <a:rPr lang="es-MX" sz="1000" b="0" i="0">
                        <a:solidFill>
                          <a:schemeClr val="tx1"/>
                        </a:solidFill>
                        <a:effectLst/>
                        <a:latin typeface="Cambria Math" panose="02040503050406030204" pitchFamily="18" charset="0"/>
                        <a:ea typeface="+mn-ea"/>
                        <a:cs typeface="+mn-cs"/>
                      </a:rPr>
                      <m:t>100</m:t>
                    </m:r>
                  </m:oMath>
                </m:oMathPara>
              </a14:m>
              <a:endParaRPr lang="es-BO" sz="1000">
                <a:effectLst/>
                <a:latin typeface="Arial" panose="020B0604020202020204" pitchFamily="34" charset="0"/>
                <a:cs typeface="Arial" panose="020B0604020202020204" pitchFamily="34" charset="0"/>
              </a:endParaRPr>
            </a:p>
          </xdr:txBody>
        </xdr:sp>
      </mc:Choice>
      <mc:Fallback xmlns="">
        <xdr:sp macro="" textlink="">
          <xdr:nvSpPr>
            <xdr:cNvPr id="67" name="CuadroTexto 66"/>
            <xdr:cNvSpPr txBox="1"/>
          </xdr:nvSpPr>
          <xdr:spPr>
            <a:xfrm>
              <a:off x="40253382" y="1095374"/>
              <a:ext cx="1724062" cy="33842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marL="0" marR="0" indent="0" defTabSz="914400" eaLnBrk="1" fontAlgn="auto" latinLnBrk="0" hangingPunct="1">
                <a:lnSpc>
                  <a:spcPct val="100000"/>
                </a:lnSpc>
                <a:spcBef>
                  <a:spcPts val="0"/>
                </a:spcBef>
                <a:spcAft>
                  <a:spcPts val="0"/>
                </a:spcAft>
                <a:buClrTx/>
                <a:buSzTx/>
                <a:buFontTx/>
                <a:buNone/>
                <a:tabLst/>
                <a:defRPr/>
              </a:pPr>
              <a:r>
                <a:rPr lang="es-MX" sz="1000" b="0" i="0">
                  <a:latin typeface="Cambria Math" panose="02040503050406030204" pitchFamily="18" charset="0"/>
                </a:rPr>
                <a:t>𝑃𝐴𝐼𝐷=〖𝑃𝐶𝐴𝐼𝐷〗_(5𝑎ñ𝑜𝑠 𝑦 𝑚á𝑠)/〖𝑃𝑇〗_(</a:t>
              </a:r>
              <a:r>
                <a:rPr lang="es-MX" sz="1000" b="0" i="0">
                  <a:solidFill>
                    <a:schemeClr val="tx1"/>
                  </a:solidFill>
                  <a:effectLst/>
                  <a:latin typeface="Cambria Math" panose="02040503050406030204" pitchFamily="18" charset="0"/>
                  <a:ea typeface="+mn-ea"/>
                  <a:cs typeface="+mn-cs"/>
                </a:rPr>
                <a:t>5𝑎ñ𝑜𝑠 𝑦 𝑚á𝑠)  x100</a:t>
              </a:r>
              <a:endParaRPr lang="es-BO" sz="1000">
                <a:effectLst/>
                <a:latin typeface="Arial" panose="020B0604020202020204" pitchFamily="34" charset="0"/>
                <a:cs typeface="Arial" panose="020B0604020202020204" pitchFamily="34" charset="0"/>
              </a:endParaRPr>
            </a:p>
          </xdr:txBody>
        </xdr:sp>
      </mc:Fallback>
    </mc:AlternateContent>
    <xdr:clientData/>
  </xdr:oneCellAnchor>
  <xdr:oneCellAnchor>
    <xdr:from>
      <xdr:col>42</xdr:col>
      <xdr:colOff>411773</xdr:colOff>
      <xdr:row>140</xdr:row>
      <xdr:rowOff>230066</xdr:rowOff>
    </xdr:from>
    <xdr:ext cx="1587294" cy="264047"/>
    <mc:AlternateContent xmlns:mc="http://schemas.openxmlformats.org/markup-compatibility/2006" xmlns:a14="http://schemas.microsoft.com/office/drawing/2010/main">
      <mc:Choice Requires="a14">
        <xdr:sp macro="" textlink="">
          <xdr:nvSpPr>
            <xdr:cNvPr id="68" name="CuadroTexto 67">
              <a:extLst>
                <a:ext uri="{FF2B5EF4-FFF2-40B4-BE49-F238E27FC236}">
                  <a16:creationId xmlns:a16="http://schemas.microsoft.com/office/drawing/2014/main" id="{00000000-0008-0000-0400-000044000000}"/>
                </a:ext>
              </a:extLst>
            </xdr:cNvPr>
            <xdr:cNvSpPr txBox="1"/>
          </xdr:nvSpPr>
          <xdr:spPr>
            <a:xfrm>
              <a:off x="40235798" y="1792166"/>
              <a:ext cx="1587294" cy="26404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r>
                <a:rPr lang="es-MX" sz="1000" b="0" i="1">
                  <a:latin typeface="Arial" panose="020B0604020202020204" pitchFamily="34" charset="0"/>
                  <a:cs typeface="Arial" panose="020B0604020202020204" pitchFamily="34" charset="0"/>
                </a:rPr>
                <a:t>PPAFD</a:t>
              </a:r>
              <a14:m>
                <m:oMath xmlns:m="http://schemas.openxmlformats.org/officeDocument/2006/math">
                  <m:r>
                    <a:rPr lang="es-MX" sz="1000" b="0" i="1">
                      <a:latin typeface="Cambria Math" panose="02040503050406030204" pitchFamily="18" charset="0"/>
                    </a:rPr>
                    <m:t>=</m:t>
                  </m:r>
                  <m:f>
                    <m:fPr>
                      <m:ctrlPr>
                        <a:rPr lang="es-MX" sz="1000" b="0" i="1">
                          <a:latin typeface="Cambria Math" panose="02040503050406030204" pitchFamily="18" charset="0"/>
                        </a:rPr>
                      </m:ctrlPr>
                    </m:fPr>
                    <m:num>
                      <m:sSub>
                        <m:sSubPr>
                          <m:ctrlPr>
                            <a:rPr lang="es-MX" sz="1000" b="0" i="1">
                              <a:latin typeface="Cambria Math" panose="02040503050406030204" pitchFamily="18" charset="0"/>
                            </a:rPr>
                          </m:ctrlPr>
                        </m:sSubPr>
                        <m:e>
                          <m:r>
                            <a:rPr lang="es-MX" sz="1000" b="0" i="1">
                              <a:latin typeface="Cambria Math" panose="02040503050406030204" pitchFamily="18" charset="0"/>
                            </a:rPr>
                            <m:t>𝑃𝑃𝐴𝐹𝐷</m:t>
                          </m:r>
                        </m:e>
                        <m:sub>
                          <m:r>
                            <a:rPr lang="es-MX" sz="1000" b="0" i="1">
                              <a:solidFill>
                                <a:schemeClr val="tx1"/>
                              </a:solidFill>
                              <a:effectLst/>
                              <a:latin typeface="Cambria Math" panose="02040503050406030204" pitchFamily="18" charset="0"/>
                              <a:ea typeface="+mn-ea"/>
                              <a:cs typeface="+mn-cs"/>
                            </a:rPr>
                            <m:t>5</m:t>
                          </m:r>
                          <m:r>
                            <a:rPr lang="es-MX" sz="1000" b="0" i="1">
                              <a:solidFill>
                                <a:schemeClr val="tx1"/>
                              </a:solidFill>
                              <a:effectLst/>
                              <a:latin typeface="Cambria Math" panose="02040503050406030204" pitchFamily="18" charset="0"/>
                              <a:ea typeface="+mn-ea"/>
                              <a:cs typeface="+mn-cs"/>
                            </a:rPr>
                            <m:t>𝑎</m:t>
                          </m:r>
                          <m:r>
                            <a:rPr lang="es-MX" sz="1000" b="0" i="1">
                              <a:solidFill>
                                <a:schemeClr val="tx1"/>
                              </a:solidFill>
                              <a:effectLst/>
                              <a:latin typeface="Cambria Math" panose="02040503050406030204" pitchFamily="18" charset="0"/>
                              <a:ea typeface="+mn-ea"/>
                              <a:cs typeface="+mn-cs"/>
                            </a:rPr>
                            <m:t>ñ</m:t>
                          </m:r>
                          <m:r>
                            <a:rPr lang="es-MX" sz="1000" b="0" i="1">
                              <a:solidFill>
                                <a:schemeClr val="tx1"/>
                              </a:solidFill>
                              <a:effectLst/>
                              <a:latin typeface="Cambria Math" panose="02040503050406030204" pitchFamily="18" charset="0"/>
                              <a:ea typeface="+mn-ea"/>
                              <a:cs typeface="+mn-cs"/>
                            </a:rPr>
                            <m:t>𝑜𝑠</m:t>
                          </m:r>
                          <m:r>
                            <a:rPr lang="es-MX" sz="1000" b="0" i="1">
                              <a:solidFill>
                                <a:schemeClr val="tx1"/>
                              </a:solidFill>
                              <a:effectLst/>
                              <a:latin typeface="Cambria Math" panose="02040503050406030204" pitchFamily="18" charset="0"/>
                              <a:ea typeface="+mn-ea"/>
                              <a:cs typeface="+mn-cs"/>
                            </a:rPr>
                            <m:t> </m:t>
                          </m:r>
                          <m:r>
                            <a:rPr lang="es-MX" sz="1000" b="0" i="1">
                              <a:solidFill>
                                <a:schemeClr val="tx1"/>
                              </a:solidFill>
                              <a:effectLst/>
                              <a:latin typeface="Cambria Math" panose="02040503050406030204" pitchFamily="18" charset="0"/>
                              <a:ea typeface="+mn-ea"/>
                              <a:cs typeface="+mn-cs"/>
                            </a:rPr>
                            <m:t>𝑦</m:t>
                          </m:r>
                          <m:r>
                            <a:rPr lang="es-MX" sz="1000" b="0" i="1">
                              <a:solidFill>
                                <a:schemeClr val="tx1"/>
                              </a:solidFill>
                              <a:effectLst/>
                              <a:latin typeface="Cambria Math" panose="02040503050406030204" pitchFamily="18" charset="0"/>
                              <a:ea typeface="+mn-ea"/>
                              <a:cs typeface="+mn-cs"/>
                            </a:rPr>
                            <m:t> </m:t>
                          </m:r>
                          <m:r>
                            <a:rPr lang="es-MX" sz="1000" b="0" i="1">
                              <a:solidFill>
                                <a:schemeClr val="tx1"/>
                              </a:solidFill>
                              <a:effectLst/>
                              <a:latin typeface="Cambria Math" panose="02040503050406030204" pitchFamily="18" charset="0"/>
                              <a:ea typeface="+mn-ea"/>
                              <a:cs typeface="+mn-cs"/>
                            </a:rPr>
                            <m:t>𝑚</m:t>
                          </m:r>
                          <m:r>
                            <a:rPr lang="es-MX" sz="1000" b="0" i="1">
                              <a:solidFill>
                                <a:schemeClr val="tx1"/>
                              </a:solidFill>
                              <a:effectLst/>
                              <a:latin typeface="Cambria Math" panose="02040503050406030204" pitchFamily="18" charset="0"/>
                              <a:ea typeface="+mn-ea"/>
                              <a:cs typeface="+mn-cs"/>
                            </a:rPr>
                            <m:t>á</m:t>
                          </m:r>
                          <m:r>
                            <a:rPr lang="es-MX" sz="1000" b="0" i="1">
                              <a:solidFill>
                                <a:schemeClr val="tx1"/>
                              </a:solidFill>
                              <a:effectLst/>
                              <a:latin typeface="Cambria Math" panose="02040503050406030204" pitchFamily="18" charset="0"/>
                              <a:ea typeface="+mn-ea"/>
                              <a:cs typeface="+mn-cs"/>
                            </a:rPr>
                            <m:t>𝑠</m:t>
                          </m:r>
                        </m:sub>
                      </m:sSub>
                    </m:num>
                    <m:den>
                      <m:sSub>
                        <m:sSubPr>
                          <m:ctrlPr>
                            <a:rPr lang="es-MX" sz="1000" b="0" i="1">
                              <a:latin typeface="Cambria Math" panose="02040503050406030204" pitchFamily="18" charset="0"/>
                            </a:rPr>
                          </m:ctrlPr>
                        </m:sSubPr>
                        <m:e>
                          <m:r>
                            <a:rPr lang="es-MX" sz="1000" b="0" i="1">
                              <a:latin typeface="Cambria Math" panose="02040503050406030204" pitchFamily="18" charset="0"/>
                            </a:rPr>
                            <m:t>𝑃𝑇</m:t>
                          </m:r>
                        </m:e>
                        <m:sub>
                          <m:r>
                            <a:rPr lang="es-MX" sz="1000" b="0" i="1">
                              <a:solidFill>
                                <a:schemeClr val="tx1"/>
                              </a:solidFill>
                              <a:effectLst/>
                              <a:latin typeface="Cambria Math" panose="02040503050406030204" pitchFamily="18" charset="0"/>
                              <a:ea typeface="+mn-ea"/>
                              <a:cs typeface="+mn-cs"/>
                            </a:rPr>
                            <m:t>5</m:t>
                          </m:r>
                          <m:r>
                            <a:rPr lang="es-MX" sz="1000" b="0" i="1">
                              <a:solidFill>
                                <a:schemeClr val="tx1"/>
                              </a:solidFill>
                              <a:effectLst/>
                              <a:latin typeface="Cambria Math" panose="02040503050406030204" pitchFamily="18" charset="0"/>
                              <a:ea typeface="+mn-ea"/>
                              <a:cs typeface="+mn-cs"/>
                            </a:rPr>
                            <m:t>𝑎</m:t>
                          </m:r>
                          <m:r>
                            <a:rPr lang="es-MX" sz="1000" b="0" i="1">
                              <a:solidFill>
                                <a:schemeClr val="tx1"/>
                              </a:solidFill>
                              <a:effectLst/>
                              <a:latin typeface="Cambria Math" panose="02040503050406030204" pitchFamily="18" charset="0"/>
                              <a:ea typeface="+mn-ea"/>
                              <a:cs typeface="+mn-cs"/>
                            </a:rPr>
                            <m:t>ñ</m:t>
                          </m:r>
                          <m:r>
                            <a:rPr lang="es-MX" sz="1000" b="0" i="1">
                              <a:solidFill>
                                <a:schemeClr val="tx1"/>
                              </a:solidFill>
                              <a:effectLst/>
                              <a:latin typeface="Cambria Math" panose="02040503050406030204" pitchFamily="18" charset="0"/>
                              <a:ea typeface="+mn-ea"/>
                              <a:cs typeface="+mn-cs"/>
                            </a:rPr>
                            <m:t>𝑜𝑠</m:t>
                          </m:r>
                          <m:r>
                            <a:rPr lang="es-MX" sz="1000" b="0" i="1">
                              <a:solidFill>
                                <a:schemeClr val="tx1"/>
                              </a:solidFill>
                              <a:effectLst/>
                              <a:latin typeface="Cambria Math" panose="02040503050406030204" pitchFamily="18" charset="0"/>
                              <a:ea typeface="+mn-ea"/>
                              <a:cs typeface="+mn-cs"/>
                            </a:rPr>
                            <m:t> </m:t>
                          </m:r>
                          <m:r>
                            <a:rPr lang="es-MX" sz="1000" b="0" i="1">
                              <a:solidFill>
                                <a:schemeClr val="tx1"/>
                              </a:solidFill>
                              <a:effectLst/>
                              <a:latin typeface="Cambria Math" panose="02040503050406030204" pitchFamily="18" charset="0"/>
                              <a:ea typeface="+mn-ea"/>
                              <a:cs typeface="+mn-cs"/>
                            </a:rPr>
                            <m:t>𝑦</m:t>
                          </m:r>
                          <m:r>
                            <a:rPr lang="es-MX" sz="1000" b="0" i="1">
                              <a:solidFill>
                                <a:schemeClr val="tx1"/>
                              </a:solidFill>
                              <a:effectLst/>
                              <a:latin typeface="Cambria Math" panose="02040503050406030204" pitchFamily="18" charset="0"/>
                              <a:ea typeface="+mn-ea"/>
                              <a:cs typeface="+mn-cs"/>
                            </a:rPr>
                            <m:t> </m:t>
                          </m:r>
                          <m:r>
                            <a:rPr lang="es-MX" sz="1000" b="0" i="1">
                              <a:solidFill>
                                <a:schemeClr val="tx1"/>
                              </a:solidFill>
                              <a:effectLst/>
                              <a:latin typeface="Cambria Math" panose="02040503050406030204" pitchFamily="18" charset="0"/>
                              <a:ea typeface="+mn-ea"/>
                              <a:cs typeface="+mn-cs"/>
                            </a:rPr>
                            <m:t>𝑚</m:t>
                          </m:r>
                          <m:r>
                            <a:rPr lang="es-MX" sz="1000" b="0" i="1">
                              <a:solidFill>
                                <a:schemeClr val="tx1"/>
                              </a:solidFill>
                              <a:effectLst/>
                              <a:latin typeface="Cambria Math" panose="02040503050406030204" pitchFamily="18" charset="0"/>
                              <a:ea typeface="+mn-ea"/>
                              <a:cs typeface="+mn-cs"/>
                            </a:rPr>
                            <m:t>á</m:t>
                          </m:r>
                          <m:r>
                            <a:rPr lang="es-MX" sz="1000" b="0" i="1">
                              <a:solidFill>
                                <a:schemeClr val="tx1"/>
                              </a:solidFill>
                              <a:effectLst/>
                              <a:latin typeface="Cambria Math" panose="02040503050406030204" pitchFamily="18" charset="0"/>
                              <a:ea typeface="+mn-ea"/>
                              <a:cs typeface="+mn-cs"/>
                            </a:rPr>
                            <m:t>𝑠</m:t>
                          </m:r>
                        </m:sub>
                      </m:sSub>
                    </m:den>
                  </m:f>
                  <m:r>
                    <m:rPr>
                      <m:sty m:val="p"/>
                    </m:rPr>
                    <a:rPr lang="es-MX" sz="1000" b="0" i="0">
                      <a:latin typeface="Cambria Math" panose="02040503050406030204" pitchFamily="18" charset="0"/>
                    </a:rPr>
                    <m:t>x</m:t>
                  </m:r>
                  <m:r>
                    <a:rPr lang="es-MX" sz="1000" b="0" i="0">
                      <a:latin typeface="Cambria Math" panose="02040503050406030204" pitchFamily="18" charset="0"/>
                    </a:rPr>
                    <m:t>100</m:t>
                  </m:r>
                </m:oMath>
              </a14:m>
              <a:endParaRPr lang="es-BO" sz="1000" b="0">
                <a:latin typeface="Arial" panose="020B0604020202020204" pitchFamily="34" charset="0"/>
                <a:cs typeface="Arial" panose="020B0604020202020204" pitchFamily="34" charset="0"/>
              </a:endParaRPr>
            </a:p>
          </xdr:txBody>
        </xdr:sp>
      </mc:Choice>
      <mc:Fallback xmlns="">
        <xdr:sp macro="" textlink="">
          <xdr:nvSpPr>
            <xdr:cNvPr id="68" name="CuadroTexto 67"/>
            <xdr:cNvSpPr txBox="1"/>
          </xdr:nvSpPr>
          <xdr:spPr>
            <a:xfrm>
              <a:off x="40235798" y="1792166"/>
              <a:ext cx="1587294" cy="26404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r>
                <a:rPr lang="es-MX" sz="1000" b="0" i="1">
                  <a:latin typeface="Arial" panose="020B0604020202020204" pitchFamily="34" charset="0"/>
                  <a:cs typeface="Arial" panose="020B0604020202020204" pitchFamily="34" charset="0"/>
                </a:rPr>
                <a:t>PPAFD</a:t>
              </a:r>
              <a:r>
                <a:rPr lang="es-MX" sz="1000" b="0" i="0">
                  <a:latin typeface="Cambria Math" panose="02040503050406030204" pitchFamily="18" charset="0"/>
                </a:rPr>
                <a:t>=〖𝑃𝑃𝐴𝐹𝐷〗_(</a:t>
              </a:r>
              <a:r>
                <a:rPr lang="es-MX" sz="1000" b="0" i="0">
                  <a:solidFill>
                    <a:schemeClr val="tx1"/>
                  </a:solidFill>
                  <a:effectLst/>
                  <a:latin typeface="Cambria Math" panose="02040503050406030204" pitchFamily="18" charset="0"/>
                  <a:ea typeface="+mn-ea"/>
                  <a:cs typeface="+mn-cs"/>
                </a:rPr>
                <a:t>5𝑎ñ𝑜𝑠 𝑦 𝑚á𝑠)/〖</a:t>
              </a:r>
              <a:r>
                <a:rPr lang="es-MX" sz="1000" b="0" i="0">
                  <a:latin typeface="Cambria Math" panose="02040503050406030204" pitchFamily="18" charset="0"/>
                </a:rPr>
                <a:t>𝑃𝑇〗_(</a:t>
              </a:r>
              <a:r>
                <a:rPr lang="es-MX" sz="1000" b="0" i="0">
                  <a:solidFill>
                    <a:schemeClr val="tx1"/>
                  </a:solidFill>
                  <a:effectLst/>
                  <a:latin typeface="Cambria Math" panose="02040503050406030204" pitchFamily="18" charset="0"/>
                  <a:ea typeface="+mn-ea"/>
                  <a:cs typeface="+mn-cs"/>
                </a:rPr>
                <a:t>5𝑎ñ𝑜𝑠 𝑦 𝑚á𝑠)  </a:t>
              </a:r>
              <a:r>
                <a:rPr lang="es-MX" sz="1000" b="0" i="0">
                  <a:latin typeface="Cambria Math" panose="02040503050406030204" pitchFamily="18" charset="0"/>
                </a:rPr>
                <a:t>x100</a:t>
              </a:r>
              <a:endParaRPr lang="es-BO" sz="1000" b="0">
                <a:latin typeface="Arial" panose="020B0604020202020204" pitchFamily="34" charset="0"/>
                <a:cs typeface="Arial" panose="020B0604020202020204" pitchFamily="34" charset="0"/>
              </a:endParaRPr>
            </a:p>
          </xdr:txBody>
        </xdr:sp>
      </mc:Fallback>
    </mc:AlternateContent>
    <xdr:clientData/>
  </xdr:oneCellAnchor>
  <xdr:oneCellAnchor>
    <xdr:from>
      <xdr:col>42</xdr:col>
      <xdr:colOff>787645</xdr:colOff>
      <xdr:row>141</xdr:row>
      <xdr:rowOff>179510</xdr:rowOff>
    </xdr:from>
    <xdr:ext cx="893643" cy="218586"/>
    <mc:AlternateContent xmlns:mc="http://schemas.openxmlformats.org/markup-compatibility/2006" xmlns:a14="http://schemas.microsoft.com/office/drawing/2010/main">
      <mc:Choice Requires="a14">
        <xdr:sp macro="" textlink="">
          <xdr:nvSpPr>
            <xdr:cNvPr id="69" name="CuadroTexto 68">
              <a:extLst>
                <a:ext uri="{FF2B5EF4-FFF2-40B4-BE49-F238E27FC236}">
                  <a16:creationId xmlns:a16="http://schemas.microsoft.com/office/drawing/2014/main" id="{00000000-0008-0000-0400-000045000000}"/>
                </a:ext>
              </a:extLst>
            </xdr:cNvPr>
            <xdr:cNvSpPr txBox="1"/>
          </xdr:nvSpPr>
          <xdr:spPr>
            <a:xfrm>
              <a:off x="40611670" y="2370260"/>
              <a:ext cx="893643" cy="21858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marL="0" marR="0" indent="0" defTabSz="914400" eaLnBrk="1" fontAlgn="auto" latinLnBrk="0" hangingPunct="1">
                <a:lnSpc>
                  <a:spcPct val="100000"/>
                </a:lnSpc>
                <a:spcBef>
                  <a:spcPts val="0"/>
                </a:spcBef>
                <a:spcAft>
                  <a:spcPts val="0"/>
                </a:spcAft>
                <a:buClrTx/>
                <a:buSzTx/>
                <a:buFontTx/>
                <a:buNone/>
                <a:tabLst/>
                <a:defRPr/>
              </a:pPr>
              <a:r>
                <a:rPr lang="es-MX" sz="1000" b="0"/>
                <a:t>DECC</a:t>
              </a:r>
              <a14:m>
                <m:oMath xmlns:m="http://schemas.openxmlformats.org/officeDocument/2006/math">
                  <m:r>
                    <a:rPr lang="es-MX" sz="1000" b="0" i="1">
                      <a:latin typeface="Cambria Math" panose="02040503050406030204" pitchFamily="18" charset="0"/>
                    </a:rPr>
                    <m:t>=</m:t>
                  </m:r>
                  <m:f>
                    <m:fPr>
                      <m:ctrlPr>
                        <a:rPr lang="es-MX" sz="1000" b="0" i="1">
                          <a:latin typeface="Cambria Math" panose="02040503050406030204" pitchFamily="18" charset="0"/>
                        </a:rPr>
                      </m:ctrlPr>
                    </m:fPr>
                    <m:num>
                      <m:r>
                        <a:rPr lang="es-MX" sz="1000" b="0" i="1">
                          <a:latin typeface="Cambria Math" panose="02040503050406030204" pitchFamily="18" charset="0"/>
                        </a:rPr>
                        <m:t>𝐷𝐸𝐶</m:t>
                      </m:r>
                    </m:num>
                    <m:den>
                      <m:r>
                        <a:rPr lang="es-MX" sz="1000" b="0" i="1">
                          <a:latin typeface="Cambria Math" panose="02040503050406030204" pitchFamily="18" charset="0"/>
                        </a:rPr>
                        <m:t>𝐷𝑃</m:t>
                      </m:r>
                    </m:den>
                  </m:f>
                  <m:r>
                    <m:rPr>
                      <m:sty m:val="p"/>
                    </m:rPr>
                    <a:rPr lang="es-MX" sz="1000" b="0" i="0">
                      <a:solidFill>
                        <a:schemeClr val="tx1"/>
                      </a:solidFill>
                      <a:effectLst/>
                      <a:latin typeface="Cambria Math" panose="02040503050406030204" pitchFamily="18" charset="0"/>
                      <a:ea typeface="+mn-ea"/>
                      <a:cs typeface="+mn-cs"/>
                    </a:rPr>
                    <m:t>x</m:t>
                  </m:r>
                  <m:r>
                    <a:rPr lang="es-MX" sz="1000" b="0" i="0">
                      <a:solidFill>
                        <a:schemeClr val="tx1"/>
                      </a:solidFill>
                      <a:effectLst/>
                      <a:latin typeface="Cambria Math" panose="02040503050406030204" pitchFamily="18" charset="0"/>
                      <a:ea typeface="+mn-ea"/>
                      <a:cs typeface="+mn-cs"/>
                    </a:rPr>
                    <m:t>100</m:t>
                  </m:r>
                </m:oMath>
              </a14:m>
              <a:endParaRPr lang="es-BO" sz="1000">
                <a:effectLst/>
                <a:latin typeface="Arial" panose="020B0604020202020204" pitchFamily="34" charset="0"/>
                <a:cs typeface="Arial" panose="020B0604020202020204" pitchFamily="34" charset="0"/>
              </a:endParaRPr>
            </a:p>
          </xdr:txBody>
        </xdr:sp>
      </mc:Choice>
      <mc:Fallback xmlns="">
        <xdr:sp macro="" textlink="">
          <xdr:nvSpPr>
            <xdr:cNvPr id="69" name="CuadroTexto 68"/>
            <xdr:cNvSpPr txBox="1"/>
          </xdr:nvSpPr>
          <xdr:spPr>
            <a:xfrm>
              <a:off x="40611670" y="2370260"/>
              <a:ext cx="893643" cy="21858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marL="0" marR="0" indent="0" defTabSz="914400" eaLnBrk="1" fontAlgn="auto" latinLnBrk="0" hangingPunct="1">
                <a:lnSpc>
                  <a:spcPct val="100000"/>
                </a:lnSpc>
                <a:spcBef>
                  <a:spcPts val="0"/>
                </a:spcBef>
                <a:spcAft>
                  <a:spcPts val="0"/>
                </a:spcAft>
                <a:buClrTx/>
                <a:buSzTx/>
                <a:buFontTx/>
                <a:buNone/>
                <a:tabLst/>
                <a:defRPr/>
              </a:pPr>
              <a:r>
                <a:rPr lang="es-MX" sz="1000" b="0"/>
                <a:t>DECC</a:t>
              </a:r>
              <a:r>
                <a:rPr lang="es-MX" sz="1000" b="0" i="0">
                  <a:latin typeface="Cambria Math" panose="02040503050406030204" pitchFamily="18" charset="0"/>
                </a:rPr>
                <a:t>=𝐷𝐸𝐶/𝐷𝑃</a:t>
              </a:r>
              <a:r>
                <a:rPr lang="es-MX" sz="1000" b="0" i="0">
                  <a:solidFill>
                    <a:schemeClr val="tx1"/>
                  </a:solidFill>
                  <a:effectLst/>
                  <a:latin typeface="Cambria Math" panose="02040503050406030204" pitchFamily="18" charset="0"/>
                  <a:ea typeface="+mn-ea"/>
                  <a:cs typeface="+mn-cs"/>
                </a:rPr>
                <a:t> x100</a:t>
              </a:r>
              <a:endParaRPr lang="es-BO" sz="1000">
                <a:effectLst/>
                <a:latin typeface="Arial" panose="020B0604020202020204" pitchFamily="34" charset="0"/>
                <a:cs typeface="Arial" panose="020B0604020202020204" pitchFamily="34" charset="0"/>
              </a:endParaRPr>
            </a:p>
          </xdr:txBody>
        </xdr:sp>
      </mc:Fallback>
    </mc:AlternateContent>
    <xdr:clientData/>
  </xdr:oneCellAnchor>
  <xdr:oneCellAnchor>
    <xdr:from>
      <xdr:col>42</xdr:col>
      <xdr:colOff>854320</xdr:colOff>
      <xdr:row>142</xdr:row>
      <xdr:rowOff>198560</xdr:rowOff>
    </xdr:from>
    <xdr:ext cx="796180" cy="217752"/>
    <mc:AlternateContent xmlns:mc="http://schemas.openxmlformats.org/markup-compatibility/2006" xmlns:a14="http://schemas.microsoft.com/office/drawing/2010/main">
      <mc:Choice Requires="a14">
        <xdr:sp macro="" textlink="">
          <xdr:nvSpPr>
            <xdr:cNvPr id="70" name="CuadroTexto 69">
              <a:extLst>
                <a:ext uri="{FF2B5EF4-FFF2-40B4-BE49-F238E27FC236}">
                  <a16:creationId xmlns:a16="http://schemas.microsoft.com/office/drawing/2014/main" id="{00000000-0008-0000-0400-000046000000}"/>
                </a:ext>
              </a:extLst>
            </xdr:cNvPr>
            <xdr:cNvSpPr txBox="1"/>
          </xdr:nvSpPr>
          <xdr:spPr>
            <a:xfrm>
              <a:off x="40678345" y="3017960"/>
              <a:ext cx="796180" cy="21775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marL="0" marR="0" indent="0" defTabSz="914400" eaLnBrk="1" fontAlgn="auto" latinLnBrk="0" hangingPunct="1">
                <a:lnSpc>
                  <a:spcPct val="100000"/>
                </a:lnSpc>
                <a:spcBef>
                  <a:spcPts val="0"/>
                </a:spcBef>
                <a:spcAft>
                  <a:spcPts val="0"/>
                </a:spcAft>
                <a:buClrTx/>
                <a:buSzTx/>
                <a:buFontTx/>
                <a:buNone/>
                <a:tabLst/>
                <a:defRPr/>
              </a:pPr>
              <a:r>
                <a:rPr lang="es-MX" sz="1000" b="0" i="0">
                  <a:latin typeface="+mn-lt"/>
                </a:rPr>
                <a:t>PDI</a:t>
              </a:r>
              <a14:m>
                <m:oMath xmlns:m="http://schemas.openxmlformats.org/officeDocument/2006/math">
                  <m:r>
                    <a:rPr lang="es-MX" sz="1000" b="0" i="1">
                      <a:latin typeface="Cambria Math" panose="02040503050406030204" pitchFamily="18" charset="0"/>
                    </a:rPr>
                    <m:t>=</m:t>
                  </m:r>
                  <m:f>
                    <m:fPr>
                      <m:ctrlPr>
                        <a:rPr lang="es-MX" sz="1000" b="0" i="1">
                          <a:latin typeface="Cambria Math" panose="02040503050406030204" pitchFamily="18" charset="0"/>
                        </a:rPr>
                      </m:ctrlPr>
                    </m:fPr>
                    <m:num>
                      <m:r>
                        <a:rPr lang="es-MX" sz="1000" b="0" i="1">
                          <a:latin typeface="Cambria Math" panose="02040503050406030204" pitchFamily="18" charset="0"/>
                        </a:rPr>
                        <m:t>𝑃𝐷𝐸</m:t>
                      </m:r>
                    </m:num>
                    <m:den>
                      <m:r>
                        <a:rPr lang="es-MX" sz="1000" b="0" i="1">
                          <a:latin typeface="Cambria Math" panose="02040503050406030204" pitchFamily="18" charset="0"/>
                        </a:rPr>
                        <m:t>𝑃𝑃</m:t>
                      </m:r>
                    </m:den>
                  </m:f>
                  <m:r>
                    <m:rPr>
                      <m:sty m:val="p"/>
                    </m:rPr>
                    <a:rPr lang="es-MX" sz="1000" b="0" i="0">
                      <a:solidFill>
                        <a:schemeClr val="tx1"/>
                      </a:solidFill>
                      <a:effectLst/>
                      <a:latin typeface="Cambria Math" panose="02040503050406030204" pitchFamily="18" charset="0"/>
                      <a:ea typeface="+mn-ea"/>
                      <a:cs typeface="+mn-cs"/>
                    </a:rPr>
                    <m:t>x</m:t>
                  </m:r>
                  <m:r>
                    <a:rPr lang="es-MX" sz="1000" b="0" i="0">
                      <a:solidFill>
                        <a:schemeClr val="tx1"/>
                      </a:solidFill>
                      <a:effectLst/>
                      <a:latin typeface="Cambria Math" panose="02040503050406030204" pitchFamily="18" charset="0"/>
                      <a:ea typeface="+mn-ea"/>
                      <a:cs typeface="+mn-cs"/>
                    </a:rPr>
                    <m:t>100</m:t>
                  </m:r>
                </m:oMath>
              </a14:m>
              <a:endParaRPr lang="es-BO" sz="1000">
                <a:effectLst/>
                <a:latin typeface="Arial" panose="020B0604020202020204" pitchFamily="34" charset="0"/>
                <a:cs typeface="Arial" panose="020B0604020202020204" pitchFamily="34" charset="0"/>
              </a:endParaRPr>
            </a:p>
          </xdr:txBody>
        </xdr:sp>
      </mc:Choice>
      <mc:Fallback xmlns="">
        <xdr:sp macro="" textlink="">
          <xdr:nvSpPr>
            <xdr:cNvPr id="70" name="CuadroTexto 69"/>
            <xdr:cNvSpPr txBox="1"/>
          </xdr:nvSpPr>
          <xdr:spPr>
            <a:xfrm>
              <a:off x="40678345" y="3017960"/>
              <a:ext cx="796180" cy="21775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marL="0" marR="0" indent="0" defTabSz="914400" eaLnBrk="1" fontAlgn="auto" latinLnBrk="0" hangingPunct="1">
                <a:lnSpc>
                  <a:spcPct val="100000"/>
                </a:lnSpc>
                <a:spcBef>
                  <a:spcPts val="0"/>
                </a:spcBef>
                <a:spcAft>
                  <a:spcPts val="0"/>
                </a:spcAft>
                <a:buClrTx/>
                <a:buSzTx/>
                <a:buFontTx/>
                <a:buNone/>
                <a:tabLst/>
                <a:defRPr/>
              </a:pPr>
              <a:r>
                <a:rPr lang="es-MX" sz="1000" b="0" i="0">
                  <a:latin typeface="+mn-lt"/>
                </a:rPr>
                <a:t>PDI</a:t>
              </a:r>
              <a:r>
                <a:rPr lang="es-MX" sz="1000" b="0" i="0">
                  <a:latin typeface="Cambria Math" panose="02040503050406030204" pitchFamily="18" charset="0"/>
                </a:rPr>
                <a:t>=𝑃𝐷𝐸/𝑃𝑃</a:t>
              </a:r>
              <a:r>
                <a:rPr lang="es-MX" sz="1000" b="0" i="0">
                  <a:solidFill>
                    <a:schemeClr val="tx1"/>
                  </a:solidFill>
                  <a:effectLst/>
                  <a:latin typeface="Cambria Math" panose="02040503050406030204" pitchFamily="18" charset="0"/>
                  <a:ea typeface="+mn-ea"/>
                  <a:cs typeface="+mn-cs"/>
                </a:rPr>
                <a:t> x100</a:t>
              </a:r>
              <a:endParaRPr lang="es-BO" sz="1000">
                <a:effectLst/>
                <a:latin typeface="Arial" panose="020B0604020202020204" pitchFamily="34" charset="0"/>
                <a:cs typeface="Arial" panose="020B0604020202020204" pitchFamily="34" charset="0"/>
              </a:endParaRPr>
            </a:p>
          </xdr:txBody>
        </xdr:sp>
      </mc:Fallback>
    </mc:AlternateContent>
    <xdr:clientData/>
  </xdr:oneCellAnchor>
  <xdr:oneCellAnchor>
    <xdr:from>
      <xdr:col>42</xdr:col>
      <xdr:colOff>876300</xdr:colOff>
      <xdr:row>145</xdr:row>
      <xdr:rowOff>295275</xdr:rowOff>
    </xdr:from>
    <xdr:ext cx="827021" cy="217752"/>
    <mc:AlternateContent xmlns:mc="http://schemas.openxmlformats.org/markup-compatibility/2006" xmlns:a14="http://schemas.microsoft.com/office/drawing/2010/main">
      <mc:Choice Requires="a14">
        <xdr:sp macro="" textlink="">
          <xdr:nvSpPr>
            <xdr:cNvPr id="71" name="CuadroTexto 70">
              <a:extLst>
                <a:ext uri="{FF2B5EF4-FFF2-40B4-BE49-F238E27FC236}">
                  <a16:creationId xmlns:a16="http://schemas.microsoft.com/office/drawing/2014/main" id="{00000000-0008-0000-0400-000047000000}"/>
                </a:ext>
              </a:extLst>
            </xdr:cNvPr>
            <xdr:cNvSpPr txBox="1"/>
          </xdr:nvSpPr>
          <xdr:spPr>
            <a:xfrm>
              <a:off x="40700325" y="5600700"/>
              <a:ext cx="827021" cy="21775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marL="0" marR="0" indent="0" defTabSz="914400" eaLnBrk="1" fontAlgn="auto" latinLnBrk="0" hangingPunct="1">
                <a:lnSpc>
                  <a:spcPct val="100000"/>
                </a:lnSpc>
                <a:spcBef>
                  <a:spcPts val="0"/>
                </a:spcBef>
                <a:spcAft>
                  <a:spcPts val="0"/>
                </a:spcAft>
                <a:buClrTx/>
                <a:buSzTx/>
                <a:buFontTx/>
                <a:buNone/>
                <a:tabLst/>
                <a:defRPr/>
              </a:pPr>
              <a:r>
                <a:rPr lang="es-MX" sz="1000" b="0" i="0">
                  <a:latin typeface="+mn-lt"/>
                </a:rPr>
                <a:t>PBB</a:t>
              </a:r>
              <a14:m>
                <m:oMath xmlns:m="http://schemas.openxmlformats.org/officeDocument/2006/math">
                  <m:r>
                    <a:rPr lang="es-MX" sz="1000" b="0" i="1">
                      <a:latin typeface="Cambria Math" panose="02040503050406030204" pitchFamily="18" charset="0"/>
                    </a:rPr>
                    <m:t>=</m:t>
                  </m:r>
                  <m:f>
                    <m:fPr>
                      <m:ctrlPr>
                        <a:rPr lang="es-MX" sz="1000" b="0" i="1">
                          <a:latin typeface="Cambria Math" panose="02040503050406030204" pitchFamily="18" charset="0"/>
                        </a:rPr>
                      </m:ctrlPr>
                    </m:fPr>
                    <m:num>
                      <m:r>
                        <a:rPr lang="es-MX" sz="1000" b="0" i="1">
                          <a:latin typeface="Cambria Math" panose="02040503050406030204" pitchFamily="18" charset="0"/>
                        </a:rPr>
                        <m:t>𝑃𝐷𝐵</m:t>
                      </m:r>
                    </m:num>
                    <m:den>
                      <m:r>
                        <a:rPr lang="es-MX" sz="1000" b="0" i="1">
                          <a:latin typeface="Cambria Math" panose="02040503050406030204" pitchFamily="18" charset="0"/>
                        </a:rPr>
                        <m:t>𝐷𝑅</m:t>
                      </m:r>
                    </m:den>
                  </m:f>
                  <m:r>
                    <m:rPr>
                      <m:sty m:val="p"/>
                    </m:rPr>
                    <a:rPr lang="es-MX" sz="1000" b="0" i="0">
                      <a:solidFill>
                        <a:schemeClr val="tx1"/>
                      </a:solidFill>
                      <a:effectLst/>
                      <a:latin typeface="Cambria Math" panose="02040503050406030204" pitchFamily="18" charset="0"/>
                      <a:ea typeface="+mn-ea"/>
                      <a:cs typeface="+mn-cs"/>
                    </a:rPr>
                    <m:t>x</m:t>
                  </m:r>
                  <m:r>
                    <a:rPr lang="es-MX" sz="1000" b="0" i="0">
                      <a:solidFill>
                        <a:schemeClr val="tx1"/>
                      </a:solidFill>
                      <a:effectLst/>
                      <a:latin typeface="Cambria Math" panose="02040503050406030204" pitchFamily="18" charset="0"/>
                      <a:ea typeface="+mn-ea"/>
                      <a:cs typeface="+mn-cs"/>
                    </a:rPr>
                    <m:t>100</m:t>
                  </m:r>
                </m:oMath>
              </a14:m>
              <a:endParaRPr lang="es-BO" sz="1000">
                <a:effectLst/>
                <a:latin typeface="Arial" panose="020B0604020202020204" pitchFamily="34" charset="0"/>
                <a:cs typeface="Arial" panose="020B0604020202020204" pitchFamily="34" charset="0"/>
              </a:endParaRPr>
            </a:p>
          </xdr:txBody>
        </xdr:sp>
      </mc:Choice>
      <mc:Fallback xmlns="">
        <xdr:sp macro="" textlink="">
          <xdr:nvSpPr>
            <xdr:cNvPr id="71" name="CuadroTexto 70"/>
            <xdr:cNvSpPr txBox="1"/>
          </xdr:nvSpPr>
          <xdr:spPr>
            <a:xfrm>
              <a:off x="40700325" y="5600700"/>
              <a:ext cx="827021" cy="21775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marL="0" marR="0" indent="0" defTabSz="914400" eaLnBrk="1" fontAlgn="auto" latinLnBrk="0" hangingPunct="1">
                <a:lnSpc>
                  <a:spcPct val="100000"/>
                </a:lnSpc>
                <a:spcBef>
                  <a:spcPts val="0"/>
                </a:spcBef>
                <a:spcAft>
                  <a:spcPts val="0"/>
                </a:spcAft>
                <a:buClrTx/>
                <a:buSzTx/>
                <a:buFontTx/>
                <a:buNone/>
                <a:tabLst/>
                <a:defRPr/>
              </a:pPr>
              <a:r>
                <a:rPr lang="es-MX" sz="1000" b="0" i="0">
                  <a:latin typeface="+mn-lt"/>
                </a:rPr>
                <a:t>PBB</a:t>
              </a:r>
              <a:r>
                <a:rPr lang="es-MX" sz="1000" b="0" i="0">
                  <a:latin typeface="Cambria Math" panose="02040503050406030204" pitchFamily="18" charset="0"/>
                </a:rPr>
                <a:t>=𝑃𝐷𝐵/𝐷𝑅</a:t>
              </a:r>
              <a:r>
                <a:rPr lang="es-MX" sz="1000" b="0" i="0">
                  <a:solidFill>
                    <a:schemeClr val="tx1"/>
                  </a:solidFill>
                  <a:effectLst/>
                  <a:latin typeface="Cambria Math" panose="02040503050406030204" pitchFamily="18" charset="0"/>
                  <a:ea typeface="+mn-ea"/>
                  <a:cs typeface="+mn-cs"/>
                </a:rPr>
                <a:t> x100</a:t>
              </a:r>
              <a:endParaRPr lang="es-BO" sz="1000">
                <a:effectLst/>
                <a:latin typeface="Arial" panose="020B0604020202020204" pitchFamily="34" charset="0"/>
                <a:cs typeface="Arial" panose="020B0604020202020204" pitchFamily="34" charset="0"/>
              </a:endParaRPr>
            </a:p>
          </xdr:txBody>
        </xdr:sp>
      </mc:Fallback>
    </mc:AlternateContent>
    <xdr:clientData/>
  </xdr:oneCellAnchor>
  <xdr:oneCellAnchor>
    <xdr:from>
      <xdr:col>42</xdr:col>
      <xdr:colOff>733425</xdr:colOff>
      <xdr:row>146</xdr:row>
      <xdr:rowOff>904875</xdr:rowOff>
    </xdr:from>
    <xdr:ext cx="971550" cy="240387"/>
    <mc:AlternateContent xmlns:mc="http://schemas.openxmlformats.org/markup-compatibility/2006" xmlns:a14="http://schemas.microsoft.com/office/drawing/2010/main">
      <mc:Choice Requires="a14">
        <xdr:sp macro="" textlink="">
          <xdr:nvSpPr>
            <xdr:cNvPr id="72" name="CuadroTexto 71">
              <a:extLst>
                <a:ext uri="{FF2B5EF4-FFF2-40B4-BE49-F238E27FC236}">
                  <a16:creationId xmlns:a16="http://schemas.microsoft.com/office/drawing/2014/main" id="{00000000-0008-0000-0400-000048000000}"/>
                </a:ext>
              </a:extLst>
            </xdr:cNvPr>
            <xdr:cNvSpPr txBox="1"/>
          </xdr:nvSpPr>
          <xdr:spPr>
            <a:xfrm>
              <a:off x="40557450" y="6962775"/>
              <a:ext cx="971550" cy="24038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spAutoFit/>
            </a:bodyPr>
            <a:lstStyle/>
            <a:p>
              <a:pPr marL="0" marR="0" indent="0" defTabSz="914400" eaLnBrk="1" fontAlgn="auto" latinLnBrk="0" hangingPunct="1">
                <a:lnSpc>
                  <a:spcPct val="100000"/>
                </a:lnSpc>
                <a:spcBef>
                  <a:spcPts val="0"/>
                </a:spcBef>
                <a:spcAft>
                  <a:spcPts val="0"/>
                </a:spcAft>
                <a:buClrTx/>
                <a:buSzTx/>
                <a:buFontTx/>
                <a:buNone/>
                <a:tabLst/>
                <a:defRPr/>
              </a:pPr>
              <a:r>
                <a:rPr lang="es-MX" sz="1100" b="0" i="0">
                  <a:latin typeface="+mn-lt"/>
                </a:rPr>
                <a:t>FDC</a:t>
              </a:r>
              <a14:m>
                <m:oMath xmlns:m="http://schemas.openxmlformats.org/officeDocument/2006/math">
                  <m:r>
                    <a:rPr lang="es-MX" sz="1100" b="0" i="1">
                      <a:latin typeface="Cambria Math" panose="02040503050406030204" pitchFamily="18" charset="0"/>
                    </a:rPr>
                    <m:t>=</m:t>
                  </m:r>
                  <m:f>
                    <m:fPr>
                      <m:ctrlPr>
                        <a:rPr lang="es-MX" sz="1100" b="0" i="1">
                          <a:latin typeface="Cambria Math" panose="02040503050406030204" pitchFamily="18" charset="0"/>
                        </a:rPr>
                      </m:ctrlPr>
                    </m:fPr>
                    <m:num>
                      <m:r>
                        <a:rPr lang="es-MX" sz="1100" b="0" i="1">
                          <a:latin typeface="Cambria Math" panose="02040503050406030204" pitchFamily="18" charset="0"/>
                        </a:rPr>
                        <m:t>𝐹𝐷𝐶</m:t>
                      </m:r>
                    </m:num>
                    <m:den>
                      <m:r>
                        <a:rPr lang="es-MX" sz="1100" b="0" i="1">
                          <a:latin typeface="Cambria Math" panose="02040503050406030204" pitchFamily="18" charset="0"/>
                        </a:rPr>
                        <m:t>𝐹𝐷𝑅</m:t>
                      </m:r>
                    </m:den>
                  </m:f>
                  <m:r>
                    <m:rPr>
                      <m:sty m:val="p"/>
                    </m:rPr>
                    <a:rPr lang="es-MX" sz="1100" b="0" i="0">
                      <a:solidFill>
                        <a:schemeClr val="tx1"/>
                      </a:solidFill>
                      <a:effectLst/>
                      <a:latin typeface="Cambria Math" panose="02040503050406030204" pitchFamily="18" charset="0"/>
                      <a:ea typeface="+mn-ea"/>
                      <a:cs typeface="+mn-cs"/>
                    </a:rPr>
                    <m:t>x</m:t>
                  </m:r>
                  <m:r>
                    <a:rPr lang="es-MX" sz="1100" b="0" i="0">
                      <a:solidFill>
                        <a:schemeClr val="tx1"/>
                      </a:solidFill>
                      <a:effectLst/>
                      <a:latin typeface="Cambria Math" panose="02040503050406030204" pitchFamily="18" charset="0"/>
                      <a:ea typeface="+mn-ea"/>
                      <a:cs typeface="+mn-cs"/>
                    </a:rPr>
                    <m:t>100</m:t>
                  </m:r>
                </m:oMath>
              </a14:m>
              <a:endParaRPr lang="es-BO" sz="1100">
                <a:effectLst/>
                <a:latin typeface="Arial" panose="020B0604020202020204" pitchFamily="34" charset="0"/>
                <a:cs typeface="Arial" panose="020B0604020202020204" pitchFamily="34" charset="0"/>
              </a:endParaRPr>
            </a:p>
          </xdr:txBody>
        </xdr:sp>
      </mc:Choice>
      <mc:Fallback xmlns="">
        <xdr:sp macro="" textlink="">
          <xdr:nvSpPr>
            <xdr:cNvPr id="72" name="CuadroTexto 71"/>
            <xdr:cNvSpPr txBox="1"/>
          </xdr:nvSpPr>
          <xdr:spPr>
            <a:xfrm>
              <a:off x="40557450" y="6962775"/>
              <a:ext cx="971550" cy="24038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spAutoFit/>
            </a:bodyPr>
            <a:lstStyle/>
            <a:p>
              <a:pPr marL="0" marR="0" indent="0" defTabSz="914400" eaLnBrk="1" fontAlgn="auto" latinLnBrk="0" hangingPunct="1">
                <a:lnSpc>
                  <a:spcPct val="100000"/>
                </a:lnSpc>
                <a:spcBef>
                  <a:spcPts val="0"/>
                </a:spcBef>
                <a:spcAft>
                  <a:spcPts val="0"/>
                </a:spcAft>
                <a:buClrTx/>
                <a:buSzTx/>
                <a:buFontTx/>
                <a:buNone/>
                <a:tabLst/>
                <a:defRPr/>
              </a:pPr>
              <a:r>
                <a:rPr lang="es-MX" sz="1100" b="0" i="0">
                  <a:latin typeface="+mn-lt"/>
                </a:rPr>
                <a:t>FDC</a:t>
              </a:r>
              <a:r>
                <a:rPr lang="es-MX" sz="1100" b="0" i="0">
                  <a:latin typeface="Cambria Math" panose="02040503050406030204" pitchFamily="18" charset="0"/>
                </a:rPr>
                <a:t>=𝐹𝐷𝐶/𝐹𝐷𝑅</a:t>
              </a:r>
              <a:r>
                <a:rPr lang="es-MX" sz="1100" b="0" i="0">
                  <a:solidFill>
                    <a:schemeClr val="tx1"/>
                  </a:solidFill>
                  <a:effectLst/>
                  <a:latin typeface="Cambria Math" panose="02040503050406030204" pitchFamily="18" charset="0"/>
                  <a:ea typeface="+mn-ea"/>
                  <a:cs typeface="+mn-cs"/>
                </a:rPr>
                <a:t> x100</a:t>
              </a:r>
              <a:endParaRPr lang="es-BO" sz="1100">
                <a:effectLst/>
                <a:latin typeface="Arial" panose="020B0604020202020204" pitchFamily="34" charset="0"/>
                <a:cs typeface="Arial" panose="020B0604020202020204" pitchFamily="34" charset="0"/>
              </a:endParaRPr>
            </a:p>
          </xdr:txBody>
        </xdr:sp>
      </mc:Fallback>
    </mc:AlternateContent>
    <xdr:clientData/>
  </xdr:oneCellAnchor>
  <xdr:oneCellAnchor>
    <xdr:from>
      <xdr:col>41</xdr:col>
      <xdr:colOff>2136321</xdr:colOff>
      <xdr:row>228</xdr:row>
      <xdr:rowOff>1632857</xdr:rowOff>
    </xdr:from>
    <xdr:ext cx="3156858" cy="433517"/>
    <mc:AlternateContent xmlns:mc="http://schemas.openxmlformats.org/markup-compatibility/2006" xmlns:a14="http://schemas.microsoft.com/office/drawing/2010/main">
      <mc:Choice Requires="a14">
        <xdr:sp macro="" textlink="">
          <xdr:nvSpPr>
            <xdr:cNvPr id="73" name="2 CuadroTexto">
              <a:extLst>
                <a:ext uri="{FF2B5EF4-FFF2-40B4-BE49-F238E27FC236}">
                  <a16:creationId xmlns:a16="http://schemas.microsoft.com/office/drawing/2014/main" id="{00000000-0008-0000-0400-000049000000}"/>
                </a:ext>
              </a:extLst>
            </xdr:cNvPr>
            <xdr:cNvSpPr txBox="1"/>
          </xdr:nvSpPr>
          <xdr:spPr>
            <a:xfrm>
              <a:off x="40322046" y="66640982"/>
              <a:ext cx="3156858" cy="43351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s-ES" sz="1400"/>
                <a:t>%Muj</a:t>
              </a:r>
              <a14:m>
                <m:oMath xmlns:m="http://schemas.openxmlformats.org/officeDocument/2006/math">
                  <m:r>
                    <a:rPr lang="es-ES" sz="1400" i="1">
                      <a:latin typeface="Cambria Math"/>
                    </a:rPr>
                    <m:t>=Ʃ</m:t>
                  </m:r>
                  <m:f>
                    <m:fPr>
                      <m:ctrlPr>
                        <a:rPr lang="es-ES" sz="1400" i="1">
                          <a:latin typeface="Cambria Math" panose="02040503050406030204" pitchFamily="18" charset="0"/>
                        </a:rPr>
                      </m:ctrlPr>
                    </m:fPr>
                    <m:num>
                      <m:r>
                        <a:rPr lang="es-ES" sz="1400" i="1">
                          <a:latin typeface="Cambria Math"/>
                        </a:rPr>
                        <m:t>  </m:t>
                      </m:r>
                      <m:r>
                        <a:rPr lang="es-ES" sz="1400" i="1">
                          <a:latin typeface="Cambria Math"/>
                        </a:rPr>
                        <m:t>𝑁𝑟𝑜</m:t>
                      </m:r>
                      <m:r>
                        <a:rPr lang="es-ES" sz="1400" i="1">
                          <a:latin typeface="Cambria Math"/>
                        </a:rPr>
                        <m:t> </m:t>
                      </m:r>
                      <m:r>
                        <a:rPr lang="es-ES" sz="1400" i="1">
                          <a:latin typeface="Cambria Math"/>
                        </a:rPr>
                        <m:t>𝑀𝑈𝐽𝑛</m:t>
                      </m:r>
                    </m:num>
                    <m:den>
                      <m:r>
                        <a:rPr lang="es-ES" sz="1400" i="1">
                          <a:latin typeface="Cambria Math"/>
                        </a:rPr>
                        <m:t>         </m:t>
                      </m:r>
                      <m:r>
                        <a:rPr lang="es-ES" sz="1400" i="1">
                          <a:latin typeface="Cambria Math"/>
                        </a:rPr>
                        <m:t>𝑁𝑟𝑜</m:t>
                      </m:r>
                      <m:r>
                        <a:rPr lang="es-ES" sz="1400" i="1">
                          <a:latin typeface="Cambria Math"/>
                        </a:rPr>
                        <m:t> (</m:t>
                      </m:r>
                      <m:r>
                        <a:rPr lang="es-ES" sz="1400" i="1">
                          <a:latin typeface="Cambria Math"/>
                        </a:rPr>
                        <m:t>𝐻𝑜𝑚</m:t>
                      </m:r>
                      <m:r>
                        <a:rPr lang="es-ES" sz="1400" i="1">
                          <a:latin typeface="Cambria Math"/>
                        </a:rPr>
                        <m:t>+</m:t>
                      </m:r>
                      <m:r>
                        <a:rPr lang="es-ES" sz="1400" i="1">
                          <a:latin typeface="Cambria Math"/>
                        </a:rPr>
                        <m:t>𝑀𝑢𝑗</m:t>
                      </m:r>
                      <m:r>
                        <a:rPr lang="es-ES" sz="1400" i="1">
                          <a:latin typeface="Cambria Math"/>
                        </a:rPr>
                        <m:t>+</m:t>
                      </m:r>
                      <m:r>
                        <a:rPr lang="es-ES" sz="1400" i="1">
                          <a:latin typeface="Cambria Math"/>
                        </a:rPr>
                        <m:t>𝐽𝑢𝑟</m:t>
                      </m:r>
                      <m:r>
                        <a:rPr lang="es-ES" sz="1400" i="1">
                          <a:latin typeface="Cambria Math"/>
                        </a:rPr>
                        <m:t>)</m:t>
                      </m:r>
                      <m:r>
                        <a:rPr lang="es-ES" sz="1400" i="1">
                          <a:latin typeface="Cambria Math"/>
                        </a:rPr>
                        <m:t>𝑛</m:t>
                      </m:r>
                    </m:den>
                  </m:f>
                </m:oMath>
              </a14:m>
              <a:r>
                <a:rPr lang="es-ES" sz="1400"/>
                <a:t> x 100</a:t>
              </a:r>
            </a:p>
          </xdr:txBody>
        </xdr:sp>
      </mc:Choice>
      <mc:Fallback xmlns="">
        <xdr:sp macro="" textlink="">
          <xdr:nvSpPr>
            <xdr:cNvPr id="73" name="2 CuadroTexto"/>
            <xdr:cNvSpPr txBox="1"/>
          </xdr:nvSpPr>
          <xdr:spPr>
            <a:xfrm>
              <a:off x="40322046" y="66640982"/>
              <a:ext cx="3156858" cy="43351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s-ES" sz="1400"/>
                <a:t>%Muj</a:t>
              </a:r>
              <a:r>
                <a:rPr lang="es-ES" sz="1400" i="0">
                  <a:latin typeface="Cambria Math"/>
                </a:rPr>
                <a:t>=Ʃ </a:t>
              </a:r>
              <a:r>
                <a:rPr lang="es-ES" sz="1400" i="0">
                  <a:latin typeface="Cambria Math" panose="02040503050406030204" pitchFamily="18" charset="0"/>
                </a:rPr>
                <a:t>(</a:t>
              </a:r>
              <a:r>
                <a:rPr lang="es-ES" sz="1400" i="0">
                  <a:latin typeface="Cambria Math"/>
                </a:rPr>
                <a:t>  𝑁𝑟𝑜 𝑀𝑈𝐽𝑛</a:t>
              </a:r>
              <a:r>
                <a:rPr lang="es-ES" sz="1400" i="0">
                  <a:latin typeface="Cambria Math" panose="02040503050406030204" pitchFamily="18" charset="0"/>
                </a:rPr>
                <a:t>)/(</a:t>
              </a:r>
              <a:r>
                <a:rPr lang="es-ES" sz="1400" i="0">
                  <a:latin typeface="Cambria Math"/>
                </a:rPr>
                <a:t>         𝑁𝑟𝑜 (𝐻𝑜𝑚+𝑀𝑢𝑗+𝐽𝑢𝑟)𝑛</a:t>
              </a:r>
              <a:r>
                <a:rPr lang="es-ES" sz="1400" i="0">
                  <a:latin typeface="Cambria Math" panose="02040503050406030204" pitchFamily="18" charset="0"/>
                </a:rPr>
                <a:t>)</a:t>
              </a:r>
              <a:r>
                <a:rPr lang="es-ES" sz="1400"/>
                <a:t> x 100</a:t>
              </a:r>
            </a:p>
          </xdr:txBody>
        </xdr:sp>
      </mc:Fallback>
    </mc:AlternateContent>
    <xdr:clientData/>
  </xdr:oneCellAnchor>
  <xdr:oneCellAnchor>
    <xdr:from>
      <xdr:col>42</xdr:col>
      <xdr:colOff>123825</xdr:colOff>
      <xdr:row>209</xdr:row>
      <xdr:rowOff>1304988</xdr:rowOff>
    </xdr:from>
    <xdr:ext cx="2510378" cy="523812"/>
    <mc:AlternateContent xmlns:mc="http://schemas.openxmlformats.org/markup-compatibility/2006" xmlns:a14="http://schemas.microsoft.com/office/drawing/2010/main">
      <mc:Choice Requires="a14">
        <xdr:sp macro="" textlink="">
          <xdr:nvSpPr>
            <xdr:cNvPr id="74" name="CuadroTexto 1">
              <a:extLst>
                <a:ext uri="{FF2B5EF4-FFF2-40B4-BE49-F238E27FC236}">
                  <a16:creationId xmlns:a16="http://schemas.microsoft.com/office/drawing/2014/main" id="{00000000-0008-0000-0400-00004A000000}"/>
                </a:ext>
              </a:extLst>
            </xdr:cNvPr>
            <xdr:cNvSpPr txBox="1"/>
          </xdr:nvSpPr>
          <xdr:spPr>
            <a:xfrm>
              <a:off x="40624125" y="15487713"/>
              <a:ext cx="2510378" cy="52381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noAutofit/>
            </a:bodyPr>
            <a:lstStyle/>
            <a:p>
              <a:r>
                <a:rPr lang="el-GR" sz="1100">
                  <a:latin typeface="Arial" panose="020B0604020202020204" pitchFamily="34" charset="0"/>
                  <a:cs typeface="Arial" panose="020B0604020202020204" pitchFamily="34" charset="0"/>
                </a:rPr>
                <a:t>Δ</a:t>
              </a:r>
              <a:r>
                <a:rPr lang="es-ES" sz="1100">
                  <a:latin typeface="Arial" panose="020B0604020202020204" pitchFamily="34" charset="0"/>
                  <a:cs typeface="Arial" panose="020B0604020202020204" pitchFamily="34" charset="0"/>
                </a:rPr>
                <a:t>Cap</a:t>
              </a:r>
              <a14:m>
                <m:oMath xmlns:m="http://schemas.openxmlformats.org/officeDocument/2006/math">
                  <m:r>
                    <a:rPr lang="es-ES" sz="1100" i="1">
                      <a:latin typeface="Cambria Math" panose="02040503050406030204" pitchFamily="18" charset="0"/>
                    </a:rPr>
                    <m:t>=</m:t>
                  </m:r>
                  <m:sSub>
                    <m:sSubPr>
                      <m:ctrlPr>
                        <a:rPr lang="es-ES" sz="1100" i="1">
                          <a:latin typeface="Cambria Math" panose="02040503050406030204" pitchFamily="18" charset="0"/>
                        </a:rPr>
                      </m:ctrlPr>
                    </m:sSubPr>
                    <m:e>
                      <m:r>
                        <a:rPr lang="es-ES" sz="1100" b="0" i="1">
                          <a:latin typeface="Cambria Math" panose="02040503050406030204" pitchFamily="18" charset="0"/>
                        </a:rPr>
                        <m:t>𝐶𝑎𝑝</m:t>
                      </m:r>
                    </m:e>
                    <m:sub>
                      <m:r>
                        <a:rPr lang="es-ES" sz="1100" i="1">
                          <a:latin typeface="Cambria Math" panose="02040503050406030204" pitchFamily="18" charset="0"/>
                        </a:rPr>
                        <m:t>0</m:t>
                      </m:r>
                    </m:sub>
                  </m:sSub>
                  <m:r>
                    <a:rPr lang="es-ES" sz="1100" i="1">
                      <a:latin typeface="Cambria Math" panose="02040503050406030204" pitchFamily="18" charset="0"/>
                    </a:rPr>
                    <m:t>+</m:t>
                  </m:r>
                  <m:nary>
                    <m:naryPr>
                      <m:chr m:val="∑"/>
                      <m:ctrlPr>
                        <a:rPr lang="es-ES" sz="1100" i="1">
                          <a:latin typeface="Cambria Math" panose="02040503050406030204" pitchFamily="18" charset="0"/>
                        </a:rPr>
                      </m:ctrlPr>
                    </m:naryPr>
                    <m:sub>
                      <m:r>
                        <a:rPr lang="es-ES" sz="1100" b="0" i="1">
                          <a:latin typeface="Cambria Math" panose="02040503050406030204" pitchFamily="18" charset="0"/>
                        </a:rPr>
                        <m:t>𝑖</m:t>
                      </m:r>
                      <m:r>
                        <a:rPr lang="es-ES" sz="1100" i="1">
                          <a:latin typeface="Cambria Math" panose="02040503050406030204" pitchFamily="18" charset="0"/>
                        </a:rPr>
                        <m:t>=</m:t>
                      </m:r>
                      <m:r>
                        <a:rPr lang="es-ES" sz="1100" b="0" i="1">
                          <a:latin typeface="Cambria Math" panose="02040503050406030204" pitchFamily="18" charset="0"/>
                        </a:rPr>
                        <m:t>0</m:t>
                      </m:r>
                    </m:sub>
                    <m:sup>
                      <m:r>
                        <a:rPr lang="es-ES" sz="1100" b="0" i="1">
                          <a:latin typeface="Cambria Math" panose="02040503050406030204" pitchFamily="18" charset="0"/>
                        </a:rPr>
                        <m:t>𝑛</m:t>
                      </m:r>
                    </m:sup>
                    <m:e>
                      <m:d>
                        <m:dPr>
                          <m:ctrlPr>
                            <a:rPr lang="es-ES" sz="1100" i="1">
                              <a:latin typeface="Cambria Math" panose="02040503050406030204" pitchFamily="18" charset="0"/>
                            </a:rPr>
                          </m:ctrlPr>
                        </m:dPr>
                        <m:e>
                          <m:r>
                            <a:rPr lang="es-ES" sz="1100" b="0" i="1">
                              <a:latin typeface="Cambria Math" panose="02040503050406030204" pitchFamily="18" charset="0"/>
                            </a:rPr>
                            <m:t>𝐶𝑎𝑝</m:t>
                          </m:r>
                          <m:d>
                            <m:dPr>
                              <m:ctrlPr>
                                <a:rPr lang="es-ES" sz="1100" b="0" i="1" baseline="-25000">
                                  <a:latin typeface="Cambria Math" panose="02040503050406030204" pitchFamily="18" charset="0"/>
                                </a:rPr>
                              </m:ctrlPr>
                            </m:dPr>
                            <m:e>
                              <m:r>
                                <a:rPr lang="es-ES" sz="1100" b="0" i="1" baseline="-25000">
                                  <a:latin typeface="Cambria Math" panose="02040503050406030204" pitchFamily="18" charset="0"/>
                                </a:rPr>
                                <m:t>𝑖</m:t>
                              </m:r>
                              <m:r>
                                <a:rPr lang="es-ES" sz="1100" b="0" i="1" baseline="-25000">
                                  <a:latin typeface="Cambria Math" panose="02040503050406030204" pitchFamily="18" charset="0"/>
                                </a:rPr>
                                <m:t>+1</m:t>
                              </m:r>
                            </m:e>
                          </m:d>
                          <m:r>
                            <a:rPr lang="es-ES" sz="1100" b="0" i="1">
                              <a:latin typeface="Cambria Math" panose="02040503050406030204" pitchFamily="18" charset="0"/>
                            </a:rPr>
                            <m:t>−</m:t>
                          </m:r>
                          <m:r>
                            <a:rPr lang="es-ES" sz="1100" b="0" i="1">
                              <a:latin typeface="Cambria Math" panose="02040503050406030204" pitchFamily="18" charset="0"/>
                            </a:rPr>
                            <m:t>𝐶𝑎𝑝</m:t>
                          </m:r>
                          <m:r>
                            <a:rPr lang="es-ES" sz="1100" b="0" i="1" baseline="-25000">
                              <a:latin typeface="Cambria Math" panose="02040503050406030204" pitchFamily="18" charset="0"/>
                            </a:rPr>
                            <m:t>(</m:t>
                          </m:r>
                          <m:r>
                            <a:rPr lang="es-ES" sz="1100" b="0" i="1" baseline="-25000">
                              <a:latin typeface="Cambria Math" panose="02040503050406030204" pitchFamily="18" charset="0"/>
                            </a:rPr>
                            <m:t>𝑖</m:t>
                          </m:r>
                          <m:r>
                            <a:rPr lang="es-ES" sz="1100" b="0" i="1" baseline="-25000">
                              <a:latin typeface="Cambria Math" panose="02040503050406030204" pitchFamily="18" charset="0"/>
                            </a:rPr>
                            <m:t>)</m:t>
                          </m:r>
                        </m:e>
                      </m:d>
                    </m:e>
                  </m:nary>
                </m:oMath>
              </a14:m>
              <a:endParaRPr lang="es-ES" sz="1100">
                <a:latin typeface="Arial" panose="020B0604020202020204" pitchFamily="34" charset="0"/>
                <a:cs typeface="Arial" panose="020B0604020202020204" pitchFamily="34" charset="0"/>
              </a:endParaRPr>
            </a:p>
          </xdr:txBody>
        </xdr:sp>
      </mc:Choice>
      <mc:Fallback xmlns="">
        <xdr:sp macro="" textlink="">
          <xdr:nvSpPr>
            <xdr:cNvPr id="74" name="CuadroTexto 1"/>
            <xdr:cNvSpPr txBox="1"/>
          </xdr:nvSpPr>
          <xdr:spPr>
            <a:xfrm>
              <a:off x="40624125" y="15487713"/>
              <a:ext cx="2510378" cy="52381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noAutofit/>
            </a:bodyPr>
            <a:lstStyle/>
            <a:p>
              <a:r>
                <a:rPr lang="el-GR" sz="1100">
                  <a:latin typeface="Arial" panose="020B0604020202020204" pitchFamily="34" charset="0"/>
                  <a:cs typeface="Arial" panose="020B0604020202020204" pitchFamily="34" charset="0"/>
                </a:rPr>
                <a:t>Δ</a:t>
              </a:r>
              <a:r>
                <a:rPr lang="es-ES" sz="1100">
                  <a:latin typeface="Arial" panose="020B0604020202020204" pitchFamily="34" charset="0"/>
                  <a:cs typeface="Arial" panose="020B0604020202020204" pitchFamily="34" charset="0"/>
                </a:rPr>
                <a:t>Cap</a:t>
              </a:r>
              <a:r>
                <a:rPr lang="es-ES" sz="1100" i="0">
                  <a:latin typeface="Cambria Math" panose="02040503050406030204" pitchFamily="18" charset="0"/>
                </a:rPr>
                <a:t>=〖</a:t>
              </a:r>
              <a:r>
                <a:rPr lang="es-ES" sz="1100" b="0" i="0">
                  <a:latin typeface="Cambria Math" panose="02040503050406030204" pitchFamily="18" charset="0"/>
                </a:rPr>
                <a:t>𝐶𝑎𝑝〗_</a:t>
              </a:r>
              <a:r>
                <a:rPr lang="es-ES" sz="1100" i="0">
                  <a:latin typeface="Cambria Math" panose="02040503050406030204" pitchFamily="18" charset="0"/>
                </a:rPr>
                <a:t>0+∑</a:t>
              </a:r>
              <a:r>
                <a:rPr lang="es-ES" sz="1100" b="0" i="0">
                  <a:latin typeface="Cambria Math" panose="02040503050406030204" pitchFamily="18" charset="0"/>
                </a:rPr>
                <a:t>_(𝑖</a:t>
              </a:r>
              <a:r>
                <a:rPr lang="es-ES" sz="1100" i="0">
                  <a:latin typeface="Cambria Math" panose="02040503050406030204" pitchFamily="18" charset="0"/>
                </a:rPr>
                <a:t>=</a:t>
              </a:r>
              <a:r>
                <a:rPr lang="es-ES" sz="1100" b="0" i="0">
                  <a:latin typeface="Cambria Math" panose="02040503050406030204" pitchFamily="18" charset="0"/>
                </a:rPr>
                <a:t>0)^𝑛</a:t>
              </a:r>
              <a:r>
                <a:rPr lang="es-ES" sz="1100" b="0" i="0" baseline="-25000">
                  <a:latin typeface="Cambria Math" panose="02040503050406030204" pitchFamily="18" charset="0"/>
                </a:rPr>
                <a:t>▒(</a:t>
              </a:r>
              <a:r>
                <a:rPr lang="es-ES" sz="1100" b="0" i="0">
                  <a:latin typeface="Cambria Math" panose="02040503050406030204" pitchFamily="18" charset="0"/>
                </a:rPr>
                <a:t>𝐶𝑎𝑝</a:t>
              </a:r>
              <a:r>
                <a:rPr lang="es-ES" sz="1100" b="0" i="0" baseline="-25000">
                  <a:latin typeface="Cambria Math" panose="02040503050406030204" pitchFamily="18" charset="0"/>
                </a:rPr>
                <a:t>(𝑖+1)</a:t>
              </a:r>
              <a:r>
                <a:rPr lang="es-ES" sz="1100" b="0" i="0">
                  <a:latin typeface="Cambria Math" panose="02040503050406030204" pitchFamily="18" charset="0"/>
                </a:rPr>
                <a:t>−𝐶𝑎𝑝</a:t>
              </a:r>
              <a:r>
                <a:rPr lang="es-ES" sz="1100" b="0" i="0" baseline="-25000">
                  <a:latin typeface="Cambria Math" panose="02040503050406030204" pitchFamily="18" charset="0"/>
                </a:rPr>
                <a:t>(𝑖)) </a:t>
              </a:r>
              <a:endParaRPr lang="es-ES" sz="1100">
                <a:latin typeface="Arial" panose="020B0604020202020204" pitchFamily="34" charset="0"/>
                <a:cs typeface="Arial" panose="020B0604020202020204" pitchFamily="34" charset="0"/>
              </a:endParaRPr>
            </a:p>
          </xdr:txBody>
        </xdr:sp>
      </mc:Fallback>
    </mc:AlternateContent>
    <xdr:clientData/>
  </xdr:oneCellAnchor>
  <xdr:oneCellAnchor>
    <xdr:from>
      <xdr:col>42</xdr:col>
      <xdr:colOff>219075</xdr:colOff>
      <xdr:row>207</xdr:row>
      <xdr:rowOff>1362075</xdr:rowOff>
    </xdr:from>
    <xdr:ext cx="2510378" cy="523812"/>
    <mc:AlternateContent xmlns:mc="http://schemas.openxmlformats.org/markup-compatibility/2006" xmlns:a14="http://schemas.microsoft.com/office/drawing/2010/main">
      <mc:Choice Requires="a14">
        <xdr:sp macro="" textlink="">
          <xdr:nvSpPr>
            <xdr:cNvPr id="75" name="CuadroTexto 6">
              <a:extLst>
                <a:ext uri="{FF2B5EF4-FFF2-40B4-BE49-F238E27FC236}">
                  <a16:creationId xmlns:a16="http://schemas.microsoft.com/office/drawing/2014/main" id="{00000000-0008-0000-0400-00004B000000}"/>
                </a:ext>
              </a:extLst>
            </xdr:cNvPr>
            <xdr:cNvSpPr txBox="1"/>
          </xdr:nvSpPr>
          <xdr:spPr>
            <a:xfrm>
              <a:off x="40719375" y="8743950"/>
              <a:ext cx="2510378" cy="52381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noAutofit/>
            </a:bodyPr>
            <a:lstStyle/>
            <a:p>
              <a:r>
                <a:rPr lang="el-GR" sz="1100">
                  <a:latin typeface="Arial" panose="020B0604020202020204" pitchFamily="34" charset="0"/>
                  <a:cs typeface="Arial" panose="020B0604020202020204" pitchFamily="34" charset="0"/>
                </a:rPr>
                <a:t>Δ</a:t>
              </a:r>
              <a:r>
                <a:rPr lang="es-ES" sz="1100">
                  <a:latin typeface="Arial" panose="020B0604020202020204" pitchFamily="34" charset="0"/>
                  <a:cs typeface="Arial" panose="020B0604020202020204" pitchFamily="34" charset="0"/>
                </a:rPr>
                <a:t>Bov</a:t>
              </a:r>
              <a14:m>
                <m:oMath xmlns:m="http://schemas.openxmlformats.org/officeDocument/2006/math">
                  <m:r>
                    <a:rPr lang="es-ES" sz="1100" i="1">
                      <a:latin typeface="Cambria Math" panose="02040503050406030204" pitchFamily="18" charset="0"/>
                    </a:rPr>
                    <m:t>=</m:t>
                  </m:r>
                  <m:sSub>
                    <m:sSubPr>
                      <m:ctrlPr>
                        <a:rPr lang="es-ES" sz="1100" i="1">
                          <a:latin typeface="Cambria Math" panose="02040503050406030204" pitchFamily="18" charset="0"/>
                        </a:rPr>
                      </m:ctrlPr>
                    </m:sSubPr>
                    <m:e>
                      <m:r>
                        <a:rPr lang="es-ES" sz="1100" b="0" i="1">
                          <a:latin typeface="Cambria Math" panose="02040503050406030204" pitchFamily="18" charset="0"/>
                        </a:rPr>
                        <m:t>𝐵𝑜𝑣</m:t>
                      </m:r>
                    </m:e>
                    <m:sub>
                      <m:r>
                        <a:rPr lang="es-ES" sz="1100" i="1">
                          <a:latin typeface="Cambria Math" panose="02040503050406030204" pitchFamily="18" charset="0"/>
                        </a:rPr>
                        <m:t>0</m:t>
                      </m:r>
                    </m:sub>
                  </m:sSub>
                  <m:r>
                    <a:rPr lang="es-ES" sz="1100" i="1">
                      <a:latin typeface="Cambria Math" panose="02040503050406030204" pitchFamily="18" charset="0"/>
                    </a:rPr>
                    <m:t>+</m:t>
                  </m:r>
                  <m:nary>
                    <m:naryPr>
                      <m:chr m:val="∑"/>
                      <m:ctrlPr>
                        <a:rPr lang="es-ES" sz="1100" i="1">
                          <a:latin typeface="Cambria Math" panose="02040503050406030204" pitchFamily="18" charset="0"/>
                        </a:rPr>
                      </m:ctrlPr>
                    </m:naryPr>
                    <m:sub>
                      <m:r>
                        <a:rPr lang="es-ES" sz="1100" b="0" i="1">
                          <a:latin typeface="Cambria Math" panose="02040503050406030204" pitchFamily="18" charset="0"/>
                        </a:rPr>
                        <m:t>𝑖</m:t>
                      </m:r>
                      <m:r>
                        <a:rPr lang="es-ES" sz="1100" i="1">
                          <a:latin typeface="Cambria Math" panose="02040503050406030204" pitchFamily="18" charset="0"/>
                        </a:rPr>
                        <m:t>=</m:t>
                      </m:r>
                      <m:r>
                        <a:rPr lang="es-ES" sz="1100" b="0" i="1">
                          <a:latin typeface="Cambria Math" panose="02040503050406030204" pitchFamily="18" charset="0"/>
                        </a:rPr>
                        <m:t>0</m:t>
                      </m:r>
                    </m:sub>
                    <m:sup>
                      <m:r>
                        <a:rPr lang="es-ES" sz="1100" b="0" i="1">
                          <a:latin typeface="Cambria Math" panose="02040503050406030204" pitchFamily="18" charset="0"/>
                        </a:rPr>
                        <m:t>𝑛</m:t>
                      </m:r>
                    </m:sup>
                    <m:e>
                      <m:d>
                        <m:dPr>
                          <m:ctrlPr>
                            <a:rPr lang="es-ES" sz="1100" i="1">
                              <a:latin typeface="Cambria Math" panose="02040503050406030204" pitchFamily="18" charset="0"/>
                            </a:rPr>
                          </m:ctrlPr>
                        </m:dPr>
                        <m:e>
                          <m:r>
                            <a:rPr lang="es-ES" sz="1100" b="0" i="1">
                              <a:latin typeface="Cambria Math" panose="02040503050406030204" pitchFamily="18" charset="0"/>
                            </a:rPr>
                            <m:t>𝐵𝑜𝑣</m:t>
                          </m:r>
                          <m:d>
                            <m:dPr>
                              <m:ctrlPr>
                                <a:rPr lang="es-ES" sz="1100" b="0" i="1" baseline="-25000">
                                  <a:latin typeface="Cambria Math" panose="02040503050406030204" pitchFamily="18" charset="0"/>
                                </a:rPr>
                              </m:ctrlPr>
                            </m:dPr>
                            <m:e>
                              <m:r>
                                <a:rPr lang="es-ES" sz="1100" b="0" i="1" baseline="-25000">
                                  <a:latin typeface="Cambria Math" panose="02040503050406030204" pitchFamily="18" charset="0"/>
                                </a:rPr>
                                <m:t>𝑖</m:t>
                              </m:r>
                              <m:r>
                                <a:rPr lang="es-ES" sz="1100" b="0" i="1" baseline="-25000">
                                  <a:latin typeface="Cambria Math" panose="02040503050406030204" pitchFamily="18" charset="0"/>
                                </a:rPr>
                                <m:t>+1</m:t>
                              </m:r>
                            </m:e>
                          </m:d>
                          <m:r>
                            <a:rPr lang="es-ES" sz="1100" b="0" i="1">
                              <a:latin typeface="Cambria Math" panose="02040503050406030204" pitchFamily="18" charset="0"/>
                            </a:rPr>
                            <m:t>−</m:t>
                          </m:r>
                          <m:r>
                            <a:rPr lang="es-ES" sz="1100" b="0" i="1">
                              <a:latin typeface="Cambria Math" panose="02040503050406030204" pitchFamily="18" charset="0"/>
                            </a:rPr>
                            <m:t>𝐵𝑜𝑣</m:t>
                          </m:r>
                          <m:r>
                            <a:rPr lang="es-ES" sz="1100" b="0" i="1" baseline="-25000">
                              <a:latin typeface="Cambria Math" panose="02040503050406030204" pitchFamily="18" charset="0"/>
                            </a:rPr>
                            <m:t>(</m:t>
                          </m:r>
                          <m:r>
                            <a:rPr lang="es-ES" sz="1100" b="0" i="1" baseline="-25000">
                              <a:latin typeface="Cambria Math" panose="02040503050406030204" pitchFamily="18" charset="0"/>
                            </a:rPr>
                            <m:t>𝑖</m:t>
                          </m:r>
                          <m:r>
                            <a:rPr lang="es-ES" sz="1100" b="0" i="1" baseline="-25000">
                              <a:latin typeface="Cambria Math" panose="02040503050406030204" pitchFamily="18" charset="0"/>
                            </a:rPr>
                            <m:t>)</m:t>
                          </m:r>
                        </m:e>
                      </m:d>
                    </m:e>
                  </m:nary>
                </m:oMath>
              </a14:m>
              <a:endParaRPr lang="es-ES" sz="1100">
                <a:latin typeface="Arial" panose="020B0604020202020204" pitchFamily="34" charset="0"/>
                <a:cs typeface="Arial" panose="020B0604020202020204" pitchFamily="34" charset="0"/>
              </a:endParaRPr>
            </a:p>
          </xdr:txBody>
        </xdr:sp>
      </mc:Choice>
      <mc:Fallback xmlns="">
        <xdr:sp macro="" textlink="">
          <xdr:nvSpPr>
            <xdr:cNvPr id="75" name="CuadroTexto 6"/>
            <xdr:cNvSpPr txBox="1"/>
          </xdr:nvSpPr>
          <xdr:spPr>
            <a:xfrm>
              <a:off x="40719375" y="8743950"/>
              <a:ext cx="2510378" cy="52381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noAutofit/>
            </a:bodyPr>
            <a:lstStyle/>
            <a:p>
              <a:r>
                <a:rPr lang="el-GR" sz="1100">
                  <a:latin typeface="Arial" panose="020B0604020202020204" pitchFamily="34" charset="0"/>
                  <a:cs typeface="Arial" panose="020B0604020202020204" pitchFamily="34" charset="0"/>
                </a:rPr>
                <a:t>Δ</a:t>
              </a:r>
              <a:r>
                <a:rPr lang="es-ES" sz="1100">
                  <a:latin typeface="Arial" panose="020B0604020202020204" pitchFamily="34" charset="0"/>
                  <a:cs typeface="Arial" panose="020B0604020202020204" pitchFamily="34" charset="0"/>
                </a:rPr>
                <a:t>Bov</a:t>
              </a:r>
              <a:r>
                <a:rPr lang="es-ES" sz="1100" i="0">
                  <a:latin typeface="Cambria Math" panose="02040503050406030204" pitchFamily="18" charset="0"/>
                </a:rPr>
                <a:t>=〖</a:t>
              </a:r>
              <a:r>
                <a:rPr lang="es-ES" sz="1100" b="0" i="0">
                  <a:latin typeface="Cambria Math" panose="02040503050406030204" pitchFamily="18" charset="0"/>
                </a:rPr>
                <a:t>𝐵𝑜𝑣〗_</a:t>
              </a:r>
              <a:r>
                <a:rPr lang="es-ES" sz="1100" i="0">
                  <a:latin typeface="Cambria Math" panose="02040503050406030204" pitchFamily="18" charset="0"/>
                </a:rPr>
                <a:t>0+∑</a:t>
              </a:r>
              <a:r>
                <a:rPr lang="es-ES" sz="1100" b="0" i="0">
                  <a:latin typeface="Cambria Math" panose="02040503050406030204" pitchFamily="18" charset="0"/>
                </a:rPr>
                <a:t>_(𝑖</a:t>
              </a:r>
              <a:r>
                <a:rPr lang="es-ES" sz="1100" i="0">
                  <a:latin typeface="Cambria Math" panose="02040503050406030204" pitchFamily="18" charset="0"/>
                </a:rPr>
                <a:t>=</a:t>
              </a:r>
              <a:r>
                <a:rPr lang="es-ES" sz="1100" b="0" i="0">
                  <a:latin typeface="Cambria Math" panose="02040503050406030204" pitchFamily="18" charset="0"/>
                </a:rPr>
                <a:t>0)^𝑛</a:t>
              </a:r>
              <a:r>
                <a:rPr lang="es-ES" sz="1100" b="0" i="0" baseline="-25000">
                  <a:latin typeface="Cambria Math" panose="02040503050406030204" pitchFamily="18" charset="0"/>
                </a:rPr>
                <a:t>▒(</a:t>
              </a:r>
              <a:r>
                <a:rPr lang="es-ES" sz="1100" b="0" i="0">
                  <a:latin typeface="Cambria Math" panose="02040503050406030204" pitchFamily="18" charset="0"/>
                </a:rPr>
                <a:t>𝐵𝑜𝑣</a:t>
              </a:r>
              <a:r>
                <a:rPr lang="es-ES" sz="1100" b="0" i="0" baseline="-25000">
                  <a:latin typeface="Cambria Math" panose="02040503050406030204" pitchFamily="18" charset="0"/>
                </a:rPr>
                <a:t>(𝑖+1)</a:t>
              </a:r>
              <a:r>
                <a:rPr lang="es-ES" sz="1100" b="0" i="0">
                  <a:latin typeface="Cambria Math" panose="02040503050406030204" pitchFamily="18" charset="0"/>
                </a:rPr>
                <a:t>−𝐵𝑜𝑣</a:t>
              </a:r>
              <a:r>
                <a:rPr lang="es-ES" sz="1100" b="0" i="0" baseline="-25000">
                  <a:latin typeface="Cambria Math" panose="02040503050406030204" pitchFamily="18" charset="0"/>
                </a:rPr>
                <a:t>(𝑖)) </a:t>
              </a:r>
              <a:endParaRPr lang="es-ES" sz="1100">
                <a:latin typeface="Arial" panose="020B0604020202020204" pitchFamily="34" charset="0"/>
                <a:cs typeface="Arial" panose="020B0604020202020204" pitchFamily="34" charset="0"/>
              </a:endParaRPr>
            </a:p>
          </xdr:txBody>
        </xdr:sp>
      </mc:Fallback>
    </mc:AlternateContent>
    <xdr:clientData/>
  </xdr:oneCellAnchor>
  <xdr:oneCellAnchor>
    <xdr:from>
      <xdr:col>42</xdr:col>
      <xdr:colOff>209550</xdr:colOff>
      <xdr:row>208</xdr:row>
      <xdr:rowOff>1257300</xdr:rowOff>
    </xdr:from>
    <xdr:ext cx="2510378" cy="523812"/>
    <mc:AlternateContent xmlns:mc="http://schemas.openxmlformats.org/markup-compatibility/2006" xmlns:a14="http://schemas.microsoft.com/office/drawing/2010/main">
      <mc:Choice Requires="a14">
        <xdr:sp macro="" textlink="">
          <xdr:nvSpPr>
            <xdr:cNvPr id="76" name="CuadroTexto 7">
              <a:extLst>
                <a:ext uri="{FF2B5EF4-FFF2-40B4-BE49-F238E27FC236}">
                  <a16:creationId xmlns:a16="http://schemas.microsoft.com/office/drawing/2014/main" id="{00000000-0008-0000-0400-00004C000000}"/>
                </a:ext>
              </a:extLst>
            </xdr:cNvPr>
            <xdr:cNvSpPr txBox="1"/>
          </xdr:nvSpPr>
          <xdr:spPr>
            <a:xfrm>
              <a:off x="40709850" y="12039600"/>
              <a:ext cx="2510378" cy="52381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noAutofit/>
            </a:bodyPr>
            <a:lstStyle/>
            <a:p>
              <a:r>
                <a:rPr lang="el-GR" sz="1100">
                  <a:latin typeface="Arial" panose="020B0604020202020204" pitchFamily="34" charset="0"/>
                  <a:cs typeface="Arial" panose="020B0604020202020204" pitchFamily="34" charset="0"/>
                </a:rPr>
                <a:t>Δ</a:t>
              </a:r>
              <a:r>
                <a:rPr lang="es-ES" sz="1100">
                  <a:latin typeface="Arial" panose="020B0604020202020204" pitchFamily="34" charset="0"/>
                  <a:cs typeface="Arial" panose="020B0604020202020204" pitchFamily="34" charset="0"/>
                </a:rPr>
                <a:t>Ovi</a:t>
              </a:r>
              <a14:m>
                <m:oMath xmlns:m="http://schemas.openxmlformats.org/officeDocument/2006/math">
                  <m:r>
                    <a:rPr lang="es-ES" sz="1100" i="1">
                      <a:latin typeface="Cambria Math" panose="02040503050406030204" pitchFamily="18" charset="0"/>
                    </a:rPr>
                    <m:t>=</m:t>
                  </m:r>
                  <m:sSub>
                    <m:sSubPr>
                      <m:ctrlPr>
                        <a:rPr lang="es-ES" sz="1100" i="1">
                          <a:latin typeface="Cambria Math" panose="02040503050406030204" pitchFamily="18" charset="0"/>
                        </a:rPr>
                      </m:ctrlPr>
                    </m:sSubPr>
                    <m:e>
                      <m:r>
                        <a:rPr lang="es-ES" sz="1100" b="0" i="1">
                          <a:latin typeface="Cambria Math" panose="02040503050406030204" pitchFamily="18" charset="0"/>
                        </a:rPr>
                        <m:t>𝑂𝑣𝑖</m:t>
                      </m:r>
                    </m:e>
                    <m:sub>
                      <m:r>
                        <a:rPr lang="es-ES" sz="1100" i="1">
                          <a:latin typeface="Cambria Math" panose="02040503050406030204" pitchFamily="18" charset="0"/>
                        </a:rPr>
                        <m:t>0</m:t>
                      </m:r>
                    </m:sub>
                  </m:sSub>
                  <m:r>
                    <a:rPr lang="es-ES" sz="1100" i="1">
                      <a:latin typeface="Cambria Math" panose="02040503050406030204" pitchFamily="18" charset="0"/>
                    </a:rPr>
                    <m:t>+</m:t>
                  </m:r>
                  <m:nary>
                    <m:naryPr>
                      <m:chr m:val="∑"/>
                      <m:ctrlPr>
                        <a:rPr lang="es-ES" sz="1100" i="1">
                          <a:latin typeface="Cambria Math" panose="02040503050406030204" pitchFamily="18" charset="0"/>
                        </a:rPr>
                      </m:ctrlPr>
                    </m:naryPr>
                    <m:sub>
                      <m:r>
                        <a:rPr lang="es-ES" sz="1100" b="0" i="1">
                          <a:latin typeface="Cambria Math" panose="02040503050406030204" pitchFamily="18" charset="0"/>
                        </a:rPr>
                        <m:t>𝑖</m:t>
                      </m:r>
                      <m:r>
                        <a:rPr lang="es-ES" sz="1100" i="1">
                          <a:latin typeface="Cambria Math" panose="02040503050406030204" pitchFamily="18" charset="0"/>
                        </a:rPr>
                        <m:t>=</m:t>
                      </m:r>
                      <m:r>
                        <a:rPr lang="es-ES" sz="1100" b="0" i="1">
                          <a:latin typeface="Cambria Math" panose="02040503050406030204" pitchFamily="18" charset="0"/>
                        </a:rPr>
                        <m:t>0</m:t>
                      </m:r>
                    </m:sub>
                    <m:sup>
                      <m:r>
                        <a:rPr lang="es-ES" sz="1100" b="0" i="1">
                          <a:latin typeface="Cambria Math" panose="02040503050406030204" pitchFamily="18" charset="0"/>
                        </a:rPr>
                        <m:t>𝑛</m:t>
                      </m:r>
                    </m:sup>
                    <m:e>
                      <m:d>
                        <m:dPr>
                          <m:ctrlPr>
                            <a:rPr lang="es-ES" sz="1100" i="1">
                              <a:latin typeface="Cambria Math" panose="02040503050406030204" pitchFamily="18" charset="0"/>
                            </a:rPr>
                          </m:ctrlPr>
                        </m:dPr>
                        <m:e>
                          <m:r>
                            <a:rPr lang="es-ES" sz="1100" b="0" i="1">
                              <a:latin typeface="Cambria Math" panose="02040503050406030204" pitchFamily="18" charset="0"/>
                            </a:rPr>
                            <m:t>𝑂𝑣𝑖</m:t>
                          </m:r>
                          <m:d>
                            <m:dPr>
                              <m:ctrlPr>
                                <a:rPr lang="es-ES" sz="1100" b="0" i="1" baseline="-25000">
                                  <a:latin typeface="Cambria Math" panose="02040503050406030204" pitchFamily="18" charset="0"/>
                                </a:rPr>
                              </m:ctrlPr>
                            </m:dPr>
                            <m:e>
                              <m:r>
                                <a:rPr lang="es-ES" sz="1100" b="0" i="1" baseline="-25000">
                                  <a:latin typeface="Cambria Math" panose="02040503050406030204" pitchFamily="18" charset="0"/>
                                </a:rPr>
                                <m:t>𝑖</m:t>
                              </m:r>
                              <m:r>
                                <a:rPr lang="es-ES" sz="1100" b="0" i="1" baseline="-25000">
                                  <a:latin typeface="Cambria Math" panose="02040503050406030204" pitchFamily="18" charset="0"/>
                                </a:rPr>
                                <m:t>+1</m:t>
                              </m:r>
                            </m:e>
                          </m:d>
                          <m:r>
                            <a:rPr lang="es-ES" sz="1100" b="0" i="1">
                              <a:latin typeface="Cambria Math" panose="02040503050406030204" pitchFamily="18" charset="0"/>
                            </a:rPr>
                            <m:t>−</m:t>
                          </m:r>
                          <m:r>
                            <a:rPr lang="es-ES" sz="1100" b="0" i="1">
                              <a:latin typeface="Cambria Math" panose="02040503050406030204" pitchFamily="18" charset="0"/>
                            </a:rPr>
                            <m:t>𝑂𝑣𝑖</m:t>
                          </m:r>
                          <m:r>
                            <a:rPr lang="es-ES" sz="1100" b="0" i="1" baseline="-25000">
                              <a:latin typeface="Cambria Math" panose="02040503050406030204" pitchFamily="18" charset="0"/>
                            </a:rPr>
                            <m:t>(</m:t>
                          </m:r>
                          <m:r>
                            <a:rPr lang="es-ES" sz="1100" b="0" i="1" baseline="-25000">
                              <a:latin typeface="Cambria Math" panose="02040503050406030204" pitchFamily="18" charset="0"/>
                            </a:rPr>
                            <m:t>𝑖</m:t>
                          </m:r>
                          <m:r>
                            <a:rPr lang="es-ES" sz="1100" b="0" i="1" baseline="-25000">
                              <a:latin typeface="Cambria Math" panose="02040503050406030204" pitchFamily="18" charset="0"/>
                            </a:rPr>
                            <m:t>)</m:t>
                          </m:r>
                        </m:e>
                      </m:d>
                    </m:e>
                  </m:nary>
                </m:oMath>
              </a14:m>
              <a:endParaRPr lang="es-ES" sz="1100">
                <a:latin typeface="Arial" panose="020B0604020202020204" pitchFamily="34" charset="0"/>
                <a:cs typeface="Arial" panose="020B0604020202020204" pitchFamily="34" charset="0"/>
              </a:endParaRPr>
            </a:p>
          </xdr:txBody>
        </xdr:sp>
      </mc:Choice>
      <mc:Fallback xmlns="">
        <xdr:sp macro="" textlink="">
          <xdr:nvSpPr>
            <xdr:cNvPr id="76" name="CuadroTexto 7"/>
            <xdr:cNvSpPr txBox="1"/>
          </xdr:nvSpPr>
          <xdr:spPr>
            <a:xfrm>
              <a:off x="40709850" y="12039600"/>
              <a:ext cx="2510378" cy="52381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noAutofit/>
            </a:bodyPr>
            <a:lstStyle/>
            <a:p>
              <a:r>
                <a:rPr lang="el-GR" sz="1100">
                  <a:latin typeface="Arial" panose="020B0604020202020204" pitchFamily="34" charset="0"/>
                  <a:cs typeface="Arial" panose="020B0604020202020204" pitchFamily="34" charset="0"/>
                </a:rPr>
                <a:t>Δ</a:t>
              </a:r>
              <a:r>
                <a:rPr lang="es-ES" sz="1100">
                  <a:latin typeface="Arial" panose="020B0604020202020204" pitchFamily="34" charset="0"/>
                  <a:cs typeface="Arial" panose="020B0604020202020204" pitchFamily="34" charset="0"/>
                </a:rPr>
                <a:t>Ovi</a:t>
              </a:r>
              <a:r>
                <a:rPr lang="es-ES" sz="1100" i="0">
                  <a:latin typeface="Cambria Math" panose="02040503050406030204" pitchFamily="18" charset="0"/>
                </a:rPr>
                <a:t>=〖</a:t>
              </a:r>
              <a:r>
                <a:rPr lang="es-ES" sz="1100" b="0" i="0">
                  <a:latin typeface="Cambria Math" panose="02040503050406030204" pitchFamily="18" charset="0"/>
                </a:rPr>
                <a:t>𝑂𝑣𝑖〗_</a:t>
              </a:r>
              <a:r>
                <a:rPr lang="es-ES" sz="1100" i="0">
                  <a:latin typeface="Cambria Math" panose="02040503050406030204" pitchFamily="18" charset="0"/>
                </a:rPr>
                <a:t>0+∑</a:t>
              </a:r>
              <a:r>
                <a:rPr lang="es-ES" sz="1100" b="0" i="0">
                  <a:latin typeface="Cambria Math" panose="02040503050406030204" pitchFamily="18" charset="0"/>
                </a:rPr>
                <a:t>_(𝑖</a:t>
              </a:r>
              <a:r>
                <a:rPr lang="es-ES" sz="1100" i="0">
                  <a:latin typeface="Cambria Math" panose="02040503050406030204" pitchFamily="18" charset="0"/>
                </a:rPr>
                <a:t>=</a:t>
              </a:r>
              <a:r>
                <a:rPr lang="es-ES" sz="1100" b="0" i="0">
                  <a:latin typeface="Cambria Math" panose="02040503050406030204" pitchFamily="18" charset="0"/>
                </a:rPr>
                <a:t>0)^𝑛</a:t>
              </a:r>
              <a:r>
                <a:rPr lang="es-ES" sz="1100" b="0" i="0" baseline="-25000">
                  <a:latin typeface="Cambria Math" panose="02040503050406030204" pitchFamily="18" charset="0"/>
                </a:rPr>
                <a:t>▒(</a:t>
              </a:r>
              <a:r>
                <a:rPr lang="es-ES" sz="1100" b="0" i="0">
                  <a:latin typeface="Cambria Math" panose="02040503050406030204" pitchFamily="18" charset="0"/>
                </a:rPr>
                <a:t>𝑂𝑣𝑖</a:t>
              </a:r>
              <a:r>
                <a:rPr lang="es-ES" sz="1100" b="0" i="0" baseline="-25000">
                  <a:latin typeface="Cambria Math" panose="02040503050406030204" pitchFamily="18" charset="0"/>
                </a:rPr>
                <a:t>(𝑖+1)</a:t>
              </a:r>
              <a:r>
                <a:rPr lang="es-ES" sz="1100" b="0" i="0">
                  <a:latin typeface="Cambria Math" panose="02040503050406030204" pitchFamily="18" charset="0"/>
                </a:rPr>
                <a:t>−𝑂𝑣𝑖</a:t>
              </a:r>
              <a:r>
                <a:rPr lang="es-ES" sz="1100" b="0" i="0" baseline="-25000">
                  <a:latin typeface="Cambria Math" panose="02040503050406030204" pitchFamily="18" charset="0"/>
                </a:rPr>
                <a:t>(𝑖)) </a:t>
              </a:r>
              <a:endParaRPr lang="es-ES" sz="1100">
                <a:latin typeface="Arial" panose="020B0604020202020204" pitchFamily="34" charset="0"/>
                <a:cs typeface="Arial" panose="020B0604020202020204" pitchFamily="34" charset="0"/>
              </a:endParaRPr>
            </a:p>
          </xdr:txBody>
        </xdr:sp>
      </mc:Fallback>
    </mc:AlternateContent>
    <xdr:clientData/>
  </xdr:oneCellAnchor>
  <xdr:oneCellAnchor>
    <xdr:from>
      <xdr:col>42</xdr:col>
      <xdr:colOff>114300</xdr:colOff>
      <xdr:row>211</xdr:row>
      <xdr:rowOff>1323975</xdr:rowOff>
    </xdr:from>
    <xdr:ext cx="2510378" cy="523812"/>
    <mc:AlternateContent xmlns:mc="http://schemas.openxmlformats.org/markup-compatibility/2006" xmlns:a14="http://schemas.microsoft.com/office/drawing/2010/main">
      <mc:Choice Requires="a14">
        <xdr:sp macro="" textlink="">
          <xdr:nvSpPr>
            <xdr:cNvPr id="77" name="CuadroTexto 8">
              <a:extLst>
                <a:ext uri="{FF2B5EF4-FFF2-40B4-BE49-F238E27FC236}">
                  <a16:creationId xmlns:a16="http://schemas.microsoft.com/office/drawing/2014/main" id="{00000000-0008-0000-0400-00004D000000}"/>
                </a:ext>
              </a:extLst>
            </xdr:cNvPr>
            <xdr:cNvSpPr txBox="1"/>
          </xdr:nvSpPr>
          <xdr:spPr>
            <a:xfrm>
              <a:off x="40614600" y="22307550"/>
              <a:ext cx="2510378" cy="52381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noAutofit/>
            </a:bodyPr>
            <a:lstStyle/>
            <a:p>
              <a:r>
                <a:rPr lang="el-GR" sz="1100">
                  <a:latin typeface="Arial" panose="020B0604020202020204" pitchFamily="34" charset="0"/>
                  <a:cs typeface="Arial" panose="020B0604020202020204" pitchFamily="34" charset="0"/>
                </a:rPr>
                <a:t>Δ</a:t>
              </a:r>
              <a:r>
                <a:rPr lang="es-ES" sz="1100">
                  <a:latin typeface="Arial" panose="020B0604020202020204" pitchFamily="34" charset="0"/>
                  <a:cs typeface="Arial" panose="020B0604020202020204" pitchFamily="34" charset="0"/>
                </a:rPr>
                <a:t>Lla</a:t>
              </a:r>
              <a14:m>
                <m:oMath xmlns:m="http://schemas.openxmlformats.org/officeDocument/2006/math">
                  <m:r>
                    <a:rPr lang="es-ES" sz="1100" i="1">
                      <a:latin typeface="Cambria Math" panose="02040503050406030204" pitchFamily="18" charset="0"/>
                    </a:rPr>
                    <m:t>=</m:t>
                  </m:r>
                  <m:sSub>
                    <m:sSubPr>
                      <m:ctrlPr>
                        <a:rPr lang="es-ES" sz="1100" i="1">
                          <a:latin typeface="Cambria Math" panose="02040503050406030204" pitchFamily="18" charset="0"/>
                        </a:rPr>
                      </m:ctrlPr>
                    </m:sSubPr>
                    <m:e>
                      <m:r>
                        <a:rPr lang="es-ES" sz="1100" b="0" i="1">
                          <a:latin typeface="Cambria Math" panose="02040503050406030204" pitchFamily="18" charset="0"/>
                        </a:rPr>
                        <m:t>𝐿𝑙𝑎</m:t>
                      </m:r>
                    </m:e>
                    <m:sub>
                      <m:r>
                        <a:rPr lang="es-ES" sz="1100" i="1">
                          <a:latin typeface="Cambria Math" panose="02040503050406030204" pitchFamily="18" charset="0"/>
                        </a:rPr>
                        <m:t>0</m:t>
                      </m:r>
                    </m:sub>
                  </m:sSub>
                  <m:r>
                    <a:rPr lang="es-ES" sz="1100" i="1">
                      <a:latin typeface="Cambria Math" panose="02040503050406030204" pitchFamily="18" charset="0"/>
                    </a:rPr>
                    <m:t>+</m:t>
                  </m:r>
                  <m:nary>
                    <m:naryPr>
                      <m:chr m:val="∑"/>
                      <m:ctrlPr>
                        <a:rPr lang="es-ES" sz="1100" i="1">
                          <a:latin typeface="Cambria Math" panose="02040503050406030204" pitchFamily="18" charset="0"/>
                        </a:rPr>
                      </m:ctrlPr>
                    </m:naryPr>
                    <m:sub>
                      <m:r>
                        <a:rPr lang="es-ES" sz="1100" b="0" i="1">
                          <a:latin typeface="Cambria Math" panose="02040503050406030204" pitchFamily="18" charset="0"/>
                        </a:rPr>
                        <m:t>𝑖</m:t>
                      </m:r>
                      <m:r>
                        <a:rPr lang="es-ES" sz="1100" i="1">
                          <a:latin typeface="Cambria Math" panose="02040503050406030204" pitchFamily="18" charset="0"/>
                        </a:rPr>
                        <m:t>=</m:t>
                      </m:r>
                      <m:r>
                        <a:rPr lang="es-ES" sz="1100" b="0" i="1">
                          <a:latin typeface="Cambria Math" panose="02040503050406030204" pitchFamily="18" charset="0"/>
                        </a:rPr>
                        <m:t>0</m:t>
                      </m:r>
                    </m:sub>
                    <m:sup>
                      <m:r>
                        <a:rPr lang="es-ES" sz="1100" b="0" i="1">
                          <a:latin typeface="Cambria Math" panose="02040503050406030204" pitchFamily="18" charset="0"/>
                        </a:rPr>
                        <m:t>𝑛</m:t>
                      </m:r>
                    </m:sup>
                    <m:e>
                      <m:d>
                        <m:dPr>
                          <m:ctrlPr>
                            <a:rPr lang="es-ES" sz="1100" i="1">
                              <a:latin typeface="Cambria Math" panose="02040503050406030204" pitchFamily="18" charset="0"/>
                            </a:rPr>
                          </m:ctrlPr>
                        </m:dPr>
                        <m:e>
                          <m:r>
                            <a:rPr lang="es-ES" sz="1100" b="0" i="1">
                              <a:latin typeface="Cambria Math" panose="02040503050406030204" pitchFamily="18" charset="0"/>
                            </a:rPr>
                            <m:t>𝐿𝑙𝑎</m:t>
                          </m:r>
                          <m:d>
                            <m:dPr>
                              <m:ctrlPr>
                                <a:rPr lang="es-ES" sz="1100" b="0" i="1" baseline="-25000">
                                  <a:latin typeface="Cambria Math" panose="02040503050406030204" pitchFamily="18" charset="0"/>
                                </a:rPr>
                              </m:ctrlPr>
                            </m:dPr>
                            <m:e>
                              <m:r>
                                <a:rPr lang="es-ES" sz="1100" b="0" i="1" baseline="-25000">
                                  <a:latin typeface="Cambria Math" panose="02040503050406030204" pitchFamily="18" charset="0"/>
                                </a:rPr>
                                <m:t>𝑖</m:t>
                              </m:r>
                              <m:r>
                                <a:rPr lang="es-ES" sz="1100" b="0" i="1" baseline="-25000">
                                  <a:latin typeface="Cambria Math" panose="02040503050406030204" pitchFamily="18" charset="0"/>
                                </a:rPr>
                                <m:t>+1</m:t>
                              </m:r>
                            </m:e>
                          </m:d>
                          <m:r>
                            <a:rPr lang="es-ES" sz="1100" b="0" i="1">
                              <a:latin typeface="Cambria Math" panose="02040503050406030204" pitchFamily="18" charset="0"/>
                            </a:rPr>
                            <m:t>−</m:t>
                          </m:r>
                          <m:r>
                            <a:rPr lang="es-ES" sz="1100" b="0" i="1">
                              <a:latin typeface="Cambria Math" panose="02040503050406030204" pitchFamily="18" charset="0"/>
                            </a:rPr>
                            <m:t>𝐿𝑙𝑎</m:t>
                          </m:r>
                          <m:r>
                            <a:rPr lang="es-ES" sz="1100" b="0" i="1" baseline="-25000">
                              <a:latin typeface="Cambria Math" panose="02040503050406030204" pitchFamily="18" charset="0"/>
                            </a:rPr>
                            <m:t>(</m:t>
                          </m:r>
                          <m:r>
                            <a:rPr lang="es-ES" sz="1100" b="0" i="1" baseline="-25000">
                              <a:latin typeface="Cambria Math" panose="02040503050406030204" pitchFamily="18" charset="0"/>
                            </a:rPr>
                            <m:t>𝑖</m:t>
                          </m:r>
                          <m:r>
                            <a:rPr lang="es-ES" sz="1100" b="0" i="1" baseline="-25000">
                              <a:latin typeface="Cambria Math" panose="02040503050406030204" pitchFamily="18" charset="0"/>
                            </a:rPr>
                            <m:t>)</m:t>
                          </m:r>
                        </m:e>
                      </m:d>
                    </m:e>
                  </m:nary>
                </m:oMath>
              </a14:m>
              <a:endParaRPr lang="es-ES" sz="1100">
                <a:latin typeface="Arial" panose="020B0604020202020204" pitchFamily="34" charset="0"/>
                <a:cs typeface="Arial" panose="020B0604020202020204" pitchFamily="34" charset="0"/>
              </a:endParaRPr>
            </a:p>
          </xdr:txBody>
        </xdr:sp>
      </mc:Choice>
      <mc:Fallback xmlns="">
        <xdr:sp macro="" textlink="">
          <xdr:nvSpPr>
            <xdr:cNvPr id="77" name="CuadroTexto 8"/>
            <xdr:cNvSpPr txBox="1"/>
          </xdr:nvSpPr>
          <xdr:spPr>
            <a:xfrm>
              <a:off x="40614600" y="22307550"/>
              <a:ext cx="2510378" cy="52381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noAutofit/>
            </a:bodyPr>
            <a:lstStyle/>
            <a:p>
              <a:r>
                <a:rPr lang="el-GR" sz="1100">
                  <a:latin typeface="Arial" panose="020B0604020202020204" pitchFamily="34" charset="0"/>
                  <a:cs typeface="Arial" panose="020B0604020202020204" pitchFamily="34" charset="0"/>
                </a:rPr>
                <a:t>Δ</a:t>
              </a:r>
              <a:r>
                <a:rPr lang="es-ES" sz="1100">
                  <a:latin typeface="Arial" panose="020B0604020202020204" pitchFamily="34" charset="0"/>
                  <a:cs typeface="Arial" panose="020B0604020202020204" pitchFamily="34" charset="0"/>
                </a:rPr>
                <a:t>Lla</a:t>
              </a:r>
              <a:r>
                <a:rPr lang="es-ES" sz="1100" i="0">
                  <a:latin typeface="Cambria Math" panose="02040503050406030204" pitchFamily="18" charset="0"/>
                </a:rPr>
                <a:t>=〖</a:t>
              </a:r>
              <a:r>
                <a:rPr lang="es-ES" sz="1100" b="0" i="0">
                  <a:latin typeface="Cambria Math" panose="02040503050406030204" pitchFamily="18" charset="0"/>
                </a:rPr>
                <a:t>𝐿𝑙𝑎〗_</a:t>
              </a:r>
              <a:r>
                <a:rPr lang="es-ES" sz="1100" i="0">
                  <a:latin typeface="Cambria Math" panose="02040503050406030204" pitchFamily="18" charset="0"/>
                </a:rPr>
                <a:t>0+∑</a:t>
              </a:r>
              <a:r>
                <a:rPr lang="es-ES" sz="1100" b="0" i="0">
                  <a:latin typeface="Cambria Math" panose="02040503050406030204" pitchFamily="18" charset="0"/>
                </a:rPr>
                <a:t>_(𝑖</a:t>
              </a:r>
              <a:r>
                <a:rPr lang="es-ES" sz="1100" i="0">
                  <a:latin typeface="Cambria Math" panose="02040503050406030204" pitchFamily="18" charset="0"/>
                </a:rPr>
                <a:t>=</a:t>
              </a:r>
              <a:r>
                <a:rPr lang="es-ES" sz="1100" b="0" i="0">
                  <a:latin typeface="Cambria Math" panose="02040503050406030204" pitchFamily="18" charset="0"/>
                </a:rPr>
                <a:t>0)^𝑛</a:t>
              </a:r>
              <a:r>
                <a:rPr lang="es-ES" sz="1100" b="0" i="0" baseline="-25000">
                  <a:latin typeface="Cambria Math" panose="02040503050406030204" pitchFamily="18" charset="0"/>
                </a:rPr>
                <a:t>▒(</a:t>
              </a:r>
              <a:r>
                <a:rPr lang="es-ES" sz="1100" b="0" i="0">
                  <a:latin typeface="Cambria Math" panose="02040503050406030204" pitchFamily="18" charset="0"/>
                </a:rPr>
                <a:t>𝐿𝑙𝑎</a:t>
              </a:r>
              <a:r>
                <a:rPr lang="es-ES" sz="1100" b="0" i="0" baseline="-25000">
                  <a:latin typeface="Cambria Math" panose="02040503050406030204" pitchFamily="18" charset="0"/>
                </a:rPr>
                <a:t>(𝑖+1)</a:t>
              </a:r>
              <a:r>
                <a:rPr lang="es-ES" sz="1100" b="0" i="0">
                  <a:latin typeface="Cambria Math" panose="02040503050406030204" pitchFamily="18" charset="0"/>
                </a:rPr>
                <a:t>−𝐿𝑙𝑎</a:t>
              </a:r>
              <a:r>
                <a:rPr lang="es-ES" sz="1100" b="0" i="0" baseline="-25000">
                  <a:latin typeface="Cambria Math" panose="02040503050406030204" pitchFamily="18" charset="0"/>
                </a:rPr>
                <a:t>(𝑖)) </a:t>
              </a:r>
              <a:endParaRPr lang="es-ES" sz="1100">
                <a:latin typeface="Arial" panose="020B0604020202020204" pitchFamily="34" charset="0"/>
                <a:cs typeface="Arial" panose="020B0604020202020204" pitchFamily="34" charset="0"/>
              </a:endParaRPr>
            </a:p>
          </xdr:txBody>
        </xdr:sp>
      </mc:Fallback>
    </mc:AlternateContent>
    <xdr:clientData/>
  </xdr:oneCellAnchor>
  <xdr:oneCellAnchor>
    <xdr:from>
      <xdr:col>42</xdr:col>
      <xdr:colOff>152400</xdr:colOff>
      <xdr:row>210</xdr:row>
      <xdr:rowOff>962025</xdr:rowOff>
    </xdr:from>
    <xdr:ext cx="2510378" cy="523812"/>
    <mc:AlternateContent xmlns:mc="http://schemas.openxmlformats.org/markup-compatibility/2006" xmlns:a14="http://schemas.microsoft.com/office/drawing/2010/main">
      <mc:Choice Requires="a14">
        <xdr:sp macro="" textlink="">
          <xdr:nvSpPr>
            <xdr:cNvPr id="78" name="CuadroTexto 77">
              <a:extLst>
                <a:ext uri="{FF2B5EF4-FFF2-40B4-BE49-F238E27FC236}">
                  <a16:creationId xmlns:a16="http://schemas.microsoft.com/office/drawing/2014/main" id="{00000000-0008-0000-0400-00004E000000}"/>
                </a:ext>
              </a:extLst>
            </xdr:cNvPr>
            <xdr:cNvSpPr txBox="1"/>
          </xdr:nvSpPr>
          <xdr:spPr>
            <a:xfrm>
              <a:off x="40652700" y="18545175"/>
              <a:ext cx="2510378" cy="52381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noAutofit/>
            </a:bodyPr>
            <a:lstStyle/>
            <a:p>
              <a:r>
                <a:rPr lang="el-GR" sz="1100">
                  <a:latin typeface="Arial" panose="020B0604020202020204" pitchFamily="34" charset="0"/>
                  <a:cs typeface="Arial" panose="020B0604020202020204" pitchFamily="34" charset="0"/>
                </a:rPr>
                <a:t>Δ</a:t>
              </a:r>
              <a:r>
                <a:rPr lang="es-ES" sz="1100">
                  <a:latin typeface="Arial" panose="020B0604020202020204" pitchFamily="34" charset="0"/>
                  <a:cs typeface="Arial" panose="020B0604020202020204" pitchFamily="34" charset="0"/>
                </a:rPr>
                <a:t>Por</a:t>
              </a:r>
              <a14:m>
                <m:oMath xmlns:m="http://schemas.openxmlformats.org/officeDocument/2006/math">
                  <m:r>
                    <a:rPr lang="es-ES" sz="1100" i="1">
                      <a:latin typeface="Cambria Math" panose="02040503050406030204" pitchFamily="18" charset="0"/>
                    </a:rPr>
                    <m:t>=</m:t>
                  </m:r>
                  <m:sSub>
                    <m:sSubPr>
                      <m:ctrlPr>
                        <a:rPr lang="es-ES" sz="1100" i="1">
                          <a:latin typeface="Cambria Math" panose="02040503050406030204" pitchFamily="18" charset="0"/>
                        </a:rPr>
                      </m:ctrlPr>
                    </m:sSubPr>
                    <m:e>
                      <m:r>
                        <a:rPr lang="es-ES" sz="1100" b="0" i="1">
                          <a:latin typeface="Cambria Math" panose="02040503050406030204" pitchFamily="18" charset="0"/>
                        </a:rPr>
                        <m:t>𝑃𝑜𝑟</m:t>
                      </m:r>
                    </m:e>
                    <m:sub>
                      <m:r>
                        <a:rPr lang="es-ES" sz="1100" i="1">
                          <a:latin typeface="Cambria Math" panose="02040503050406030204" pitchFamily="18" charset="0"/>
                        </a:rPr>
                        <m:t>0</m:t>
                      </m:r>
                    </m:sub>
                  </m:sSub>
                  <m:r>
                    <a:rPr lang="es-ES" sz="1100" i="1">
                      <a:latin typeface="Cambria Math" panose="02040503050406030204" pitchFamily="18" charset="0"/>
                    </a:rPr>
                    <m:t>+</m:t>
                  </m:r>
                  <m:nary>
                    <m:naryPr>
                      <m:chr m:val="∑"/>
                      <m:ctrlPr>
                        <a:rPr lang="es-ES" sz="1100" i="1">
                          <a:latin typeface="Cambria Math" panose="02040503050406030204" pitchFamily="18" charset="0"/>
                        </a:rPr>
                      </m:ctrlPr>
                    </m:naryPr>
                    <m:sub>
                      <m:r>
                        <a:rPr lang="es-ES" sz="1100" b="0" i="1">
                          <a:latin typeface="Cambria Math" panose="02040503050406030204" pitchFamily="18" charset="0"/>
                        </a:rPr>
                        <m:t>𝑖</m:t>
                      </m:r>
                      <m:r>
                        <a:rPr lang="es-ES" sz="1100" i="1">
                          <a:latin typeface="Cambria Math" panose="02040503050406030204" pitchFamily="18" charset="0"/>
                        </a:rPr>
                        <m:t>=</m:t>
                      </m:r>
                      <m:r>
                        <a:rPr lang="es-ES" sz="1100" b="0" i="1">
                          <a:latin typeface="Cambria Math" panose="02040503050406030204" pitchFamily="18" charset="0"/>
                        </a:rPr>
                        <m:t>0</m:t>
                      </m:r>
                    </m:sub>
                    <m:sup>
                      <m:r>
                        <a:rPr lang="es-ES" sz="1100" b="0" i="1">
                          <a:latin typeface="Cambria Math" panose="02040503050406030204" pitchFamily="18" charset="0"/>
                        </a:rPr>
                        <m:t>𝑛</m:t>
                      </m:r>
                    </m:sup>
                    <m:e>
                      <m:d>
                        <m:dPr>
                          <m:ctrlPr>
                            <a:rPr lang="es-ES" sz="1100" i="1">
                              <a:latin typeface="Cambria Math" panose="02040503050406030204" pitchFamily="18" charset="0"/>
                            </a:rPr>
                          </m:ctrlPr>
                        </m:dPr>
                        <m:e>
                          <m:r>
                            <a:rPr lang="es-ES" sz="1100" b="0" i="1">
                              <a:latin typeface="Cambria Math" panose="02040503050406030204" pitchFamily="18" charset="0"/>
                            </a:rPr>
                            <m:t>𝑃𝑜𝑟</m:t>
                          </m:r>
                          <m:d>
                            <m:dPr>
                              <m:ctrlPr>
                                <a:rPr lang="es-ES" sz="1100" b="0" i="1" baseline="-25000">
                                  <a:latin typeface="Cambria Math" panose="02040503050406030204" pitchFamily="18" charset="0"/>
                                </a:rPr>
                              </m:ctrlPr>
                            </m:dPr>
                            <m:e>
                              <m:r>
                                <a:rPr lang="es-ES" sz="1100" b="0" i="1" baseline="-25000">
                                  <a:latin typeface="Cambria Math" panose="02040503050406030204" pitchFamily="18" charset="0"/>
                                </a:rPr>
                                <m:t>𝑖</m:t>
                              </m:r>
                              <m:r>
                                <a:rPr lang="es-ES" sz="1100" b="0" i="1" baseline="-25000">
                                  <a:latin typeface="Cambria Math" panose="02040503050406030204" pitchFamily="18" charset="0"/>
                                </a:rPr>
                                <m:t>+1</m:t>
                              </m:r>
                            </m:e>
                          </m:d>
                          <m:r>
                            <a:rPr lang="es-ES" sz="1100" b="0" i="1">
                              <a:latin typeface="Cambria Math" panose="02040503050406030204" pitchFamily="18" charset="0"/>
                            </a:rPr>
                            <m:t>−</m:t>
                          </m:r>
                          <m:r>
                            <a:rPr lang="es-ES" sz="1100" b="0" i="1">
                              <a:latin typeface="Cambria Math" panose="02040503050406030204" pitchFamily="18" charset="0"/>
                            </a:rPr>
                            <m:t>𝑃𝑜𝑟</m:t>
                          </m:r>
                          <m:r>
                            <a:rPr lang="es-ES" sz="1100" b="0" i="1" baseline="-25000">
                              <a:latin typeface="Cambria Math" panose="02040503050406030204" pitchFamily="18" charset="0"/>
                            </a:rPr>
                            <m:t>(</m:t>
                          </m:r>
                          <m:r>
                            <a:rPr lang="es-ES" sz="1100" b="0" i="1" baseline="-25000">
                              <a:latin typeface="Cambria Math" panose="02040503050406030204" pitchFamily="18" charset="0"/>
                            </a:rPr>
                            <m:t>𝑖</m:t>
                          </m:r>
                          <m:r>
                            <a:rPr lang="es-ES" sz="1100" b="0" i="1" baseline="-25000">
                              <a:latin typeface="Cambria Math" panose="02040503050406030204" pitchFamily="18" charset="0"/>
                            </a:rPr>
                            <m:t>)</m:t>
                          </m:r>
                        </m:e>
                      </m:d>
                    </m:e>
                  </m:nary>
                </m:oMath>
              </a14:m>
              <a:endParaRPr lang="es-ES" sz="1100">
                <a:latin typeface="Arial" panose="020B0604020202020204" pitchFamily="34" charset="0"/>
                <a:cs typeface="Arial" panose="020B0604020202020204" pitchFamily="34" charset="0"/>
              </a:endParaRPr>
            </a:p>
          </xdr:txBody>
        </xdr:sp>
      </mc:Choice>
      <mc:Fallback xmlns="">
        <xdr:sp macro="" textlink="">
          <xdr:nvSpPr>
            <xdr:cNvPr id="78" name="CuadroTexto 77"/>
            <xdr:cNvSpPr txBox="1"/>
          </xdr:nvSpPr>
          <xdr:spPr>
            <a:xfrm>
              <a:off x="40652700" y="18545175"/>
              <a:ext cx="2510378" cy="52381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noAutofit/>
            </a:bodyPr>
            <a:lstStyle/>
            <a:p>
              <a:r>
                <a:rPr lang="el-GR" sz="1100">
                  <a:latin typeface="Arial" panose="020B0604020202020204" pitchFamily="34" charset="0"/>
                  <a:cs typeface="Arial" panose="020B0604020202020204" pitchFamily="34" charset="0"/>
                </a:rPr>
                <a:t>Δ</a:t>
              </a:r>
              <a:r>
                <a:rPr lang="es-ES" sz="1100">
                  <a:latin typeface="Arial" panose="020B0604020202020204" pitchFamily="34" charset="0"/>
                  <a:cs typeface="Arial" panose="020B0604020202020204" pitchFamily="34" charset="0"/>
                </a:rPr>
                <a:t>Por</a:t>
              </a:r>
              <a:r>
                <a:rPr lang="es-ES" sz="1100" i="0">
                  <a:latin typeface="Cambria Math" panose="02040503050406030204" pitchFamily="18" charset="0"/>
                </a:rPr>
                <a:t>=〖</a:t>
              </a:r>
              <a:r>
                <a:rPr lang="es-ES" sz="1100" b="0" i="0">
                  <a:latin typeface="Cambria Math" panose="02040503050406030204" pitchFamily="18" charset="0"/>
                </a:rPr>
                <a:t>𝑃𝑜𝑟〗_</a:t>
              </a:r>
              <a:r>
                <a:rPr lang="es-ES" sz="1100" i="0">
                  <a:latin typeface="Cambria Math" panose="02040503050406030204" pitchFamily="18" charset="0"/>
                </a:rPr>
                <a:t>0+∑</a:t>
              </a:r>
              <a:r>
                <a:rPr lang="es-ES" sz="1100" b="0" i="0">
                  <a:latin typeface="Cambria Math" panose="02040503050406030204" pitchFamily="18" charset="0"/>
                </a:rPr>
                <a:t>_(𝑖</a:t>
              </a:r>
              <a:r>
                <a:rPr lang="es-ES" sz="1100" i="0">
                  <a:latin typeface="Cambria Math" panose="02040503050406030204" pitchFamily="18" charset="0"/>
                </a:rPr>
                <a:t>=</a:t>
              </a:r>
              <a:r>
                <a:rPr lang="es-ES" sz="1100" b="0" i="0">
                  <a:latin typeface="Cambria Math" panose="02040503050406030204" pitchFamily="18" charset="0"/>
                </a:rPr>
                <a:t>0)^𝑛</a:t>
              </a:r>
              <a:r>
                <a:rPr lang="es-ES" sz="1100" b="0" i="0" baseline="-25000">
                  <a:latin typeface="Cambria Math" panose="02040503050406030204" pitchFamily="18" charset="0"/>
                </a:rPr>
                <a:t>▒(</a:t>
              </a:r>
              <a:r>
                <a:rPr lang="es-ES" sz="1100" b="0" i="0">
                  <a:latin typeface="Cambria Math" panose="02040503050406030204" pitchFamily="18" charset="0"/>
                </a:rPr>
                <a:t>𝑃𝑜𝑟</a:t>
              </a:r>
              <a:r>
                <a:rPr lang="es-ES" sz="1100" b="0" i="0" baseline="-25000">
                  <a:latin typeface="Cambria Math" panose="02040503050406030204" pitchFamily="18" charset="0"/>
                </a:rPr>
                <a:t>(𝑖+1)</a:t>
              </a:r>
              <a:r>
                <a:rPr lang="es-ES" sz="1100" b="0" i="0">
                  <a:latin typeface="Cambria Math" panose="02040503050406030204" pitchFamily="18" charset="0"/>
                </a:rPr>
                <a:t>−𝑃𝑜𝑟</a:t>
              </a:r>
              <a:r>
                <a:rPr lang="es-ES" sz="1100" b="0" i="0" baseline="-25000">
                  <a:latin typeface="Cambria Math" panose="02040503050406030204" pitchFamily="18" charset="0"/>
                </a:rPr>
                <a:t>(𝑖)) </a:t>
              </a:r>
              <a:endParaRPr lang="es-ES" sz="1100">
                <a:latin typeface="Arial" panose="020B0604020202020204" pitchFamily="34" charset="0"/>
                <a:cs typeface="Arial" panose="020B0604020202020204" pitchFamily="34" charset="0"/>
              </a:endParaRPr>
            </a:p>
          </xdr:txBody>
        </xdr:sp>
      </mc:Fallback>
    </mc:AlternateContent>
    <xdr:clientData/>
  </xdr:oneCellAnchor>
  <xdr:oneCellAnchor>
    <xdr:from>
      <xdr:col>41</xdr:col>
      <xdr:colOff>2136321</xdr:colOff>
      <xdr:row>228</xdr:row>
      <xdr:rowOff>1632857</xdr:rowOff>
    </xdr:from>
    <xdr:ext cx="3156858" cy="433517"/>
    <mc:AlternateContent xmlns:mc="http://schemas.openxmlformats.org/markup-compatibility/2006" xmlns:a14="http://schemas.microsoft.com/office/drawing/2010/main">
      <mc:Choice Requires="a14">
        <xdr:sp macro="" textlink="">
          <xdr:nvSpPr>
            <xdr:cNvPr id="79" name="11 CuadroTexto">
              <a:extLst>
                <a:ext uri="{FF2B5EF4-FFF2-40B4-BE49-F238E27FC236}">
                  <a16:creationId xmlns:a16="http://schemas.microsoft.com/office/drawing/2014/main" id="{00000000-0008-0000-0400-00004F000000}"/>
                </a:ext>
              </a:extLst>
            </xdr:cNvPr>
            <xdr:cNvSpPr txBox="1"/>
          </xdr:nvSpPr>
          <xdr:spPr>
            <a:xfrm>
              <a:off x="40322046" y="66640982"/>
              <a:ext cx="3156858" cy="43351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s-ES" sz="1400"/>
                <a:t>%Muj</a:t>
              </a:r>
              <a14:m>
                <m:oMath xmlns:m="http://schemas.openxmlformats.org/officeDocument/2006/math">
                  <m:r>
                    <a:rPr lang="es-ES" sz="1400" i="1">
                      <a:latin typeface="Cambria Math"/>
                    </a:rPr>
                    <m:t>=Ʃ</m:t>
                  </m:r>
                  <m:f>
                    <m:fPr>
                      <m:ctrlPr>
                        <a:rPr lang="es-ES" sz="1400" i="1">
                          <a:latin typeface="Cambria Math" panose="02040503050406030204" pitchFamily="18" charset="0"/>
                        </a:rPr>
                      </m:ctrlPr>
                    </m:fPr>
                    <m:num>
                      <m:r>
                        <a:rPr lang="es-ES" sz="1400" i="1">
                          <a:latin typeface="Cambria Math"/>
                        </a:rPr>
                        <m:t>  </m:t>
                      </m:r>
                      <m:r>
                        <a:rPr lang="es-ES" sz="1400" i="1">
                          <a:latin typeface="Cambria Math"/>
                        </a:rPr>
                        <m:t>𝑁𝑟𝑜</m:t>
                      </m:r>
                      <m:r>
                        <a:rPr lang="es-ES" sz="1400" i="1">
                          <a:latin typeface="Cambria Math"/>
                        </a:rPr>
                        <m:t> </m:t>
                      </m:r>
                      <m:r>
                        <a:rPr lang="es-ES" sz="1400" i="1">
                          <a:latin typeface="Cambria Math"/>
                        </a:rPr>
                        <m:t>𝑀𝑈𝐽𝑛</m:t>
                      </m:r>
                    </m:num>
                    <m:den>
                      <m:r>
                        <a:rPr lang="es-ES" sz="1400" i="1">
                          <a:latin typeface="Cambria Math"/>
                        </a:rPr>
                        <m:t>         </m:t>
                      </m:r>
                      <m:r>
                        <a:rPr lang="es-ES" sz="1400" i="1">
                          <a:latin typeface="Cambria Math"/>
                        </a:rPr>
                        <m:t>𝑁𝑟𝑜</m:t>
                      </m:r>
                      <m:r>
                        <a:rPr lang="es-ES" sz="1400" i="1">
                          <a:latin typeface="Cambria Math"/>
                        </a:rPr>
                        <m:t> (</m:t>
                      </m:r>
                      <m:r>
                        <a:rPr lang="es-ES" sz="1400" i="1">
                          <a:latin typeface="Cambria Math"/>
                        </a:rPr>
                        <m:t>𝐻𝑜𝑚</m:t>
                      </m:r>
                      <m:r>
                        <a:rPr lang="es-ES" sz="1400" i="1">
                          <a:latin typeface="Cambria Math"/>
                        </a:rPr>
                        <m:t>+</m:t>
                      </m:r>
                      <m:r>
                        <a:rPr lang="es-ES" sz="1400" i="1">
                          <a:latin typeface="Cambria Math"/>
                        </a:rPr>
                        <m:t>𝑀𝑢𝑗</m:t>
                      </m:r>
                      <m:r>
                        <a:rPr lang="es-ES" sz="1400" i="1">
                          <a:latin typeface="Cambria Math"/>
                        </a:rPr>
                        <m:t>+</m:t>
                      </m:r>
                      <m:r>
                        <a:rPr lang="es-ES" sz="1400" i="1">
                          <a:latin typeface="Cambria Math"/>
                        </a:rPr>
                        <m:t>𝐽𝑢𝑟</m:t>
                      </m:r>
                      <m:r>
                        <a:rPr lang="es-ES" sz="1400" i="1">
                          <a:latin typeface="Cambria Math"/>
                        </a:rPr>
                        <m:t>)</m:t>
                      </m:r>
                      <m:r>
                        <a:rPr lang="es-ES" sz="1400" i="1">
                          <a:latin typeface="Cambria Math"/>
                        </a:rPr>
                        <m:t>𝑛</m:t>
                      </m:r>
                    </m:den>
                  </m:f>
                </m:oMath>
              </a14:m>
              <a:r>
                <a:rPr lang="es-ES" sz="1400"/>
                <a:t> x 100</a:t>
              </a:r>
            </a:p>
          </xdr:txBody>
        </xdr:sp>
      </mc:Choice>
      <mc:Fallback xmlns="">
        <xdr:sp macro="" textlink="">
          <xdr:nvSpPr>
            <xdr:cNvPr id="79" name="11 CuadroTexto"/>
            <xdr:cNvSpPr txBox="1"/>
          </xdr:nvSpPr>
          <xdr:spPr>
            <a:xfrm>
              <a:off x="40322046" y="66640982"/>
              <a:ext cx="3156858" cy="43351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s-ES" sz="1400"/>
                <a:t>%Muj</a:t>
              </a:r>
              <a:r>
                <a:rPr lang="es-ES" sz="1400" i="0">
                  <a:latin typeface="Cambria Math"/>
                </a:rPr>
                <a:t>=Ʃ </a:t>
              </a:r>
              <a:r>
                <a:rPr lang="es-ES" sz="1400" i="0">
                  <a:latin typeface="Cambria Math" panose="02040503050406030204" pitchFamily="18" charset="0"/>
                </a:rPr>
                <a:t>(</a:t>
              </a:r>
              <a:r>
                <a:rPr lang="es-ES" sz="1400" i="0">
                  <a:latin typeface="Cambria Math"/>
                </a:rPr>
                <a:t>  𝑁𝑟𝑜 𝑀𝑈𝐽𝑛</a:t>
              </a:r>
              <a:r>
                <a:rPr lang="es-ES" sz="1400" i="0">
                  <a:latin typeface="Cambria Math" panose="02040503050406030204" pitchFamily="18" charset="0"/>
                </a:rPr>
                <a:t>)/(</a:t>
              </a:r>
              <a:r>
                <a:rPr lang="es-ES" sz="1400" i="0">
                  <a:latin typeface="Cambria Math"/>
                </a:rPr>
                <a:t>         𝑁𝑟𝑜 (𝐻𝑜𝑚+𝑀𝑢𝑗+𝐽𝑢𝑟)𝑛</a:t>
              </a:r>
              <a:r>
                <a:rPr lang="es-ES" sz="1400" i="0">
                  <a:latin typeface="Cambria Math" panose="02040503050406030204" pitchFamily="18" charset="0"/>
                </a:rPr>
                <a:t>)</a:t>
              </a:r>
              <a:r>
                <a:rPr lang="es-ES" sz="1400"/>
                <a:t> x 100</a:t>
              </a:r>
            </a:p>
          </xdr:txBody>
        </xdr:sp>
      </mc:Fallback>
    </mc:AlternateContent>
    <xdr:clientData/>
  </xdr:oneCellAnchor>
  <xdr:oneCellAnchor>
    <xdr:from>
      <xdr:col>42</xdr:col>
      <xdr:colOff>188382</xdr:colOff>
      <xdr:row>266</xdr:row>
      <xdr:rowOff>220133</xdr:rowOff>
    </xdr:from>
    <xdr:ext cx="2171701" cy="1104405"/>
    <mc:AlternateContent xmlns:mc="http://schemas.openxmlformats.org/markup-compatibility/2006" xmlns:a14="http://schemas.microsoft.com/office/drawing/2010/main">
      <mc:Choice Requires="a14">
        <xdr:sp macro="" textlink="">
          <xdr:nvSpPr>
            <xdr:cNvPr id="80" name="CuadroTexto 79">
              <a:extLst>
                <a:ext uri="{FF2B5EF4-FFF2-40B4-BE49-F238E27FC236}">
                  <a16:creationId xmlns:a16="http://schemas.microsoft.com/office/drawing/2014/main" id="{00000000-0008-0000-0400-000050000000}"/>
                </a:ext>
              </a:extLst>
            </xdr:cNvPr>
            <xdr:cNvSpPr txBox="1"/>
          </xdr:nvSpPr>
          <xdr:spPr>
            <a:xfrm>
              <a:off x="40688682" y="85506983"/>
              <a:ext cx="2171701" cy="110440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spAutoFit/>
            </a:bodyPr>
            <a:lstStyle/>
            <a:p>
              <a:pPr/>
              <a14:m>
                <m:oMathPara xmlns:m="http://schemas.openxmlformats.org/officeDocument/2006/math">
                  <m:oMathParaPr>
                    <m:jc m:val="centerGroup"/>
                  </m:oMathParaPr>
                  <m:oMath xmlns:m="http://schemas.openxmlformats.org/officeDocument/2006/math">
                    <m:sSub>
                      <m:sSubPr>
                        <m:ctrlPr>
                          <a:rPr lang="es-ES" sz="1100" i="1">
                            <a:solidFill>
                              <a:schemeClr val="tx2"/>
                            </a:solidFill>
                            <a:latin typeface="Cambria Math" panose="02040503050406030204" pitchFamily="18" charset="0"/>
                          </a:rPr>
                        </m:ctrlPr>
                      </m:sSubPr>
                      <m:e>
                        <m:r>
                          <a:rPr lang="en-US" sz="1100" b="0" i="1">
                            <a:solidFill>
                              <a:schemeClr val="tx2"/>
                            </a:solidFill>
                            <a:latin typeface="Cambria Math" panose="02040503050406030204" pitchFamily="18" charset="0"/>
                          </a:rPr>
                          <m:t>𝐶𝐴</m:t>
                        </m:r>
                      </m:e>
                      <m:sub>
                        <m:r>
                          <a:rPr lang="en-US" sz="1100" b="0" i="1">
                            <a:solidFill>
                              <a:schemeClr val="tx2"/>
                            </a:solidFill>
                            <a:latin typeface="Cambria Math" panose="02040503050406030204" pitchFamily="18" charset="0"/>
                          </a:rPr>
                          <m:t>𝑡</m:t>
                        </m:r>
                      </m:sub>
                    </m:sSub>
                    <m:r>
                      <a:rPr lang="en-US" sz="1100" b="0" i="1">
                        <a:solidFill>
                          <a:schemeClr val="tx2"/>
                        </a:solidFill>
                        <a:latin typeface="Cambria Math" panose="02040503050406030204" pitchFamily="18" charset="0"/>
                      </a:rPr>
                      <m:t>=</m:t>
                    </m:r>
                    <m:nary>
                      <m:naryPr>
                        <m:chr m:val="∑"/>
                        <m:supHide m:val="on"/>
                        <m:ctrlPr>
                          <a:rPr lang="en-US" sz="1100" b="0" i="1">
                            <a:solidFill>
                              <a:schemeClr val="tx2"/>
                            </a:solidFill>
                            <a:latin typeface="Cambria Math" panose="02040503050406030204" pitchFamily="18" charset="0"/>
                          </a:rPr>
                        </m:ctrlPr>
                      </m:naryPr>
                      <m:sub>
                        <m:r>
                          <m:rPr>
                            <m:brk m:alnAt="7"/>
                          </m:rPr>
                          <a:rPr lang="en-US" sz="1100" b="0" i="1">
                            <a:solidFill>
                              <a:schemeClr val="tx2"/>
                            </a:solidFill>
                            <a:latin typeface="Cambria Math" panose="02040503050406030204" pitchFamily="18" charset="0"/>
                          </a:rPr>
                          <m:t>𝑐</m:t>
                        </m:r>
                      </m:sub>
                      <m:sup/>
                      <m:e>
                        <m:sSub>
                          <m:sSubPr>
                            <m:ctrlPr>
                              <a:rPr lang="en-US" sz="1100" b="0" i="1">
                                <a:solidFill>
                                  <a:schemeClr val="tx2"/>
                                </a:solidFill>
                                <a:latin typeface="Cambria Math" panose="02040503050406030204" pitchFamily="18" charset="0"/>
                              </a:rPr>
                            </m:ctrlPr>
                          </m:sSubPr>
                          <m:e>
                            <m:r>
                              <a:rPr lang="en-US" sz="1100" b="0" i="1">
                                <a:solidFill>
                                  <a:schemeClr val="tx2"/>
                                </a:solidFill>
                                <a:latin typeface="Cambria Math" panose="02040503050406030204" pitchFamily="18" charset="0"/>
                              </a:rPr>
                              <m:t>𝐶𝐴</m:t>
                            </m:r>
                          </m:e>
                          <m:sub>
                            <m:r>
                              <a:rPr lang="en-US" sz="1100" b="0" i="1">
                                <a:solidFill>
                                  <a:schemeClr val="tx2"/>
                                </a:solidFill>
                                <a:latin typeface="Cambria Math" panose="02040503050406030204" pitchFamily="18" charset="0"/>
                              </a:rPr>
                              <m:t>𝑐</m:t>
                            </m:r>
                            <m:r>
                              <a:rPr lang="en-US" sz="1100" b="0" i="1">
                                <a:solidFill>
                                  <a:schemeClr val="tx2"/>
                                </a:solidFill>
                                <a:latin typeface="Cambria Math" panose="02040503050406030204" pitchFamily="18" charset="0"/>
                              </a:rPr>
                              <m:t>,</m:t>
                            </m:r>
                            <m:r>
                              <a:rPr lang="en-US" sz="1100" b="0" i="1">
                                <a:solidFill>
                                  <a:schemeClr val="tx2"/>
                                </a:solidFill>
                                <a:latin typeface="Cambria Math" panose="02040503050406030204" pitchFamily="18" charset="0"/>
                              </a:rPr>
                              <m:t>𝑡</m:t>
                            </m:r>
                          </m:sub>
                        </m:sSub>
                      </m:e>
                    </m:nary>
                  </m:oMath>
                </m:oMathPara>
              </a14:m>
              <a:endParaRPr lang="es-ES" sz="1100">
                <a:solidFill>
                  <a:schemeClr val="tx2"/>
                </a:solidFill>
              </a:endParaRPr>
            </a:p>
            <a:p>
              <a:r>
                <a:rPr lang="es-ES" sz="1100">
                  <a:solidFill>
                    <a:schemeClr val="tx2"/>
                  </a:solidFill>
                </a:rPr>
                <a:t>Donde:</a:t>
              </a:r>
            </a:p>
            <a:p>
              <a14:m>
                <m:oMath xmlns:m="http://schemas.openxmlformats.org/officeDocument/2006/math">
                  <m:sSub>
                    <m:sSubPr>
                      <m:ctrlPr>
                        <a:rPr lang="es-ES" sz="1100" i="1">
                          <a:solidFill>
                            <a:schemeClr val="tx2"/>
                          </a:solidFill>
                          <a:effectLst/>
                          <a:latin typeface="Cambria Math" panose="02040503050406030204" pitchFamily="18" charset="0"/>
                          <a:ea typeface="+mn-ea"/>
                          <a:cs typeface="+mn-cs"/>
                        </a:rPr>
                      </m:ctrlPr>
                    </m:sSubPr>
                    <m:e>
                      <m:r>
                        <a:rPr lang="en-US" sz="1100" b="0" i="1">
                          <a:solidFill>
                            <a:schemeClr val="tx2"/>
                          </a:solidFill>
                          <a:effectLst/>
                          <a:latin typeface="Cambria Math"/>
                          <a:ea typeface="+mn-ea"/>
                          <a:cs typeface="+mn-cs"/>
                        </a:rPr>
                        <m:t>𝐶𝐴</m:t>
                      </m:r>
                    </m:e>
                    <m:sub>
                      <m:r>
                        <a:rPr lang="en-US" sz="1100" b="0" i="1">
                          <a:solidFill>
                            <a:schemeClr val="tx2"/>
                          </a:solidFill>
                          <a:effectLst/>
                          <a:latin typeface="Cambria Math" panose="02040503050406030204" pitchFamily="18" charset="0"/>
                          <a:ea typeface="+mn-ea"/>
                          <a:cs typeface="+mn-cs"/>
                        </a:rPr>
                        <m:t>𝑐</m:t>
                      </m:r>
                      <m:r>
                        <a:rPr lang="en-US" sz="1100" b="0" i="1">
                          <a:solidFill>
                            <a:schemeClr val="tx2"/>
                          </a:solidFill>
                          <a:effectLst/>
                          <a:latin typeface="Cambria Math" panose="02040503050406030204" pitchFamily="18" charset="0"/>
                          <a:ea typeface="+mn-ea"/>
                          <a:cs typeface="+mn-cs"/>
                        </a:rPr>
                        <m:t>,</m:t>
                      </m:r>
                      <m:r>
                        <a:rPr lang="en-US" sz="1100" b="0" i="1">
                          <a:solidFill>
                            <a:schemeClr val="tx2"/>
                          </a:solidFill>
                          <a:effectLst/>
                          <a:latin typeface="Cambria Math" panose="02040503050406030204" pitchFamily="18" charset="0"/>
                          <a:ea typeface="+mn-ea"/>
                          <a:cs typeface="+mn-cs"/>
                        </a:rPr>
                        <m:t>𝑡</m:t>
                      </m:r>
                    </m:sub>
                  </m:sSub>
                </m:oMath>
              </a14:m>
              <a:r>
                <a:rPr lang="es-ES" sz="1100">
                  <a:solidFill>
                    <a:schemeClr val="tx2"/>
                  </a:solidFill>
                </a:rPr>
                <a:t> : Capacidad de almacenamiento en  Toneladas por centro de almacenamiento</a:t>
              </a:r>
              <a:r>
                <a:rPr lang="es-ES" sz="1100" baseline="0">
                  <a:solidFill>
                    <a:schemeClr val="tx2"/>
                  </a:solidFill>
                </a:rPr>
                <a:t> </a:t>
              </a:r>
              <a:r>
                <a:rPr lang="es-ES" sz="1100" i="1" baseline="0">
                  <a:solidFill>
                    <a:schemeClr val="tx2"/>
                  </a:solidFill>
                </a:rPr>
                <a:t>c</a:t>
              </a:r>
              <a:endParaRPr lang="es-ES" sz="1100" i="1">
                <a:solidFill>
                  <a:schemeClr val="tx2"/>
                </a:solidFill>
              </a:endParaRPr>
            </a:p>
          </xdr:txBody>
        </xdr:sp>
      </mc:Choice>
      <mc:Fallback xmlns="">
        <xdr:sp macro="" textlink="">
          <xdr:nvSpPr>
            <xdr:cNvPr id="80" name="CuadroTexto 79">
              <a:extLst>
                <a:ext uri="{FF2B5EF4-FFF2-40B4-BE49-F238E27FC236}">
                  <a16:creationId xmlns="" xmlns:a16="http://schemas.microsoft.com/office/drawing/2014/main" xmlns:a14="http://schemas.microsoft.com/office/drawing/2010/main" id="{F68F3C93-4741-45D4-8137-D24BE3A08652}"/>
                </a:ext>
              </a:extLst>
            </xdr:cNvPr>
            <xdr:cNvSpPr txBox="1"/>
          </xdr:nvSpPr>
          <xdr:spPr>
            <a:xfrm>
              <a:off x="40688682" y="85506983"/>
              <a:ext cx="2171701" cy="110440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spAutoFit/>
            </a:bodyPr>
            <a:lstStyle/>
            <a:p>
              <a:pPr/>
              <a:r>
                <a:rPr lang="es-ES" sz="1100" i="0">
                  <a:solidFill>
                    <a:schemeClr val="tx2"/>
                  </a:solidFill>
                  <a:latin typeface="Cambria Math" panose="02040503050406030204" pitchFamily="18" charset="0"/>
                </a:rPr>
                <a:t>〖</a:t>
              </a:r>
              <a:r>
                <a:rPr lang="en-US" sz="1100" b="0" i="0">
                  <a:solidFill>
                    <a:schemeClr val="tx2"/>
                  </a:solidFill>
                  <a:latin typeface="Cambria Math" panose="02040503050406030204" pitchFamily="18" charset="0"/>
                </a:rPr>
                <a:t>𝐶𝐴</a:t>
              </a:r>
              <a:r>
                <a:rPr lang="es-ES" sz="1100" b="0" i="0">
                  <a:solidFill>
                    <a:schemeClr val="tx2"/>
                  </a:solidFill>
                  <a:latin typeface="Cambria Math" panose="02040503050406030204" pitchFamily="18" charset="0"/>
                </a:rPr>
                <a:t>〗_</a:t>
              </a:r>
              <a:r>
                <a:rPr lang="en-US" sz="1100" b="0" i="0">
                  <a:solidFill>
                    <a:schemeClr val="tx2"/>
                  </a:solidFill>
                  <a:latin typeface="Cambria Math" panose="02040503050406030204" pitchFamily="18" charset="0"/>
                </a:rPr>
                <a:t>𝑡=∑_𝑐▒〖𝐶𝐴〗_(𝑐,𝑡) </a:t>
              </a:r>
              <a:endParaRPr lang="es-ES" sz="1100">
                <a:solidFill>
                  <a:schemeClr val="tx2"/>
                </a:solidFill>
              </a:endParaRPr>
            </a:p>
            <a:p>
              <a:r>
                <a:rPr lang="es-ES" sz="1100">
                  <a:solidFill>
                    <a:schemeClr val="tx2"/>
                  </a:solidFill>
                </a:rPr>
                <a:t>Donde:</a:t>
              </a:r>
            </a:p>
            <a:p>
              <a:r>
                <a:rPr lang="es-ES" sz="1100" i="0">
                  <a:solidFill>
                    <a:schemeClr val="tx2"/>
                  </a:solidFill>
                  <a:effectLst/>
                  <a:latin typeface="Cambria Math" panose="02040503050406030204" pitchFamily="18" charset="0"/>
                  <a:ea typeface="+mn-ea"/>
                  <a:cs typeface="+mn-cs"/>
                </a:rPr>
                <a:t>〖</a:t>
              </a:r>
              <a:r>
                <a:rPr lang="en-US" sz="1100" b="0" i="0">
                  <a:solidFill>
                    <a:schemeClr val="tx2"/>
                  </a:solidFill>
                  <a:effectLst/>
                  <a:latin typeface="Cambria Math"/>
                  <a:ea typeface="+mn-ea"/>
                  <a:cs typeface="+mn-cs"/>
                </a:rPr>
                <a:t>𝐶𝐴</a:t>
              </a:r>
              <a:r>
                <a:rPr lang="es-ES" sz="1100" b="0" i="0">
                  <a:solidFill>
                    <a:schemeClr val="tx2"/>
                  </a:solidFill>
                  <a:effectLst/>
                  <a:latin typeface="Cambria Math" panose="02040503050406030204" pitchFamily="18" charset="0"/>
                  <a:ea typeface="+mn-ea"/>
                  <a:cs typeface="+mn-cs"/>
                </a:rPr>
                <a:t>〗_(</a:t>
              </a:r>
              <a:r>
                <a:rPr lang="en-US" sz="1100" b="0" i="0">
                  <a:solidFill>
                    <a:schemeClr val="tx2"/>
                  </a:solidFill>
                  <a:effectLst/>
                  <a:latin typeface="Cambria Math" panose="02040503050406030204" pitchFamily="18" charset="0"/>
                  <a:ea typeface="+mn-ea"/>
                  <a:cs typeface="+mn-cs"/>
                </a:rPr>
                <a:t>𝑐,𝑡</a:t>
              </a:r>
              <a:r>
                <a:rPr lang="es-ES" sz="1100" b="0" i="0">
                  <a:solidFill>
                    <a:schemeClr val="tx2"/>
                  </a:solidFill>
                  <a:effectLst/>
                  <a:latin typeface="Cambria Math" panose="02040503050406030204" pitchFamily="18" charset="0"/>
                  <a:ea typeface="+mn-ea"/>
                  <a:cs typeface="+mn-cs"/>
                </a:rPr>
                <a:t>)</a:t>
              </a:r>
              <a:r>
                <a:rPr lang="es-ES" sz="1100">
                  <a:solidFill>
                    <a:schemeClr val="tx2"/>
                  </a:solidFill>
                </a:rPr>
                <a:t> : Capacidad de almacenamiento en  Toneladas por centro de almacenamiento</a:t>
              </a:r>
              <a:r>
                <a:rPr lang="es-ES" sz="1100" baseline="0">
                  <a:solidFill>
                    <a:schemeClr val="tx2"/>
                  </a:solidFill>
                </a:rPr>
                <a:t> </a:t>
              </a:r>
              <a:r>
                <a:rPr lang="es-ES" sz="1100" i="1" baseline="0">
                  <a:solidFill>
                    <a:schemeClr val="tx2"/>
                  </a:solidFill>
                </a:rPr>
                <a:t>c</a:t>
              </a:r>
              <a:endParaRPr lang="es-ES" sz="1100" i="1">
                <a:solidFill>
                  <a:schemeClr val="tx2"/>
                </a:solidFill>
              </a:endParaRPr>
            </a:p>
          </xdr:txBody>
        </xdr:sp>
      </mc:Fallback>
    </mc:AlternateContent>
    <xdr:clientData/>
  </xdr:oneCellAnchor>
  <xdr:oneCellAnchor>
    <xdr:from>
      <xdr:col>42</xdr:col>
      <xdr:colOff>257175</xdr:colOff>
      <xdr:row>272</xdr:row>
      <xdr:rowOff>101601</xdr:rowOff>
    </xdr:from>
    <xdr:ext cx="1885949" cy="450850"/>
    <mc:AlternateContent xmlns:mc="http://schemas.openxmlformats.org/markup-compatibility/2006" xmlns:a14="http://schemas.microsoft.com/office/drawing/2010/main">
      <mc:Choice Requires="a14">
        <xdr:sp macro="" textlink="">
          <xdr:nvSpPr>
            <xdr:cNvPr id="81" name="CuadroTexto 80">
              <a:extLst>
                <a:ext uri="{FF2B5EF4-FFF2-40B4-BE49-F238E27FC236}">
                  <a16:creationId xmlns:a16="http://schemas.microsoft.com/office/drawing/2014/main" id="{00000000-0008-0000-0400-000051000000}"/>
                </a:ext>
              </a:extLst>
            </xdr:cNvPr>
            <xdr:cNvSpPr txBox="1"/>
          </xdr:nvSpPr>
          <xdr:spPr>
            <a:xfrm>
              <a:off x="45110400" y="1787526"/>
              <a:ext cx="1885949" cy="45085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noAutofit/>
            </a:bodyPr>
            <a:lstStyle/>
            <a:p>
              <a14:m>
                <m:oMath xmlns:m="http://schemas.openxmlformats.org/officeDocument/2006/math">
                  <m:r>
                    <a:rPr lang="es-ES" sz="1400" b="0" i="1">
                      <a:latin typeface="Cambria Math" panose="02040503050406030204" pitchFamily="18" charset="0"/>
                    </a:rPr>
                    <m:t>𝑅𝐷𝐼𝐴</m:t>
                  </m:r>
                  <m:r>
                    <a:rPr lang="es-ES" sz="1400" b="0" i="1">
                      <a:latin typeface="Cambria Math" panose="02040503050406030204" pitchFamily="18" charset="0"/>
                    </a:rPr>
                    <m:t>=(</m:t>
                  </m:r>
                  <m:f>
                    <m:fPr>
                      <m:ctrlPr>
                        <a:rPr lang="es-ES" sz="1400" b="0" i="1">
                          <a:latin typeface="Cambria Math" panose="02040503050406030204" pitchFamily="18" charset="0"/>
                        </a:rPr>
                      </m:ctrlPr>
                    </m:fPr>
                    <m:num>
                      <m:r>
                        <a:rPr lang="es-ES" sz="1400" b="0" i="1">
                          <a:latin typeface="Cambria Math" panose="02040503050406030204" pitchFamily="18" charset="0"/>
                        </a:rPr>
                        <m:t>𝐻𝐷𝐼</m:t>
                      </m:r>
                    </m:num>
                    <m:den>
                      <m:r>
                        <a:rPr lang="es-ES" sz="1400" b="0" i="1">
                          <a:latin typeface="Cambria Math" panose="02040503050406030204" pitchFamily="18" charset="0"/>
                        </a:rPr>
                        <m:t>𝐻𝐷𝐿</m:t>
                      </m:r>
                      <m:r>
                        <a:rPr lang="es-ES" sz="1400" b="0" i="1">
                          <a:latin typeface="Cambria Math" panose="02040503050406030204" pitchFamily="18" charset="0"/>
                        </a:rPr>
                        <m:t>+</m:t>
                      </m:r>
                      <m:r>
                        <a:rPr lang="es-ES" sz="1400" b="0" i="1">
                          <a:latin typeface="Cambria Math" panose="02040503050406030204" pitchFamily="18" charset="0"/>
                        </a:rPr>
                        <m:t>𝐻𝐷𝐼</m:t>
                      </m:r>
                    </m:den>
                  </m:f>
                </m:oMath>
              </a14:m>
              <a:r>
                <a:rPr lang="es-ES" sz="1400" b="0">
                  <a:latin typeface="Arial Narrow" panose="020B0606020202030204" pitchFamily="34" charset="0"/>
                </a:rPr>
                <a:t> </a:t>
              </a:r>
              <a:r>
                <a:rPr lang="es-ES" sz="1400" b="1">
                  <a:latin typeface="Arial Narrow" panose="020B0606020202030204" pitchFamily="34" charset="0"/>
                </a:rPr>
                <a:t>)</a:t>
              </a:r>
              <a:r>
                <a:rPr lang="es-ES" sz="1400" b="0">
                  <a:latin typeface="Arial Narrow" panose="020B0606020202030204" pitchFamily="34" charset="0"/>
                </a:rPr>
                <a:t> </a:t>
              </a:r>
              <a:r>
                <a:rPr lang="es-ES" sz="1400">
                  <a:latin typeface="Arial Narrow" panose="020B0606020202030204" pitchFamily="34" charset="0"/>
                </a:rPr>
                <a:t>x</a:t>
              </a:r>
              <a:r>
                <a:rPr lang="es-ES" sz="1400" baseline="0">
                  <a:latin typeface="Arial Narrow" panose="020B0606020202030204" pitchFamily="34" charset="0"/>
                </a:rPr>
                <a:t> 100</a:t>
              </a:r>
              <a:endParaRPr lang="es-ES" sz="1400">
                <a:latin typeface="Arial Narrow" panose="020B0606020202030204" pitchFamily="34" charset="0"/>
              </a:endParaRPr>
            </a:p>
          </xdr:txBody>
        </xdr:sp>
      </mc:Choice>
      <mc:Fallback xmlns="">
        <xdr:sp macro="" textlink="">
          <xdr:nvSpPr>
            <xdr:cNvPr id="81" name="CuadroTexto 80"/>
            <xdr:cNvSpPr txBox="1"/>
          </xdr:nvSpPr>
          <xdr:spPr>
            <a:xfrm>
              <a:off x="45110400" y="1787526"/>
              <a:ext cx="1885949" cy="45085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noAutofit/>
            </a:bodyPr>
            <a:lstStyle/>
            <a:p>
              <a:r>
                <a:rPr lang="es-ES" sz="1400" b="0" i="0">
                  <a:latin typeface="Cambria Math" panose="02040503050406030204" pitchFamily="18" charset="0"/>
                </a:rPr>
                <a:t>𝑅𝐷𝐼𝐴=(𝐻𝐷𝐼/(𝐻𝐷𝐿+𝐻𝐷𝐼)</a:t>
              </a:r>
              <a:r>
                <a:rPr lang="es-ES" sz="1400" b="0">
                  <a:latin typeface="Arial Narrow" panose="020B0606020202030204" pitchFamily="34" charset="0"/>
                </a:rPr>
                <a:t> </a:t>
              </a:r>
              <a:r>
                <a:rPr lang="es-ES" sz="1400" b="1">
                  <a:latin typeface="Arial Narrow" panose="020B0606020202030204" pitchFamily="34" charset="0"/>
                </a:rPr>
                <a:t>)</a:t>
              </a:r>
              <a:r>
                <a:rPr lang="es-ES" sz="1400" b="0">
                  <a:latin typeface="Arial Narrow" panose="020B0606020202030204" pitchFamily="34" charset="0"/>
                </a:rPr>
                <a:t> </a:t>
              </a:r>
              <a:r>
                <a:rPr lang="es-ES" sz="1400">
                  <a:latin typeface="Arial Narrow" panose="020B0606020202030204" pitchFamily="34" charset="0"/>
                </a:rPr>
                <a:t>x</a:t>
              </a:r>
              <a:r>
                <a:rPr lang="es-ES" sz="1400" baseline="0">
                  <a:latin typeface="Arial Narrow" panose="020B0606020202030204" pitchFamily="34" charset="0"/>
                </a:rPr>
                <a:t> 100</a:t>
              </a:r>
              <a:endParaRPr lang="es-ES" sz="1400">
                <a:latin typeface="Arial Narrow" panose="020B0606020202030204" pitchFamily="34" charset="0"/>
              </a:endParaRPr>
            </a:p>
          </xdr:txBody>
        </xdr:sp>
      </mc:Fallback>
    </mc:AlternateContent>
    <xdr:clientData/>
  </xdr:oneCellAnchor>
  <xdr:oneCellAnchor>
    <xdr:from>
      <xdr:col>42</xdr:col>
      <xdr:colOff>161924</xdr:colOff>
      <xdr:row>160</xdr:row>
      <xdr:rowOff>840581</xdr:rowOff>
    </xdr:from>
    <xdr:ext cx="65" cy="172227"/>
    <xdr:sp macro="" textlink="">
      <xdr:nvSpPr>
        <xdr:cNvPr id="82" name="CuadroTexto 81">
          <a:extLst>
            <a:ext uri="{FF2B5EF4-FFF2-40B4-BE49-F238E27FC236}">
              <a16:creationId xmlns:a16="http://schemas.microsoft.com/office/drawing/2014/main" id="{00000000-0008-0000-0400-000052000000}"/>
            </a:ext>
          </a:extLst>
        </xdr:cNvPr>
        <xdr:cNvSpPr txBox="1"/>
      </xdr:nvSpPr>
      <xdr:spPr>
        <a:xfrm>
          <a:off x="31403924" y="15918656"/>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s-BO" sz="1100"/>
        </a:p>
      </xdr:txBody>
    </xdr:sp>
    <xdr:clientData/>
  </xdr:oneCellAnchor>
  <xdr:oneCellAnchor>
    <xdr:from>
      <xdr:col>42</xdr:col>
      <xdr:colOff>161924</xdr:colOff>
      <xdr:row>163</xdr:row>
      <xdr:rowOff>840581</xdr:rowOff>
    </xdr:from>
    <xdr:ext cx="65" cy="172227"/>
    <xdr:sp macro="" textlink="">
      <xdr:nvSpPr>
        <xdr:cNvPr id="83" name="CuadroTexto 82">
          <a:extLst>
            <a:ext uri="{FF2B5EF4-FFF2-40B4-BE49-F238E27FC236}">
              <a16:creationId xmlns:a16="http://schemas.microsoft.com/office/drawing/2014/main" id="{00000000-0008-0000-0400-000053000000}"/>
            </a:ext>
          </a:extLst>
        </xdr:cNvPr>
        <xdr:cNvSpPr txBox="1"/>
      </xdr:nvSpPr>
      <xdr:spPr>
        <a:xfrm>
          <a:off x="31403924" y="31520606"/>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s-BO" sz="1100"/>
        </a:p>
      </xdr:txBody>
    </xdr:sp>
    <xdr:clientData/>
  </xdr:oneCellAnchor>
  <xdr:oneCellAnchor>
    <xdr:from>
      <xdr:col>42</xdr:col>
      <xdr:colOff>288925</xdr:colOff>
      <xdr:row>160</xdr:row>
      <xdr:rowOff>1074737</xdr:rowOff>
    </xdr:from>
    <xdr:ext cx="2967479" cy="266740"/>
    <mc:AlternateContent xmlns:mc="http://schemas.openxmlformats.org/markup-compatibility/2006" xmlns:a14="http://schemas.microsoft.com/office/drawing/2010/main">
      <mc:Choice Requires="a14">
        <xdr:sp macro="" textlink="">
          <xdr:nvSpPr>
            <xdr:cNvPr id="84" name="CuadroTexto 83">
              <a:extLst>
                <a:ext uri="{FF2B5EF4-FFF2-40B4-BE49-F238E27FC236}">
                  <a16:creationId xmlns:a16="http://schemas.microsoft.com/office/drawing/2014/main" id="{00000000-0008-0000-0400-000054000000}"/>
                </a:ext>
              </a:extLst>
            </xdr:cNvPr>
            <xdr:cNvSpPr txBox="1"/>
          </xdr:nvSpPr>
          <xdr:spPr>
            <a:xfrm>
              <a:off x="31530925" y="16152812"/>
              <a:ext cx="2967479" cy="26674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14:m>
                <m:oMath xmlns:m="http://schemas.openxmlformats.org/officeDocument/2006/math">
                  <m:r>
                    <a:rPr lang="es-BO" sz="1200" i="1">
                      <a:solidFill>
                        <a:schemeClr val="tx1"/>
                      </a:solidFill>
                      <a:effectLst/>
                      <a:latin typeface="Cambria Math" panose="02040503050406030204" pitchFamily="18" charset="0"/>
                      <a:ea typeface="+mn-ea"/>
                      <a:cs typeface="+mn-cs"/>
                    </a:rPr>
                    <m:t>𝑁𝑖𝑣</m:t>
                  </m:r>
                  <m:r>
                    <a:rPr lang="es-BO" sz="1200" i="1">
                      <a:solidFill>
                        <a:schemeClr val="tx1"/>
                      </a:solidFill>
                      <a:effectLst/>
                      <a:latin typeface="Cambria Math" panose="02040503050406030204" pitchFamily="18" charset="0"/>
                      <a:ea typeface="+mn-ea"/>
                      <a:cs typeface="+mn-cs"/>
                    </a:rPr>
                    <m:t>. </m:t>
                  </m:r>
                  <m:r>
                    <a:rPr lang="es-BO" sz="1200" i="1">
                      <a:solidFill>
                        <a:schemeClr val="tx1"/>
                      </a:solidFill>
                      <a:effectLst/>
                      <a:latin typeface="Cambria Math" panose="02040503050406030204" pitchFamily="18" charset="0"/>
                      <a:ea typeface="+mn-ea"/>
                      <a:cs typeface="+mn-cs"/>
                    </a:rPr>
                    <m:t>𝐶𝑎𝑟𝑡𝑒𝑟</m:t>
                  </m:r>
                  <m:sSub>
                    <m:sSubPr>
                      <m:ctrlPr>
                        <a:rPr lang="es-BO" sz="1200" i="1">
                          <a:solidFill>
                            <a:schemeClr val="tx1"/>
                          </a:solidFill>
                          <a:effectLst/>
                          <a:latin typeface="Cambria Math" panose="02040503050406030204" pitchFamily="18" charset="0"/>
                          <a:ea typeface="+mn-ea"/>
                          <a:cs typeface="+mn-cs"/>
                        </a:rPr>
                      </m:ctrlPr>
                    </m:sSubPr>
                    <m:e>
                      <m:r>
                        <a:rPr lang="es-BO" sz="1200" i="1">
                          <a:solidFill>
                            <a:schemeClr val="tx1"/>
                          </a:solidFill>
                          <a:effectLst/>
                          <a:latin typeface="Cambria Math" panose="02040503050406030204" pitchFamily="18" charset="0"/>
                          <a:ea typeface="+mn-ea"/>
                          <a:cs typeface="+mn-cs"/>
                        </a:rPr>
                        <m:t>𝑎</m:t>
                      </m:r>
                    </m:e>
                    <m:sub>
                      <m:r>
                        <a:rPr lang="es-BO" sz="1200" i="1">
                          <a:solidFill>
                            <a:schemeClr val="tx1"/>
                          </a:solidFill>
                          <a:effectLst/>
                          <a:latin typeface="Cambria Math" panose="02040503050406030204" pitchFamily="18" charset="0"/>
                          <a:ea typeface="+mn-ea"/>
                          <a:cs typeface="+mn-cs"/>
                        </a:rPr>
                        <m:t>𝐵𝑎𝑛𝑐𝑜</m:t>
                      </m:r>
                      <m:r>
                        <a:rPr lang="es-BO" sz="1200" i="1">
                          <a:solidFill>
                            <a:schemeClr val="tx1"/>
                          </a:solidFill>
                          <a:effectLst/>
                          <a:latin typeface="Cambria Math" panose="02040503050406030204" pitchFamily="18" charset="0"/>
                          <a:ea typeface="+mn-ea"/>
                          <a:cs typeface="+mn-cs"/>
                        </a:rPr>
                        <m:t> </m:t>
                      </m:r>
                      <m:r>
                        <a:rPr lang="es-BO" sz="1200" i="1">
                          <a:solidFill>
                            <a:schemeClr val="tx1"/>
                          </a:solidFill>
                          <a:effectLst/>
                          <a:latin typeface="Cambria Math" panose="02040503050406030204" pitchFamily="18" charset="0"/>
                          <a:ea typeface="+mn-ea"/>
                          <a:cs typeface="+mn-cs"/>
                        </a:rPr>
                        <m:t>𝑀</m:t>
                      </m:r>
                      <m:r>
                        <a:rPr lang="es-BO" sz="1200" i="1">
                          <a:solidFill>
                            <a:schemeClr val="tx1"/>
                          </a:solidFill>
                          <a:effectLst/>
                          <a:latin typeface="Cambria Math" panose="02040503050406030204" pitchFamily="18" charset="0"/>
                          <a:ea typeface="+mn-ea"/>
                          <a:cs typeface="+mn-cs"/>
                        </a:rPr>
                        <m:t>ú</m:t>
                      </m:r>
                      <m:r>
                        <a:rPr lang="es-BO" sz="1200" i="1">
                          <a:solidFill>
                            <a:schemeClr val="tx1"/>
                          </a:solidFill>
                          <a:effectLst/>
                          <a:latin typeface="Cambria Math" panose="02040503050406030204" pitchFamily="18" charset="0"/>
                          <a:ea typeface="+mn-ea"/>
                          <a:cs typeface="+mn-cs"/>
                        </a:rPr>
                        <m:t>𝑙𝑡𝑖𝑝𝑙𝑒</m:t>
                      </m:r>
                    </m:sub>
                  </m:sSub>
                </m:oMath>
              </a14:m>
              <a:r>
                <a:rPr lang="es-BO" sz="1200"/>
                <a:t>=</a:t>
              </a:r>
              <a14:m>
                <m:oMath xmlns:m="http://schemas.openxmlformats.org/officeDocument/2006/math">
                  <m:f>
                    <m:fPr>
                      <m:ctrlPr>
                        <a:rPr lang="es-BO" sz="1200" i="1">
                          <a:latin typeface="Cambria Math" panose="02040503050406030204" pitchFamily="18" charset="0"/>
                        </a:rPr>
                      </m:ctrlPr>
                    </m:fPr>
                    <m:num>
                      <m:r>
                        <a:rPr lang="es-BO" sz="1200" b="0" i="1">
                          <a:latin typeface="Cambria Math" panose="02040503050406030204" pitchFamily="18" charset="0"/>
                        </a:rPr>
                        <m:t>𝐶</m:t>
                      </m:r>
                      <m:r>
                        <a:rPr lang="es-BO" sz="1200" i="1">
                          <a:solidFill>
                            <a:schemeClr val="tx1"/>
                          </a:solidFill>
                          <a:effectLst/>
                          <a:latin typeface="Cambria Math" panose="02040503050406030204" pitchFamily="18" charset="0"/>
                          <a:ea typeface="+mn-ea"/>
                          <a:cs typeface="+mn-cs"/>
                        </a:rPr>
                        <m:t>𝑎𝑟𝑡𝑒𝑟𝑎</m:t>
                      </m:r>
                      <m:r>
                        <a:rPr lang="es-BO" sz="1200" i="1">
                          <a:solidFill>
                            <a:schemeClr val="tx1"/>
                          </a:solidFill>
                          <a:effectLst/>
                          <a:latin typeface="Cambria Math" panose="02040503050406030204" pitchFamily="18" charset="0"/>
                          <a:ea typeface="+mn-ea"/>
                          <a:cs typeface="+mn-cs"/>
                        </a:rPr>
                        <m:t> </m:t>
                      </m:r>
                      <m:r>
                        <a:rPr lang="es-BO" sz="1200" i="1">
                          <a:solidFill>
                            <a:schemeClr val="tx1"/>
                          </a:solidFill>
                          <a:effectLst/>
                          <a:latin typeface="Cambria Math" panose="02040503050406030204" pitchFamily="18" charset="0"/>
                          <a:ea typeface="+mn-ea"/>
                          <a:cs typeface="+mn-cs"/>
                        </a:rPr>
                        <m:t>𝑆𝑃</m:t>
                      </m:r>
                      <m:r>
                        <a:rPr lang="es-BO" sz="1200" i="1">
                          <a:solidFill>
                            <a:schemeClr val="tx1"/>
                          </a:solidFill>
                          <a:effectLst/>
                          <a:latin typeface="Cambria Math" panose="02040503050406030204" pitchFamily="18" charset="0"/>
                          <a:ea typeface="+mn-ea"/>
                          <a:cs typeface="+mn-cs"/>
                        </a:rPr>
                        <m:t>+</m:t>
                      </m:r>
                      <m:r>
                        <a:rPr lang="es-BO" sz="1200" i="1">
                          <a:solidFill>
                            <a:schemeClr val="tx1"/>
                          </a:solidFill>
                          <a:effectLst/>
                          <a:latin typeface="Cambria Math" panose="02040503050406030204" pitchFamily="18" charset="0"/>
                          <a:ea typeface="+mn-ea"/>
                          <a:cs typeface="+mn-cs"/>
                        </a:rPr>
                        <m:t>𝐶𝑎𝑟𝑡𝑒𝑟𝑎</m:t>
                      </m:r>
                      <m:r>
                        <a:rPr lang="es-BO" sz="1200" i="1">
                          <a:solidFill>
                            <a:schemeClr val="tx1"/>
                          </a:solidFill>
                          <a:effectLst/>
                          <a:latin typeface="Cambria Math" panose="02040503050406030204" pitchFamily="18" charset="0"/>
                          <a:ea typeface="+mn-ea"/>
                          <a:cs typeface="+mn-cs"/>
                        </a:rPr>
                        <m:t> </m:t>
                      </m:r>
                      <m:r>
                        <a:rPr lang="es-BO" sz="1200" i="1">
                          <a:solidFill>
                            <a:schemeClr val="tx1"/>
                          </a:solidFill>
                          <a:effectLst/>
                          <a:latin typeface="Cambria Math" panose="02040503050406030204" pitchFamily="18" charset="0"/>
                          <a:ea typeface="+mn-ea"/>
                          <a:cs typeface="+mn-cs"/>
                        </a:rPr>
                        <m:t>𝑉𝐼𝑆</m:t>
                      </m:r>
                    </m:num>
                    <m:den>
                      <m:r>
                        <a:rPr lang="es-BO" sz="1200" i="1">
                          <a:solidFill>
                            <a:schemeClr val="tx1"/>
                          </a:solidFill>
                          <a:effectLst/>
                          <a:latin typeface="Cambria Math" panose="02040503050406030204" pitchFamily="18" charset="0"/>
                          <a:ea typeface="+mn-ea"/>
                          <a:cs typeface="+mn-cs"/>
                        </a:rPr>
                        <m:t>𝐶𝑎𝑟𝑡𝑒𝑟𝑎</m:t>
                      </m:r>
                      <m:r>
                        <a:rPr lang="es-BO" sz="1200" i="1">
                          <a:solidFill>
                            <a:schemeClr val="tx1"/>
                          </a:solidFill>
                          <a:effectLst/>
                          <a:latin typeface="Cambria Math" panose="02040503050406030204" pitchFamily="18" charset="0"/>
                          <a:ea typeface="+mn-ea"/>
                          <a:cs typeface="+mn-cs"/>
                        </a:rPr>
                        <m:t> </m:t>
                      </m:r>
                      <m:r>
                        <a:rPr lang="es-BO" sz="1200" i="1">
                          <a:solidFill>
                            <a:schemeClr val="tx1"/>
                          </a:solidFill>
                          <a:effectLst/>
                          <a:latin typeface="Cambria Math" panose="02040503050406030204" pitchFamily="18" charset="0"/>
                          <a:ea typeface="+mn-ea"/>
                          <a:cs typeface="+mn-cs"/>
                        </a:rPr>
                        <m:t>𝑡𝑜𝑡𝑎𝑙</m:t>
                      </m:r>
                    </m:den>
                  </m:f>
                </m:oMath>
              </a14:m>
              <a:endParaRPr lang="es-BO" sz="1200"/>
            </a:p>
          </xdr:txBody>
        </xdr:sp>
      </mc:Choice>
      <mc:Fallback xmlns="">
        <xdr:sp macro="" textlink="">
          <xdr:nvSpPr>
            <xdr:cNvPr id="84" name="CuadroTexto 83">
              <a:extLst>
                <a:ext uri="{FF2B5EF4-FFF2-40B4-BE49-F238E27FC236}">
                  <a16:creationId xmlns:a16="http://schemas.microsoft.com/office/drawing/2014/main" xmlns="" xmlns:a14="http://schemas.microsoft.com/office/drawing/2010/main" id="{00000000-0008-0000-0100-000004000000}"/>
                </a:ext>
              </a:extLst>
            </xdr:cNvPr>
            <xdr:cNvSpPr txBox="1"/>
          </xdr:nvSpPr>
          <xdr:spPr>
            <a:xfrm>
              <a:off x="31530925" y="16152812"/>
              <a:ext cx="2967479" cy="26674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r>
                <a:rPr lang="es-BO" sz="1200" i="0">
                  <a:solidFill>
                    <a:schemeClr val="tx1"/>
                  </a:solidFill>
                  <a:effectLst/>
                  <a:latin typeface="Cambria Math" panose="02040503050406030204" pitchFamily="18" charset="0"/>
                  <a:ea typeface="+mn-ea"/>
                  <a:cs typeface="+mn-cs"/>
                </a:rPr>
                <a:t>𝑁𝑖𝑣. 𝐶𝑎𝑟𝑡𝑒𝑟𝑎_(𝐵𝑎𝑛𝑐𝑜 𝑀ú𝑙𝑡𝑖𝑝𝑙𝑒)</a:t>
              </a:r>
              <a:r>
                <a:rPr lang="es-BO" sz="1200"/>
                <a:t>=</a:t>
              </a:r>
              <a:r>
                <a:rPr lang="es-BO" sz="1200" i="0">
                  <a:latin typeface="Cambria Math" panose="02040503050406030204" pitchFamily="18" charset="0"/>
                </a:rPr>
                <a:t>(</a:t>
              </a:r>
              <a:r>
                <a:rPr lang="es-BO" sz="1200" b="0" i="0">
                  <a:latin typeface="Cambria Math" panose="02040503050406030204" pitchFamily="18" charset="0"/>
                </a:rPr>
                <a:t>𝐶</a:t>
              </a:r>
              <a:r>
                <a:rPr lang="es-BO" sz="1200" i="0">
                  <a:solidFill>
                    <a:schemeClr val="tx1"/>
                  </a:solidFill>
                  <a:effectLst/>
                  <a:latin typeface="Cambria Math" panose="02040503050406030204" pitchFamily="18" charset="0"/>
                  <a:ea typeface="+mn-ea"/>
                  <a:cs typeface="+mn-cs"/>
                </a:rPr>
                <a:t>𝑎𝑟𝑡𝑒𝑟𝑎 𝑆𝑃+𝐶𝑎𝑟𝑡𝑒𝑟𝑎 𝑉𝐼𝑆)/(𝐶𝑎𝑟𝑡𝑒𝑟𝑎 𝑡𝑜𝑡𝑎𝑙)</a:t>
              </a:r>
              <a:endParaRPr lang="es-BO" sz="1200"/>
            </a:p>
          </xdr:txBody>
        </xdr:sp>
      </mc:Fallback>
    </mc:AlternateContent>
    <xdr:clientData/>
  </xdr:oneCellAnchor>
  <xdr:oneCellAnchor>
    <xdr:from>
      <xdr:col>41</xdr:col>
      <xdr:colOff>5045075</xdr:colOff>
      <xdr:row>160</xdr:row>
      <xdr:rowOff>2151857</xdr:rowOff>
    </xdr:from>
    <xdr:ext cx="3856832" cy="325667"/>
    <mc:AlternateContent xmlns:mc="http://schemas.openxmlformats.org/markup-compatibility/2006" xmlns:a14="http://schemas.microsoft.com/office/drawing/2010/main">
      <mc:Choice Requires="a14">
        <xdr:sp macro="" textlink="">
          <xdr:nvSpPr>
            <xdr:cNvPr id="85" name="CuadroTexto 84">
              <a:extLst>
                <a:ext uri="{FF2B5EF4-FFF2-40B4-BE49-F238E27FC236}">
                  <a16:creationId xmlns:a16="http://schemas.microsoft.com/office/drawing/2014/main" id="{00000000-0008-0000-0400-000055000000}"/>
                </a:ext>
              </a:extLst>
            </xdr:cNvPr>
            <xdr:cNvSpPr txBox="1"/>
          </xdr:nvSpPr>
          <xdr:spPr>
            <a:xfrm>
              <a:off x="31238825" y="17229932"/>
              <a:ext cx="3856832" cy="32566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spAutoFit/>
            </a:bodyPr>
            <a:lstStyle/>
            <a:p>
              <a:pPr/>
              <a14:m>
                <m:oMathPara xmlns:m="http://schemas.openxmlformats.org/officeDocument/2006/math">
                  <m:oMathParaPr>
                    <m:jc m:val="centerGroup"/>
                  </m:oMathParaPr>
                  <m:oMath xmlns:m="http://schemas.openxmlformats.org/officeDocument/2006/math">
                    <m:r>
                      <a:rPr lang="es-BO" sz="950" b="0" i="1">
                        <a:solidFill>
                          <a:schemeClr val="tx1"/>
                        </a:solidFill>
                        <a:effectLst/>
                        <a:latin typeface="Cambria Math" panose="02040503050406030204" pitchFamily="18" charset="0"/>
                        <a:ea typeface="+mn-ea"/>
                        <a:cs typeface="+mn-cs"/>
                      </a:rPr>
                      <m:t>𝐼𝑛</m:t>
                    </m:r>
                    <m:r>
                      <a:rPr lang="es-BO" sz="950" i="1">
                        <a:solidFill>
                          <a:schemeClr val="tx1"/>
                        </a:solidFill>
                        <a:effectLst/>
                        <a:latin typeface="Cambria Math" panose="02040503050406030204" pitchFamily="18" charset="0"/>
                        <a:ea typeface="+mn-ea"/>
                        <a:cs typeface="+mn-cs"/>
                      </a:rPr>
                      <m:t>𝑑𝑖𝑐𝑎𝑑𝑜</m:t>
                    </m:r>
                    <m:sSub>
                      <m:sSubPr>
                        <m:ctrlPr>
                          <a:rPr lang="es-BO" sz="950" i="1">
                            <a:solidFill>
                              <a:schemeClr val="tx1"/>
                            </a:solidFill>
                            <a:effectLst/>
                            <a:latin typeface="Cambria Math" panose="02040503050406030204" pitchFamily="18" charset="0"/>
                            <a:ea typeface="+mn-ea"/>
                            <a:cs typeface="+mn-cs"/>
                          </a:rPr>
                        </m:ctrlPr>
                      </m:sSubPr>
                      <m:e>
                        <m:r>
                          <a:rPr lang="es-BO" sz="950" i="1">
                            <a:solidFill>
                              <a:schemeClr val="tx1"/>
                            </a:solidFill>
                            <a:effectLst/>
                            <a:latin typeface="Cambria Math" panose="02040503050406030204" pitchFamily="18" charset="0"/>
                            <a:ea typeface="+mn-ea"/>
                            <a:cs typeface="+mn-cs"/>
                          </a:rPr>
                          <m:t>𝑟</m:t>
                        </m:r>
                      </m:e>
                      <m:sub>
                        <m:r>
                          <a:rPr lang="es-BO" sz="950" i="1">
                            <a:solidFill>
                              <a:schemeClr val="tx1"/>
                            </a:solidFill>
                            <a:effectLst/>
                            <a:latin typeface="Cambria Math" panose="02040503050406030204" pitchFamily="18" charset="0"/>
                            <a:ea typeface="+mn-ea"/>
                            <a:cs typeface="+mn-cs"/>
                          </a:rPr>
                          <m:t>𝐵𝑎𝑛𝑐𝑜</m:t>
                        </m:r>
                        <m:r>
                          <a:rPr lang="es-BO" sz="950" i="1">
                            <a:solidFill>
                              <a:schemeClr val="tx1"/>
                            </a:solidFill>
                            <a:effectLst/>
                            <a:latin typeface="Cambria Math" panose="02040503050406030204" pitchFamily="18" charset="0"/>
                            <a:ea typeface="+mn-ea"/>
                            <a:cs typeface="+mn-cs"/>
                          </a:rPr>
                          <m:t> </m:t>
                        </m:r>
                        <m:r>
                          <a:rPr lang="es-BO" sz="950" i="1">
                            <a:solidFill>
                              <a:schemeClr val="tx1"/>
                            </a:solidFill>
                            <a:effectLst/>
                            <a:latin typeface="Cambria Math" panose="02040503050406030204" pitchFamily="18" charset="0"/>
                            <a:ea typeface="+mn-ea"/>
                            <a:cs typeface="+mn-cs"/>
                          </a:rPr>
                          <m:t>𝑀</m:t>
                        </m:r>
                        <m:r>
                          <a:rPr lang="es-BO" sz="950" i="1">
                            <a:solidFill>
                              <a:schemeClr val="tx1"/>
                            </a:solidFill>
                            <a:effectLst/>
                            <a:latin typeface="Cambria Math" panose="02040503050406030204" pitchFamily="18" charset="0"/>
                            <a:ea typeface="+mn-ea"/>
                            <a:cs typeface="+mn-cs"/>
                          </a:rPr>
                          <m:t>ú</m:t>
                        </m:r>
                        <m:r>
                          <a:rPr lang="es-BO" sz="950" i="1">
                            <a:solidFill>
                              <a:schemeClr val="tx1"/>
                            </a:solidFill>
                            <a:effectLst/>
                            <a:latin typeface="Cambria Math" panose="02040503050406030204" pitchFamily="18" charset="0"/>
                            <a:ea typeface="+mn-ea"/>
                            <a:cs typeface="+mn-cs"/>
                          </a:rPr>
                          <m:t>𝑙𝑡𝑖𝑝𝑙𝑒</m:t>
                        </m:r>
                      </m:sub>
                    </m:sSub>
                    <m:r>
                      <a:rPr lang="es-BO" sz="950" i="1">
                        <a:solidFill>
                          <a:schemeClr val="tx1"/>
                        </a:solidFill>
                        <a:effectLst/>
                        <a:latin typeface="Cambria Math" panose="02040503050406030204" pitchFamily="18" charset="0"/>
                        <a:ea typeface="+mn-ea"/>
                        <a:cs typeface="+mn-cs"/>
                      </a:rPr>
                      <m:t>=</m:t>
                    </m:r>
                    <m:f>
                      <m:fPr>
                        <m:ctrlPr>
                          <a:rPr lang="es-BO" sz="950" i="1">
                            <a:solidFill>
                              <a:schemeClr val="tx1"/>
                            </a:solidFill>
                            <a:effectLst/>
                            <a:latin typeface="Cambria Math" panose="02040503050406030204" pitchFamily="18" charset="0"/>
                            <a:ea typeface="+mn-ea"/>
                            <a:cs typeface="+mn-cs"/>
                          </a:rPr>
                        </m:ctrlPr>
                      </m:fPr>
                      <m:num>
                        <m:r>
                          <a:rPr lang="es-BO" sz="950" i="1">
                            <a:solidFill>
                              <a:schemeClr val="tx1"/>
                            </a:solidFill>
                            <a:effectLst/>
                            <a:latin typeface="Cambria Math" panose="02040503050406030204" pitchFamily="18" charset="0"/>
                            <a:ea typeface="+mn-ea"/>
                            <a:cs typeface="+mn-cs"/>
                          </a:rPr>
                          <m:t>𝑁𝑖𝑣</m:t>
                        </m:r>
                        <m:r>
                          <a:rPr lang="es-BO" sz="950" i="1">
                            <a:solidFill>
                              <a:schemeClr val="tx1"/>
                            </a:solidFill>
                            <a:effectLst/>
                            <a:latin typeface="Cambria Math" panose="02040503050406030204" pitchFamily="18" charset="0"/>
                            <a:ea typeface="+mn-ea"/>
                            <a:cs typeface="+mn-cs"/>
                          </a:rPr>
                          <m:t>. </m:t>
                        </m:r>
                        <m:r>
                          <a:rPr lang="es-BO" sz="950" i="1">
                            <a:solidFill>
                              <a:schemeClr val="tx1"/>
                            </a:solidFill>
                            <a:effectLst/>
                            <a:latin typeface="Cambria Math" panose="02040503050406030204" pitchFamily="18" charset="0"/>
                            <a:ea typeface="+mn-ea"/>
                            <a:cs typeface="+mn-cs"/>
                          </a:rPr>
                          <m:t>𝐶𝑎𝑟𝑡𝑒𝑟</m:t>
                        </m:r>
                        <m:sSub>
                          <m:sSubPr>
                            <m:ctrlPr>
                              <a:rPr lang="es-BO" sz="950" i="1">
                                <a:solidFill>
                                  <a:schemeClr val="tx1"/>
                                </a:solidFill>
                                <a:effectLst/>
                                <a:latin typeface="Cambria Math" panose="02040503050406030204" pitchFamily="18" charset="0"/>
                                <a:ea typeface="+mn-ea"/>
                                <a:cs typeface="+mn-cs"/>
                              </a:rPr>
                            </m:ctrlPr>
                          </m:sSubPr>
                          <m:e>
                            <m:r>
                              <a:rPr lang="es-BO" sz="950" i="1">
                                <a:solidFill>
                                  <a:schemeClr val="tx1"/>
                                </a:solidFill>
                                <a:effectLst/>
                                <a:latin typeface="Cambria Math" panose="02040503050406030204" pitchFamily="18" charset="0"/>
                                <a:ea typeface="+mn-ea"/>
                                <a:cs typeface="+mn-cs"/>
                              </a:rPr>
                              <m:t>𝑎</m:t>
                            </m:r>
                            <m:r>
                              <a:rPr lang="es-BO" sz="950" i="1">
                                <a:solidFill>
                                  <a:schemeClr val="tx1"/>
                                </a:solidFill>
                                <a:effectLst/>
                                <a:latin typeface="Cambria Math" panose="02040503050406030204" pitchFamily="18" charset="0"/>
                                <a:ea typeface="+mn-ea"/>
                                <a:cs typeface="+mn-cs"/>
                              </a:rPr>
                              <m:t> </m:t>
                            </m:r>
                            <m:r>
                              <a:rPr lang="es-BO" sz="950" i="1">
                                <a:solidFill>
                                  <a:schemeClr val="tx1"/>
                                </a:solidFill>
                                <a:effectLst/>
                                <a:latin typeface="Cambria Math" panose="02040503050406030204" pitchFamily="18" charset="0"/>
                                <a:ea typeface="+mn-ea"/>
                                <a:cs typeface="+mn-cs"/>
                              </a:rPr>
                              <m:t>𝑂𝑏𝑠𝑒𝑟𝑣𝑎𝑑𝑜</m:t>
                            </m:r>
                          </m:e>
                          <m:sub>
                            <m:r>
                              <a:rPr lang="es-BO" sz="950" i="1">
                                <a:solidFill>
                                  <a:schemeClr val="tx1"/>
                                </a:solidFill>
                                <a:effectLst/>
                                <a:latin typeface="Cambria Math" panose="02040503050406030204" pitchFamily="18" charset="0"/>
                                <a:ea typeface="+mn-ea"/>
                                <a:cs typeface="+mn-cs"/>
                              </a:rPr>
                              <m:t>𝐵𝑎𝑛𝑐𝑜</m:t>
                            </m:r>
                            <m:r>
                              <a:rPr lang="es-BO" sz="950" i="1">
                                <a:solidFill>
                                  <a:schemeClr val="tx1"/>
                                </a:solidFill>
                                <a:effectLst/>
                                <a:latin typeface="Cambria Math" panose="02040503050406030204" pitchFamily="18" charset="0"/>
                                <a:ea typeface="+mn-ea"/>
                                <a:cs typeface="+mn-cs"/>
                              </a:rPr>
                              <m:t> </m:t>
                            </m:r>
                            <m:r>
                              <a:rPr lang="es-BO" sz="950" i="1">
                                <a:solidFill>
                                  <a:schemeClr val="tx1"/>
                                </a:solidFill>
                                <a:effectLst/>
                                <a:latin typeface="Cambria Math" panose="02040503050406030204" pitchFamily="18" charset="0"/>
                                <a:ea typeface="+mn-ea"/>
                                <a:cs typeface="+mn-cs"/>
                              </a:rPr>
                              <m:t>𝑀</m:t>
                            </m:r>
                            <m:r>
                              <a:rPr lang="es-BO" sz="950" i="1">
                                <a:solidFill>
                                  <a:schemeClr val="tx1"/>
                                </a:solidFill>
                                <a:effectLst/>
                                <a:latin typeface="Cambria Math" panose="02040503050406030204" pitchFamily="18" charset="0"/>
                                <a:ea typeface="+mn-ea"/>
                                <a:cs typeface="+mn-cs"/>
                              </a:rPr>
                              <m:t>ú</m:t>
                            </m:r>
                            <m:r>
                              <a:rPr lang="es-BO" sz="950" i="1">
                                <a:solidFill>
                                  <a:schemeClr val="tx1"/>
                                </a:solidFill>
                                <a:effectLst/>
                                <a:latin typeface="Cambria Math" panose="02040503050406030204" pitchFamily="18" charset="0"/>
                                <a:ea typeface="+mn-ea"/>
                                <a:cs typeface="+mn-cs"/>
                              </a:rPr>
                              <m:t>𝑙𝑡𝑖𝑝𝑙𝑒</m:t>
                            </m:r>
                          </m:sub>
                        </m:sSub>
                      </m:num>
                      <m:den>
                        <m:r>
                          <a:rPr lang="es-BO" sz="950" i="1">
                            <a:solidFill>
                              <a:schemeClr val="tx1"/>
                            </a:solidFill>
                            <a:effectLst/>
                            <a:latin typeface="Cambria Math" panose="02040503050406030204" pitchFamily="18" charset="0"/>
                            <a:ea typeface="+mn-ea"/>
                            <a:cs typeface="+mn-cs"/>
                          </a:rPr>
                          <m:t>𝑁𝑖𝑣</m:t>
                        </m:r>
                        <m:r>
                          <a:rPr lang="es-BO" sz="950" i="1">
                            <a:solidFill>
                              <a:schemeClr val="tx1"/>
                            </a:solidFill>
                            <a:effectLst/>
                            <a:latin typeface="Cambria Math" panose="02040503050406030204" pitchFamily="18" charset="0"/>
                            <a:ea typeface="+mn-ea"/>
                            <a:cs typeface="+mn-cs"/>
                          </a:rPr>
                          <m:t>. </m:t>
                        </m:r>
                        <m:r>
                          <a:rPr lang="es-BO" sz="950" i="1">
                            <a:solidFill>
                              <a:schemeClr val="tx1"/>
                            </a:solidFill>
                            <a:effectLst/>
                            <a:latin typeface="Cambria Math" panose="02040503050406030204" pitchFamily="18" charset="0"/>
                            <a:ea typeface="+mn-ea"/>
                            <a:cs typeface="+mn-cs"/>
                          </a:rPr>
                          <m:t>𝐶𝑎𝑟𝑡𝑒𝑟</m:t>
                        </m:r>
                        <m:sSub>
                          <m:sSubPr>
                            <m:ctrlPr>
                              <a:rPr lang="es-BO" sz="950" i="1">
                                <a:solidFill>
                                  <a:schemeClr val="tx1"/>
                                </a:solidFill>
                                <a:effectLst/>
                                <a:latin typeface="Cambria Math" panose="02040503050406030204" pitchFamily="18" charset="0"/>
                                <a:ea typeface="+mn-ea"/>
                                <a:cs typeface="+mn-cs"/>
                              </a:rPr>
                            </m:ctrlPr>
                          </m:sSubPr>
                          <m:e>
                            <m:r>
                              <a:rPr lang="es-BO" sz="950" i="1">
                                <a:solidFill>
                                  <a:schemeClr val="tx1"/>
                                </a:solidFill>
                                <a:effectLst/>
                                <a:latin typeface="Cambria Math" panose="02040503050406030204" pitchFamily="18" charset="0"/>
                                <a:ea typeface="+mn-ea"/>
                                <a:cs typeface="+mn-cs"/>
                              </a:rPr>
                              <m:t>𝑎</m:t>
                            </m:r>
                            <m:r>
                              <a:rPr lang="es-BO" sz="950" i="1">
                                <a:solidFill>
                                  <a:schemeClr val="tx1"/>
                                </a:solidFill>
                                <a:effectLst/>
                                <a:latin typeface="Cambria Math" panose="02040503050406030204" pitchFamily="18" charset="0"/>
                                <a:ea typeface="+mn-ea"/>
                                <a:cs typeface="+mn-cs"/>
                              </a:rPr>
                              <m:t> </m:t>
                            </m:r>
                            <m:r>
                              <a:rPr lang="es-BO" sz="950" i="1">
                                <a:solidFill>
                                  <a:schemeClr val="tx1"/>
                                </a:solidFill>
                                <a:effectLst/>
                                <a:latin typeface="Cambria Math" panose="02040503050406030204" pitchFamily="18" charset="0"/>
                                <a:ea typeface="+mn-ea"/>
                                <a:cs typeface="+mn-cs"/>
                              </a:rPr>
                              <m:t>𝑀𝑒𝑡𝑎</m:t>
                            </m:r>
                          </m:e>
                          <m:sub>
                            <m:r>
                              <a:rPr lang="es-BO" sz="950" i="1">
                                <a:solidFill>
                                  <a:schemeClr val="tx1"/>
                                </a:solidFill>
                                <a:effectLst/>
                                <a:latin typeface="Cambria Math" panose="02040503050406030204" pitchFamily="18" charset="0"/>
                                <a:ea typeface="+mn-ea"/>
                                <a:cs typeface="+mn-cs"/>
                              </a:rPr>
                              <m:t>𝐵𝑎𝑛𝑐𝑜</m:t>
                            </m:r>
                            <m:r>
                              <a:rPr lang="es-BO" sz="950" i="1">
                                <a:solidFill>
                                  <a:schemeClr val="tx1"/>
                                </a:solidFill>
                                <a:effectLst/>
                                <a:latin typeface="Cambria Math" panose="02040503050406030204" pitchFamily="18" charset="0"/>
                                <a:ea typeface="+mn-ea"/>
                                <a:cs typeface="+mn-cs"/>
                              </a:rPr>
                              <m:t> </m:t>
                            </m:r>
                            <m:r>
                              <a:rPr lang="es-BO" sz="950" i="1">
                                <a:solidFill>
                                  <a:schemeClr val="tx1"/>
                                </a:solidFill>
                                <a:effectLst/>
                                <a:latin typeface="Cambria Math" panose="02040503050406030204" pitchFamily="18" charset="0"/>
                                <a:ea typeface="+mn-ea"/>
                                <a:cs typeface="+mn-cs"/>
                              </a:rPr>
                              <m:t>𝑀</m:t>
                            </m:r>
                            <m:r>
                              <a:rPr lang="es-BO" sz="950" i="1">
                                <a:solidFill>
                                  <a:schemeClr val="tx1"/>
                                </a:solidFill>
                                <a:effectLst/>
                                <a:latin typeface="Cambria Math" panose="02040503050406030204" pitchFamily="18" charset="0"/>
                                <a:ea typeface="+mn-ea"/>
                                <a:cs typeface="+mn-cs"/>
                              </a:rPr>
                              <m:t>ú</m:t>
                            </m:r>
                            <m:r>
                              <a:rPr lang="es-BO" sz="950" i="1">
                                <a:solidFill>
                                  <a:schemeClr val="tx1"/>
                                </a:solidFill>
                                <a:effectLst/>
                                <a:latin typeface="Cambria Math" panose="02040503050406030204" pitchFamily="18" charset="0"/>
                                <a:ea typeface="+mn-ea"/>
                                <a:cs typeface="+mn-cs"/>
                              </a:rPr>
                              <m:t>𝑙𝑡𝑖𝑝𝑙𝑒</m:t>
                            </m:r>
                          </m:sub>
                        </m:sSub>
                      </m:den>
                    </m:f>
                  </m:oMath>
                </m:oMathPara>
              </a14:m>
              <a:endParaRPr lang="es-BO" sz="950"/>
            </a:p>
          </xdr:txBody>
        </xdr:sp>
      </mc:Choice>
      <mc:Fallback xmlns="">
        <xdr:sp macro="" textlink="">
          <xdr:nvSpPr>
            <xdr:cNvPr id="85" name="CuadroTexto 84">
              <a:extLst>
                <a:ext uri="{FF2B5EF4-FFF2-40B4-BE49-F238E27FC236}">
                  <a16:creationId xmlns:a16="http://schemas.microsoft.com/office/drawing/2014/main" xmlns="" xmlns:a14="http://schemas.microsoft.com/office/drawing/2010/main" id="{00000000-0008-0000-0100-000005000000}"/>
                </a:ext>
              </a:extLst>
            </xdr:cNvPr>
            <xdr:cNvSpPr txBox="1"/>
          </xdr:nvSpPr>
          <xdr:spPr>
            <a:xfrm>
              <a:off x="31238825" y="17229932"/>
              <a:ext cx="3856832" cy="32566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spAutoFit/>
            </a:bodyPr>
            <a:lstStyle/>
            <a:p>
              <a:pPr/>
              <a:r>
                <a:rPr lang="es-BO" sz="950" b="0" i="0">
                  <a:solidFill>
                    <a:schemeClr val="tx1"/>
                  </a:solidFill>
                  <a:effectLst/>
                  <a:latin typeface="Cambria Math" panose="02040503050406030204" pitchFamily="18" charset="0"/>
                  <a:ea typeface="+mn-ea"/>
                  <a:cs typeface="+mn-cs"/>
                </a:rPr>
                <a:t>𝐼𝑛</a:t>
              </a:r>
              <a:r>
                <a:rPr lang="es-BO" sz="950" i="0">
                  <a:solidFill>
                    <a:schemeClr val="tx1"/>
                  </a:solidFill>
                  <a:effectLst/>
                  <a:latin typeface="Cambria Math" panose="02040503050406030204" pitchFamily="18" charset="0"/>
                  <a:ea typeface="+mn-ea"/>
                  <a:cs typeface="+mn-cs"/>
                </a:rPr>
                <a:t>𝑑𝑖𝑐𝑎𝑑𝑜𝑟_(𝐵𝑎𝑛𝑐𝑜 𝑀ú𝑙𝑡𝑖𝑝𝑙𝑒)=(𝑁𝑖𝑣. 𝐶𝑎𝑟𝑡𝑒𝑟〖𝑎 𝑂𝑏𝑠𝑒𝑟𝑣𝑎𝑑𝑜〗_(𝐵𝑎𝑛𝑐𝑜 𝑀ú𝑙𝑡𝑖𝑝𝑙𝑒))/(𝑁𝑖𝑣. 𝐶𝑎𝑟𝑡𝑒𝑟〖𝑎 𝑀𝑒𝑡𝑎〗_(𝐵𝑎𝑛𝑐𝑜 𝑀ú𝑙𝑡𝑖𝑝𝑙𝑒) )</a:t>
              </a:r>
              <a:endParaRPr lang="es-BO" sz="950"/>
            </a:p>
          </xdr:txBody>
        </xdr:sp>
      </mc:Fallback>
    </mc:AlternateContent>
    <xdr:clientData/>
  </xdr:oneCellAnchor>
  <xdr:oneCellAnchor>
    <xdr:from>
      <xdr:col>42</xdr:col>
      <xdr:colOff>797718</xdr:colOff>
      <xdr:row>161</xdr:row>
      <xdr:rowOff>2107407</xdr:rowOff>
    </xdr:from>
    <xdr:ext cx="2262414" cy="266740"/>
    <mc:AlternateContent xmlns:mc="http://schemas.openxmlformats.org/markup-compatibility/2006" xmlns:a14="http://schemas.microsoft.com/office/drawing/2010/main">
      <mc:Choice Requires="a14">
        <xdr:sp macro="" textlink="">
          <xdr:nvSpPr>
            <xdr:cNvPr id="86" name="CuadroTexto 85">
              <a:extLst>
                <a:ext uri="{FF2B5EF4-FFF2-40B4-BE49-F238E27FC236}">
                  <a16:creationId xmlns:a16="http://schemas.microsoft.com/office/drawing/2014/main" id="{00000000-0008-0000-0400-000056000000}"/>
                </a:ext>
              </a:extLst>
            </xdr:cNvPr>
            <xdr:cNvSpPr txBox="1"/>
          </xdr:nvSpPr>
          <xdr:spPr>
            <a:xfrm>
              <a:off x="32001618" y="22386132"/>
              <a:ext cx="2262414" cy="26674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14:m>
                <m:oMath xmlns:m="http://schemas.openxmlformats.org/officeDocument/2006/math">
                  <m:r>
                    <a:rPr lang="es-BO" sz="1200" i="1">
                      <a:solidFill>
                        <a:schemeClr val="tx1"/>
                      </a:solidFill>
                      <a:effectLst/>
                      <a:latin typeface="Cambria Math" panose="02040503050406030204" pitchFamily="18" charset="0"/>
                      <a:ea typeface="+mn-ea"/>
                      <a:cs typeface="+mn-cs"/>
                    </a:rPr>
                    <m:t>𝑁𝑖𝑣</m:t>
                  </m:r>
                  <m:r>
                    <a:rPr lang="es-BO" sz="1200" i="1">
                      <a:solidFill>
                        <a:schemeClr val="tx1"/>
                      </a:solidFill>
                      <a:effectLst/>
                      <a:latin typeface="Cambria Math" panose="02040503050406030204" pitchFamily="18" charset="0"/>
                      <a:ea typeface="+mn-ea"/>
                      <a:cs typeface="+mn-cs"/>
                    </a:rPr>
                    <m:t>. </m:t>
                  </m:r>
                  <m:r>
                    <a:rPr lang="es-BO" sz="1200" i="1">
                      <a:solidFill>
                        <a:schemeClr val="tx1"/>
                      </a:solidFill>
                      <a:effectLst/>
                      <a:latin typeface="Cambria Math" panose="02040503050406030204" pitchFamily="18" charset="0"/>
                      <a:ea typeface="+mn-ea"/>
                      <a:cs typeface="+mn-cs"/>
                    </a:rPr>
                    <m:t>𝐶𝑎𝑟𝑡𝑒𝑟</m:t>
                  </m:r>
                  <m:sSub>
                    <m:sSubPr>
                      <m:ctrlPr>
                        <a:rPr lang="es-BO" sz="1200" i="1">
                          <a:solidFill>
                            <a:schemeClr val="tx1"/>
                          </a:solidFill>
                          <a:effectLst/>
                          <a:latin typeface="Cambria Math" panose="02040503050406030204" pitchFamily="18" charset="0"/>
                          <a:ea typeface="+mn-ea"/>
                          <a:cs typeface="+mn-cs"/>
                        </a:rPr>
                      </m:ctrlPr>
                    </m:sSubPr>
                    <m:e>
                      <m:r>
                        <a:rPr lang="es-BO" sz="1200" i="1">
                          <a:solidFill>
                            <a:schemeClr val="tx1"/>
                          </a:solidFill>
                          <a:effectLst/>
                          <a:latin typeface="Cambria Math" panose="02040503050406030204" pitchFamily="18" charset="0"/>
                          <a:ea typeface="+mn-ea"/>
                          <a:cs typeface="+mn-cs"/>
                        </a:rPr>
                        <m:t>𝑎</m:t>
                      </m:r>
                    </m:e>
                    <m:sub>
                      <m:r>
                        <a:rPr lang="es-BO" sz="1200" i="1">
                          <a:solidFill>
                            <a:schemeClr val="tx1"/>
                          </a:solidFill>
                          <a:effectLst/>
                          <a:latin typeface="Cambria Math" panose="02040503050406030204" pitchFamily="18" charset="0"/>
                          <a:ea typeface="+mn-ea"/>
                          <a:cs typeface="+mn-cs"/>
                        </a:rPr>
                        <m:t>𝐵𝑎𝑛𝑐𝑜</m:t>
                      </m:r>
                      <m:r>
                        <a:rPr lang="es-BO" sz="1200" i="1">
                          <a:solidFill>
                            <a:schemeClr val="tx1"/>
                          </a:solidFill>
                          <a:effectLst/>
                          <a:latin typeface="Cambria Math" panose="02040503050406030204" pitchFamily="18" charset="0"/>
                          <a:ea typeface="+mn-ea"/>
                          <a:cs typeface="+mn-cs"/>
                        </a:rPr>
                        <m:t> </m:t>
                      </m:r>
                      <m:r>
                        <a:rPr lang="es-BO" sz="1200" b="0" i="1">
                          <a:solidFill>
                            <a:schemeClr val="tx1"/>
                          </a:solidFill>
                          <a:effectLst/>
                          <a:latin typeface="Cambria Math" panose="02040503050406030204" pitchFamily="18" charset="0"/>
                          <a:ea typeface="+mn-ea"/>
                          <a:cs typeface="+mn-cs"/>
                        </a:rPr>
                        <m:t>𝑃𝑌𝑀𝐸</m:t>
                      </m:r>
                    </m:sub>
                  </m:sSub>
                </m:oMath>
              </a14:m>
              <a:r>
                <a:rPr lang="es-BO" sz="1200"/>
                <a:t>=</a:t>
              </a:r>
              <a14:m>
                <m:oMath xmlns:m="http://schemas.openxmlformats.org/officeDocument/2006/math">
                  <m:f>
                    <m:fPr>
                      <m:ctrlPr>
                        <a:rPr lang="es-BO" sz="1200" i="1">
                          <a:latin typeface="Cambria Math" panose="02040503050406030204" pitchFamily="18" charset="0"/>
                        </a:rPr>
                      </m:ctrlPr>
                    </m:fPr>
                    <m:num>
                      <m:r>
                        <a:rPr lang="es-BO" sz="1200" b="0" i="1">
                          <a:latin typeface="Cambria Math" panose="02040503050406030204" pitchFamily="18" charset="0"/>
                        </a:rPr>
                        <m:t>𝐶</m:t>
                      </m:r>
                      <m:r>
                        <a:rPr lang="es-BO" sz="1200" i="1">
                          <a:solidFill>
                            <a:schemeClr val="tx1"/>
                          </a:solidFill>
                          <a:effectLst/>
                          <a:latin typeface="Cambria Math" panose="02040503050406030204" pitchFamily="18" charset="0"/>
                          <a:ea typeface="+mn-ea"/>
                          <a:cs typeface="+mn-cs"/>
                        </a:rPr>
                        <m:t>𝑎𝑟𝑡𝑒𝑟𝑎</m:t>
                      </m:r>
                      <m:r>
                        <a:rPr lang="es-BO" sz="1200" i="1">
                          <a:solidFill>
                            <a:schemeClr val="tx1"/>
                          </a:solidFill>
                          <a:effectLst/>
                          <a:latin typeface="Cambria Math" panose="02040503050406030204" pitchFamily="18" charset="0"/>
                          <a:ea typeface="+mn-ea"/>
                          <a:cs typeface="+mn-cs"/>
                        </a:rPr>
                        <m:t> </m:t>
                      </m:r>
                      <m:r>
                        <a:rPr lang="es-BO" sz="1200" i="1">
                          <a:solidFill>
                            <a:schemeClr val="tx1"/>
                          </a:solidFill>
                          <a:effectLst/>
                          <a:latin typeface="Cambria Math" panose="02040503050406030204" pitchFamily="18" charset="0"/>
                          <a:ea typeface="+mn-ea"/>
                          <a:cs typeface="+mn-cs"/>
                        </a:rPr>
                        <m:t>𝑆𝑃</m:t>
                      </m:r>
                    </m:num>
                    <m:den>
                      <m:r>
                        <a:rPr lang="es-BO" sz="1200" i="1">
                          <a:solidFill>
                            <a:schemeClr val="tx1"/>
                          </a:solidFill>
                          <a:effectLst/>
                          <a:latin typeface="Cambria Math" panose="02040503050406030204" pitchFamily="18" charset="0"/>
                          <a:ea typeface="+mn-ea"/>
                          <a:cs typeface="+mn-cs"/>
                        </a:rPr>
                        <m:t>𝐶𝑎𝑟𝑡𝑒𝑟𝑎</m:t>
                      </m:r>
                      <m:r>
                        <a:rPr lang="es-BO" sz="1200" i="1">
                          <a:solidFill>
                            <a:schemeClr val="tx1"/>
                          </a:solidFill>
                          <a:effectLst/>
                          <a:latin typeface="Cambria Math" panose="02040503050406030204" pitchFamily="18" charset="0"/>
                          <a:ea typeface="+mn-ea"/>
                          <a:cs typeface="+mn-cs"/>
                        </a:rPr>
                        <m:t> </m:t>
                      </m:r>
                      <m:r>
                        <a:rPr lang="es-BO" sz="1200" i="1">
                          <a:solidFill>
                            <a:schemeClr val="tx1"/>
                          </a:solidFill>
                          <a:effectLst/>
                          <a:latin typeface="Cambria Math" panose="02040503050406030204" pitchFamily="18" charset="0"/>
                          <a:ea typeface="+mn-ea"/>
                          <a:cs typeface="+mn-cs"/>
                        </a:rPr>
                        <m:t>𝑡𝑜𝑡𝑎𝑙</m:t>
                      </m:r>
                    </m:den>
                  </m:f>
                </m:oMath>
              </a14:m>
              <a:endParaRPr lang="es-BO" sz="1200"/>
            </a:p>
          </xdr:txBody>
        </xdr:sp>
      </mc:Choice>
      <mc:Fallback xmlns="">
        <xdr:sp macro="" textlink="">
          <xdr:nvSpPr>
            <xdr:cNvPr id="86" name="CuadroTexto 85">
              <a:extLst>
                <a:ext uri="{FF2B5EF4-FFF2-40B4-BE49-F238E27FC236}">
                  <a16:creationId xmlns:a16="http://schemas.microsoft.com/office/drawing/2014/main" xmlns="" xmlns:a14="http://schemas.microsoft.com/office/drawing/2010/main" id="{00000000-0008-0000-0100-000006000000}"/>
                </a:ext>
              </a:extLst>
            </xdr:cNvPr>
            <xdr:cNvSpPr txBox="1"/>
          </xdr:nvSpPr>
          <xdr:spPr>
            <a:xfrm>
              <a:off x="32001618" y="22386132"/>
              <a:ext cx="2262414" cy="26674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r>
                <a:rPr lang="es-BO" sz="1200" i="0">
                  <a:solidFill>
                    <a:schemeClr val="tx1"/>
                  </a:solidFill>
                  <a:effectLst/>
                  <a:latin typeface="Cambria Math" panose="02040503050406030204" pitchFamily="18" charset="0"/>
                  <a:ea typeface="+mn-ea"/>
                  <a:cs typeface="+mn-cs"/>
                </a:rPr>
                <a:t>𝑁𝑖𝑣. 𝐶𝑎𝑟𝑡𝑒𝑟𝑎_(𝐵𝑎𝑛𝑐𝑜 </a:t>
              </a:r>
              <a:r>
                <a:rPr lang="es-BO" sz="1200" b="0" i="0">
                  <a:solidFill>
                    <a:schemeClr val="tx1"/>
                  </a:solidFill>
                  <a:effectLst/>
                  <a:latin typeface="Cambria Math" panose="02040503050406030204" pitchFamily="18" charset="0"/>
                  <a:ea typeface="+mn-ea"/>
                  <a:cs typeface="+mn-cs"/>
                </a:rPr>
                <a:t>𝑃𝑌𝑀𝐸)</a:t>
              </a:r>
              <a:r>
                <a:rPr lang="es-BO" sz="1200"/>
                <a:t>=</a:t>
              </a:r>
              <a:r>
                <a:rPr lang="es-BO" sz="1200" i="0">
                  <a:latin typeface="Cambria Math" panose="02040503050406030204" pitchFamily="18" charset="0"/>
                </a:rPr>
                <a:t>(</a:t>
              </a:r>
              <a:r>
                <a:rPr lang="es-BO" sz="1200" b="0" i="0">
                  <a:latin typeface="Cambria Math" panose="02040503050406030204" pitchFamily="18" charset="0"/>
                </a:rPr>
                <a:t>𝐶</a:t>
              </a:r>
              <a:r>
                <a:rPr lang="es-BO" sz="1200" i="0">
                  <a:solidFill>
                    <a:schemeClr val="tx1"/>
                  </a:solidFill>
                  <a:effectLst/>
                  <a:latin typeface="Cambria Math" panose="02040503050406030204" pitchFamily="18" charset="0"/>
                  <a:ea typeface="+mn-ea"/>
                  <a:cs typeface="+mn-cs"/>
                </a:rPr>
                <a:t>𝑎𝑟𝑡𝑒𝑟𝑎 𝑆𝑃)/(𝐶𝑎𝑟𝑡𝑒𝑟𝑎 𝑡𝑜𝑡𝑎𝑙)</a:t>
              </a:r>
              <a:endParaRPr lang="es-BO" sz="1200"/>
            </a:p>
          </xdr:txBody>
        </xdr:sp>
      </mc:Fallback>
    </mc:AlternateContent>
    <xdr:clientData/>
  </xdr:oneCellAnchor>
  <xdr:oneCellAnchor>
    <xdr:from>
      <xdr:col>42</xdr:col>
      <xdr:colOff>448469</xdr:colOff>
      <xdr:row>161</xdr:row>
      <xdr:rowOff>3333749</xdr:rowOff>
    </xdr:from>
    <xdr:ext cx="3017877" cy="321468"/>
    <mc:AlternateContent xmlns:mc="http://schemas.openxmlformats.org/markup-compatibility/2006" xmlns:a14="http://schemas.microsoft.com/office/drawing/2010/main">
      <mc:Choice Requires="a14">
        <xdr:sp macro="" textlink="">
          <xdr:nvSpPr>
            <xdr:cNvPr id="87" name="CuadroTexto 86">
              <a:extLst>
                <a:ext uri="{FF2B5EF4-FFF2-40B4-BE49-F238E27FC236}">
                  <a16:creationId xmlns:a16="http://schemas.microsoft.com/office/drawing/2014/main" id="{00000000-0008-0000-0400-000057000000}"/>
                </a:ext>
              </a:extLst>
            </xdr:cNvPr>
            <xdr:cNvSpPr txBox="1"/>
          </xdr:nvSpPr>
          <xdr:spPr>
            <a:xfrm>
              <a:off x="31690469" y="23612474"/>
              <a:ext cx="3017877" cy="32146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noAutofit/>
            </a:bodyPr>
            <a:lstStyle/>
            <a:p>
              <a:pPr/>
              <a14:m>
                <m:oMathPara xmlns:m="http://schemas.openxmlformats.org/officeDocument/2006/math">
                  <m:oMathParaPr>
                    <m:jc m:val="centerGroup"/>
                  </m:oMathParaPr>
                  <m:oMath xmlns:m="http://schemas.openxmlformats.org/officeDocument/2006/math">
                    <m:r>
                      <a:rPr lang="es-BO" sz="950" b="0" i="1">
                        <a:solidFill>
                          <a:schemeClr val="tx1"/>
                        </a:solidFill>
                        <a:effectLst/>
                        <a:latin typeface="Cambria Math" panose="02040503050406030204" pitchFamily="18" charset="0"/>
                        <a:ea typeface="+mn-ea"/>
                        <a:cs typeface="+mn-cs"/>
                      </a:rPr>
                      <m:t>𝐼𝑛</m:t>
                    </m:r>
                    <m:r>
                      <a:rPr lang="es-BO" sz="950" i="1">
                        <a:solidFill>
                          <a:schemeClr val="tx1"/>
                        </a:solidFill>
                        <a:effectLst/>
                        <a:latin typeface="Cambria Math" panose="02040503050406030204" pitchFamily="18" charset="0"/>
                        <a:ea typeface="+mn-ea"/>
                        <a:cs typeface="+mn-cs"/>
                      </a:rPr>
                      <m:t>𝑑𝑖𝑐𝑎𝑑𝑜</m:t>
                    </m:r>
                    <m:sSub>
                      <m:sSubPr>
                        <m:ctrlPr>
                          <a:rPr lang="es-BO" sz="950" i="1">
                            <a:solidFill>
                              <a:schemeClr val="tx1"/>
                            </a:solidFill>
                            <a:effectLst/>
                            <a:latin typeface="Cambria Math" panose="02040503050406030204" pitchFamily="18" charset="0"/>
                            <a:ea typeface="+mn-ea"/>
                            <a:cs typeface="+mn-cs"/>
                          </a:rPr>
                        </m:ctrlPr>
                      </m:sSubPr>
                      <m:e>
                        <m:r>
                          <a:rPr lang="es-BO" sz="950" i="1">
                            <a:solidFill>
                              <a:schemeClr val="tx1"/>
                            </a:solidFill>
                            <a:effectLst/>
                            <a:latin typeface="Cambria Math" panose="02040503050406030204" pitchFamily="18" charset="0"/>
                            <a:ea typeface="+mn-ea"/>
                            <a:cs typeface="+mn-cs"/>
                          </a:rPr>
                          <m:t>𝑟</m:t>
                        </m:r>
                      </m:e>
                      <m:sub>
                        <m:r>
                          <a:rPr lang="es-BO" sz="950" i="1">
                            <a:solidFill>
                              <a:schemeClr val="tx1"/>
                            </a:solidFill>
                            <a:effectLst/>
                            <a:latin typeface="Cambria Math" panose="02040503050406030204" pitchFamily="18" charset="0"/>
                            <a:ea typeface="+mn-ea"/>
                            <a:cs typeface="+mn-cs"/>
                          </a:rPr>
                          <m:t>𝐵𝑎𝑛𝑐𝑜</m:t>
                        </m:r>
                        <m:r>
                          <a:rPr lang="es-BO" sz="950" i="1">
                            <a:solidFill>
                              <a:schemeClr val="tx1"/>
                            </a:solidFill>
                            <a:effectLst/>
                            <a:latin typeface="Cambria Math" panose="02040503050406030204" pitchFamily="18" charset="0"/>
                            <a:ea typeface="+mn-ea"/>
                            <a:cs typeface="+mn-cs"/>
                          </a:rPr>
                          <m:t>  </m:t>
                        </m:r>
                        <m:r>
                          <a:rPr lang="es-BO" sz="950" b="0" i="1">
                            <a:solidFill>
                              <a:schemeClr val="tx1"/>
                            </a:solidFill>
                            <a:effectLst/>
                            <a:latin typeface="Cambria Math" panose="02040503050406030204" pitchFamily="18" charset="0"/>
                            <a:ea typeface="+mn-ea"/>
                            <a:cs typeface="+mn-cs"/>
                          </a:rPr>
                          <m:t>𝑃𝑌𝑀𝐸</m:t>
                        </m:r>
                      </m:sub>
                    </m:sSub>
                    <m:r>
                      <a:rPr lang="es-BO" sz="950" i="1">
                        <a:solidFill>
                          <a:schemeClr val="tx1"/>
                        </a:solidFill>
                        <a:effectLst/>
                        <a:latin typeface="Cambria Math" panose="02040503050406030204" pitchFamily="18" charset="0"/>
                        <a:ea typeface="+mn-ea"/>
                        <a:cs typeface="+mn-cs"/>
                      </a:rPr>
                      <m:t>=</m:t>
                    </m:r>
                    <m:f>
                      <m:fPr>
                        <m:ctrlPr>
                          <a:rPr lang="es-BO" sz="950" i="1">
                            <a:solidFill>
                              <a:schemeClr val="tx1"/>
                            </a:solidFill>
                            <a:effectLst/>
                            <a:latin typeface="Cambria Math" panose="02040503050406030204" pitchFamily="18" charset="0"/>
                            <a:ea typeface="+mn-ea"/>
                            <a:cs typeface="+mn-cs"/>
                          </a:rPr>
                        </m:ctrlPr>
                      </m:fPr>
                      <m:num>
                        <m:r>
                          <a:rPr lang="es-BO" sz="950" i="1">
                            <a:solidFill>
                              <a:schemeClr val="tx1"/>
                            </a:solidFill>
                            <a:effectLst/>
                            <a:latin typeface="Cambria Math" panose="02040503050406030204" pitchFamily="18" charset="0"/>
                            <a:ea typeface="+mn-ea"/>
                            <a:cs typeface="+mn-cs"/>
                          </a:rPr>
                          <m:t>𝑁𝑖𝑣</m:t>
                        </m:r>
                        <m:r>
                          <a:rPr lang="es-BO" sz="950" i="1">
                            <a:solidFill>
                              <a:schemeClr val="tx1"/>
                            </a:solidFill>
                            <a:effectLst/>
                            <a:latin typeface="Cambria Math" panose="02040503050406030204" pitchFamily="18" charset="0"/>
                            <a:ea typeface="+mn-ea"/>
                            <a:cs typeface="+mn-cs"/>
                          </a:rPr>
                          <m:t>. </m:t>
                        </m:r>
                        <m:r>
                          <a:rPr lang="es-BO" sz="950" i="1">
                            <a:solidFill>
                              <a:schemeClr val="tx1"/>
                            </a:solidFill>
                            <a:effectLst/>
                            <a:latin typeface="Cambria Math" panose="02040503050406030204" pitchFamily="18" charset="0"/>
                            <a:ea typeface="+mn-ea"/>
                            <a:cs typeface="+mn-cs"/>
                          </a:rPr>
                          <m:t>𝐶𝑎𝑟𝑡𝑒𝑟</m:t>
                        </m:r>
                        <m:sSub>
                          <m:sSubPr>
                            <m:ctrlPr>
                              <a:rPr lang="es-BO" sz="950" i="1">
                                <a:solidFill>
                                  <a:schemeClr val="tx1"/>
                                </a:solidFill>
                                <a:effectLst/>
                                <a:latin typeface="Cambria Math" panose="02040503050406030204" pitchFamily="18" charset="0"/>
                                <a:ea typeface="+mn-ea"/>
                                <a:cs typeface="+mn-cs"/>
                              </a:rPr>
                            </m:ctrlPr>
                          </m:sSubPr>
                          <m:e>
                            <m:r>
                              <a:rPr lang="es-BO" sz="950" i="1">
                                <a:solidFill>
                                  <a:schemeClr val="tx1"/>
                                </a:solidFill>
                                <a:effectLst/>
                                <a:latin typeface="Cambria Math" panose="02040503050406030204" pitchFamily="18" charset="0"/>
                                <a:ea typeface="+mn-ea"/>
                                <a:cs typeface="+mn-cs"/>
                              </a:rPr>
                              <m:t>𝑎</m:t>
                            </m:r>
                            <m:r>
                              <a:rPr lang="es-BO" sz="950" i="1">
                                <a:solidFill>
                                  <a:schemeClr val="tx1"/>
                                </a:solidFill>
                                <a:effectLst/>
                                <a:latin typeface="Cambria Math" panose="02040503050406030204" pitchFamily="18" charset="0"/>
                                <a:ea typeface="+mn-ea"/>
                                <a:cs typeface="+mn-cs"/>
                              </a:rPr>
                              <m:t> </m:t>
                            </m:r>
                            <m:r>
                              <a:rPr lang="es-BO" sz="950" i="1">
                                <a:solidFill>
                                  <a:schemeClr val="tx1"/>
                                </a:solidFill>
                                <a:effectLst/>
                                <a:latin typeface="Cambria Math" panose="02040503050406030204" pitchFamily="18" charset="0"/>
                                <a:ea typeface="+mn-ea"/>
                                <a:cs typeface="+mn-cs"/>
                              </a:rPr>
                              <m:t>𝑂𝑏𝑠𝑒𝑟𝑣𝑎𝑑𝑜</m:t>
                            </m:r>
                          </m:e>
                          <m:sub>
                            <m:r>
                              <a:rPr lang="es-BO" sz="950" i="1">
                                <a:solidFill>
                                  <a:schemeClr val="tx1"/>
                                </a:solidFill>
                                <a:effectLst/>
                                <a:latin typeface="Cambria Math" panose="02040503050406030204" pitchFamily="18" charset="0"/>
                                <a:ea typeface="+mn-ea"/>
                                <a:cs typeface="+mn-cs"/>
                              </a:rPr>
                              <m:t>𝐵𝑎𝑛𝑐𝑜</m:t>
                            </m:r>
                            <m:r>
                              <a:rPr lang="es-BO" sz="950" i="1">
                                <a:solidFill>
                                  <a:schemeClr val="tx1"/>
                                </a:solidFill>
                                <a:effectLst/>
                                <a:latin typeface="Cambria Math" panose="02040503050406030204" pitchFamily="18" charset="0"/>
                                <a:ea typeface="+mn-ea"/>
                                <a:cs typeface="+mn-cs"/>
                              </a:rPr>
                              <m:t> </m:t>
                            </m:r>
                            <m:r>
                              <a:rPr lang="es-BO" sz="950" b="0" i="1">
                                <a:solidFill>
                                  <a:schemeClr val="tx1"/>
                                </a:solidFill>
                                <a:effectLst/>
                                <a:latin typeface="Cambria Math" panose="02040503050406030204" pitchFamily="18" charset="0"/>
                                <a:ea typeface="+mn-ea"/>
                                <a:cs typeface="+mn-cs"/>
                              </a:rPr>
                              <m:t>𝑃𝑌𝑀𝐸</m:t>
                            </m:r>
                          </m:sub>
                        </m:sSub>
                      </m:num>
                      <m:den>
                        <m:r>
                          <a:rPr lang="es-BO" sz="950" i="1">
                            <a:solidFill>
                              <a:schemeClr val="tx1"/>
                            </a:solidFill>
                            <a:effectLst/>
                            <a:latin typeface="Cambria Math" panose="02040503050406030204" pitchFamily="18" charset="0"/>
                            <a:ea typeface="+mn-ea"/>
                            <a:cs typeface="+mn-cs"/>
                          </a:rPr>
                          <m:t>𝑁𝑖𝑣</m:t>
                        </m:r>
                        <m:r>
                          <a:rPr lang="es-BO" sz="950" i="1">
                            <a:solidFill>
                              <a:schemeClr val="tx1"/>
                            </a:solidFill>
                            <a:effectLst/>
                            <a:latin typeface="Cambria Math" panose="02040503050406030204" pitchFamily="18" charset="0"/>
                            <a:ea typeface="+mn-ea"/>
                            <a:cs typeface="+mn-cs"/>
                          </a:rPr>
                          <m:t>. </m:t>
                        </m:r>
                        <m:r>
                          <a:rPr lang="es-BO" sz="950" i="1">
                            <a:solidFill>
                              <a:schemeClr val="tx1"/>
                            </a:solidFill>
                            <a:effectLst/>
                            <a:latin typeface="Cambria Math" panose="02040503050406030204" pitchFamily="18" charset="0"/>
                            <a:ea typeface="+mn-ea"/>
                            <a:cs typeface="+mn-cs"/>
                          </a:rPr>
                          <m:t>𝐶𝑎𝑟𝑡𝑒𝑟</m:t>
                        </m:r>
                        <m:sSub>
                          <m:sSubPr>
                            <m:ctrlPr>
                              <a:rPr lang="es-BO" sz="950" i="1">
                                <a:solidFill>
                                  <a:schemeClr val="tx1"/>
                                </a:solidFill>
                                <a:effectLst/>
                                <a:latin typeface="Cambria Math" panose="02040503050406030204" pitchFamily="18" charset="0"/>
                                <a:ea typeface="+mn-ea"/>
                                <a:cs typeface="+mn-cs"/>
                              </a:rPr>
                            </m:ctrlPr>
                          </m:sSubPr>
                          <m:e>
                            <m:r>
                              <a:rPr lang="es-BO" sz="950" i="1">
                                <a:solidFill>
                                  <a:schemeClr val="tx1"/>
                                </a:solidFill>
                                <a:effectLst/>
                                <a:latin typeface="Cambria Math" panose="02040503050406030204" pitchFamily="18" charset="0"/>
                                <a:ea typeface="+mn-ea"/>
                                <a:cs typeface="+mn-cs"/>
                              </a:rPr>
                              <m:t>𝑎</m:t>
                            </m:r>
                            <m:r>
                              <a:rPr lang="es-BO" sz="950" i="1">
                                <a:solidFill>
                                  <a:schemeClr val="tx1"/>
                                </a:solidFill>
                                <a:effectLst/>
                                <a:latin typeface="Cambria Math" panose="02040503050406030204" pitchFamily="18" charset="0"/>
                                <a:ea typeface="+mn-ea"/>
                                <a:cs typeface="+mn-cs"/>
                              </a:rPr>
                              <m:t> </m:t>
                            </m:r>
                            <m:r>
                              <a:rPr lang="es-BO" sz="950" i="1">
                                <a:solidFill>
                                  <a:schemeClr val="tx1"/>
                                </a:solidFill>
                                <a:effectLst/>
                                <a:latin typeface="Cambria Math" panose="02040503050406030204" pitchFamily="18" charset="0"/>
                                <a:ea typeface="+mn-ea"/>
                                <a:cs typeface="+mn-cs"/>
                              </a:rPr>
                              <m:t>𝑀𝑒𝑡𝑎</m:t>
                            </m:r>
                          </m:e>
                          <m:sub>
                            <m:r>
                              <a:rPr lang="es-BO" sz="950" i="1">
                                <a:solidFill>
                                  <a:schemeClr val="tx1"/>
                                </a:solidFill>
                                <a:effectLst/>
                                <a:latin typeface="Cambria Math" panose="02040503050406030204" pitchFamily="18" charset="0"/>
                                <a:ea typeface="+mn-ea"/>
                                <a:cs typeface="+mn-cs"/>
                              </a:rPr>
                              <m:t>𝐵𝑎𝑛𝑐𝑜</m:t>
                            </m:r>
                            <m:r>
                              <a:rPr lang="es-BO" sz="950" i="1">
                                <a:solidFill>
                                  <a:schemeClr val="tx1"/>
                                </a:solidFill>
                                <a:effectLst/>
                                <a:latin typeface="Cambria Math" panose="02040503050406030204" pitchFamily="18" charset="0"/>
                                <a:ea typeface="+mn-ea"/>
                                <a:cs typeface="+mn-cs"/>
                              </a:rPr>
                              <m:t> </m:t>
                            </m:r>
                            <m:r>
                              <a:rPr lang="es-BO" sz="950" b="0" i="1">
                                <a:solidFill>
                                  <a:schemeClr val="tx1"/>
                                </a:solidFill>
                                <a:effectLst/>
                                <a:latin typeface="Cambria Math" panose="02040503050406030204" pitchFamily="18" charset="0"/>
                                <a:ea typeface="+mn-ea"/>
                                <a:cs typeface="+mn-cs"/>
                              </a:rPr>
                              <m:t>𝑃𝑌𝑀𝐸</m:t>
                            </m:r>
                          </m:sub>
                        </m:sSub>
                      </m:den>
                    </m:f>
                  </m:oMath>
                </m:oMathPara>
              </a14:m>
              <a:endParaRPr lang="es-BO" sz="950"/>
            </a:p>
          </xdr:txBody>
        </xdr:sp>
      </mc:Choice>
      <mc:Fallback xmlns="">
        <xdr:sp macro="" textlink="">
          <xdr:nvSpPr>
            <xdr:cNvPr id="87" name="CuadroTexto 86">
              <a:extLst>
                <a:ext uri="{FF2B5EF4-FFF2-40B4-BE49-F238E27FC236}">
                  <a16:creationId xmlns:a16="http://schemas.microsoft.com/office/drawing/2014/main" xmlns="" xmlns:a14="http://schemas.microsoft.com/office/drawing/2010/main" id="{00000000-0008-0000-0100-000007000000}"/>
                </a:ext>
              </a:extLst>
            </xdr:cNvPr>
            <xdr:cNvSpPr txBox="1"/>
          </xdr:nvSpPr>
          <xdr:spPr>
            <a:xfrm>
              <a:off x="31690469" y="23612474"/>
              <a:ext cx="3017877" cy="32146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noAutofit/>
            </a:bodyPr>
            <a:lstStyle/>
            <a:p>
              <a:pPr/>
              <a:r>
                <a:rPr lang="es-BO" sz="950" b="0" i="0">
                  <a:solidFill>
                    <a:schemeClr val="tx1"/>
                  </a:solidFill>
                  <a:effectLst/>
                  <a:latin typeface="Cambria Math" panose="02040503050406030204" pitchFamily="18" charset="0"/>
                  <a:ea typeface="+mn-ea"/>
                  <a:cs typeface="+mn-cs"/>
                </a:rPr>
                <a:t>𝐼𝑛</a:t>
              </a:r>
              <a:r>
                <a:rPr lang="es-BO" sz="950" i="0">
                  <a:solidFill>
                    <a:schemeClr val="tx1"/>
                  </a:solidFill>
                  <a:effectLst/>
                  <a:latin typeface="Cambria Math" panose="02040503050406030204" pitchFamily="18" charset="0"/>
                  <a:ea typeface="+mn-ea"/>
                  <a:cs typeface="+mn-cs"/>
                </a:rPr>
                <a:t>𝑑𝑖𝑐𝑎𝑑𝑜𝑟_(𝐵𝑎𝑛𝑐𝑜  </a:t>
              </a:r>
              <a:r>
                <a:rPr lang="es-BO" sz="950" b="0" i="0">
                  <a:solidFill>
                    <a:schemeClr val="tx1"/>
                  </a:solidFill>
                  <a:effectLst/>
                  <a:latin typeface="Cambria Math" panose="02040503050406030204" pitchFamily="18" charset="0"/>
                  <a:ea typeface="+mn-ea"/>
                  <a:cs typeface="+mn-cs"/>
                </a:rPr>
                <a:t>𝑃𝑌𝑀𝐸)</a:t>
              </a:r>
              <a:r>
                <a:rPr lang="es-BO" sz="950" i="0">
                  <a:solidFill>
                    <a:schemeClr val="tx1"/>
                  </a:solidFill>
                  <a:effectLst/>
                  <a:latin typeface="Cambria Math" panose="02040503050406030204" pitchFamily="18" charset="0"/>
                  <a:ea typeface="+mn-ea"/>
                  <a:cs typeface="+mn-cs"/>
                </a:rPr>
                <a:t>=(𝑁𝑖𝑣. 𝐶𝑎𝑟𝑡𝑒𝑟〖𝑎 𝑂𝑏𝑠𝑒𝑟𝑣𝑎𝑑𝑜〗_(𝐵𝑎𝑛𝑐𝑜 </a:t>
              </a:r>
              <a:r>
                <a:rPr lang="es-BO" sz="950" b="0" i="0">
                  <a:solidFill>
                    <a:schemeClr val="tx1"/>
                  </a:solidFill>
                  <a:effectLst/>
                  <a:latin typeface="Cambria Math" panose="02040503050406030204" pitchFamily="18" charset="0"/>
                  <a:ea typeface="+mn-ea"/>
                  <a:cs typeface="+mn-cs"/>
                </a:rPr>
                <a:t>𝑃𝑌𝑀𝐸))/(</a:t>
              </a:r>
              <a:r>
                <a:rPr lang="es-BO" sz="950" i="0">
                  <a:solidFill>
                    <a:schemeClr val="tx1"/>
                  </a:solidFill>
                  <a:effectLst/>
                  <a:latin typeface="Cambria Math" panose="02040503050406030204" pitchFamily="18" charset="0"/>
                  <a:ea typeface="+mn-ea"/>
                  <a:cs typeface="+mn-cs"/>
                </a:rPr>
                <a:t>𝑁𝑖𝑣. 𝐶𝑎𝑟𝑡𝑒𝑟〖𝑎 𝑀𝑒𝑡𝑎〗_(𝐵𝑎𝑛𝑐𝑜 </a:t>
              </a:r>
              <a:r>
                <a:rPr lang="es-BO" sz="950" b="0" i="0">
                  <a:solidFill>
                    <a:schemeClr val="tx1"/>
                  </a:solidFill>
                  <a:effectLst/>
                  <a:latin typeface="Cambria Math" panose="02040503050406030204" pitchFamily="18" charset="0"/>
                  <a:ea typeface="+mn-ea"/>
                  <a:cs typeface="+mn-cs"/>
                </a:rPr>
                <a:t>𝑃𝑌𝑀𝐸) )</a:t>
              </a:r>
              <a:endParaRPr lang="es-BO" sz="950"/>
            </a:p>
          </xdr:txBody>
        </xdr:sp>
      </mc:Fallback>
    </mc:AlternateContent>
    <xdr:clientData/>
  </xdr:oneCellAnchor>
  <xdr:oneCellAnchor>
    <xdr:from>
      <xdr:col>42</xdr:col>
      <xdr:colOff>476250</xdr:colOff>
      <xdr:row>162</xdr:row>
      <xdr:rowOff>666750</xdr:rowOff>
    </xdr:from>
    <xdr:ext cx="2257221" cy="263214"/>
    <mc:AlternateContent xmlns:mc="http://schemas.openxmlformats.org/markup-compatibility/2006" xmlns:a14="http://schemas.microsoft.com/office/drawing/2010/main">
      <mc:Choice Requires="a14">
        <xdr:sp macro="" textlink="">
          <xdr:nvSpPr>
            <xdr:cNvPr id="88" name="CuadroTexto 87">
              <a:extLst>
                <a:ext uri="{FF2B5EF4-FFF2-40B4-BE49-F238E27FC236}">
                  <a16:creationId xmlns:a16="http://schemas.microsoft.com/office/drawing/2014/main" id="{00000000-0008-0000-0400-000058000000}"/>
                </a:ext>
              </a:extLst>
            </xdr:cNvPr>
            <xdr:cNvSpPr txBox="1"/>
          </xdr:nvSpPr>
          <xdr:spPr>
            <a:xfrm>
              <a:off x="31718250" y="26146125"/>
              <a:ext cx="2257221" cy="26321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14:m>
                <m:oMath xmlns:m="http://schemas.openxmlformats.org/officeDocument/2006/math">
                  <m:r>
                    <a:rPr lang="es-BO" sz="1200" i="1">
                      <a:solidFill>
                        <a:schemeClr val="tx1"/>
                      </a:solidFill>
                      <a:effectLst/>
                      <a:latin typeface="Cambria Math" panose="02040503050406030204" pitchFamily="18" charset="0"/>
                      <a:ea typeface="+mn-ea"/>
                      <a:cs typeface="+mn-cs"/>
                    </a:rPr>
                    <m:t>𝑁𝑖𝑣</m:t>
                  </m:r>
                  <m:r>
                    <a:rPr lang="es-BO" sz="1200" i="1">
                      <a:solidFill>
                        <a:schemeClr val="tx1"/>
                      </a:solidFill>
                      <a:effectLst/>
                      <a:latin typeface="Cambria Math" panose="02040503050406030204" pitchFamily="18" charset="0"/>
                      <a:ea typeface="+mn-ea"/>
                      <a:cs typeface="+mn-cs"/>
                    </a:rPr>
                    <m:t>. </m:t>
                  </m:r>
                  <m:r>
                    <a:rPr lang="es-BO" sz="1200" i="1">
                      <a:solidFill>
                        <a:schemeClr val="tx1"/>
                      </a:solidFill>
                      <a:effectLst/>
                      <a:latin typeface="Cambria Math" panose="02040503050406030204" pitchFamily="18" charset="0"/>
                      <a:ea typeface="+mn-ea"/>
                      <a:cs typeface="+mn-cs"/>
                    </a:rPr>
                    <m:t>𝐶𝑎𝑟𝑡𝑒𝑟</m:t>
                  </m:r>
                  <m:sSub>
                    <m:sSubPr>
                      <m:ctrlPr>
                        <a:rPr lang="es-BO" sz="1200" i="1">
                          <a:solidFill>
                            <a:schemeClr val="tx1"/>
                          </a:solidFill>
                          <a:effectLst/>
                          <a:latin typeface="Cambria Math" panose="02040503050406030204" pitchFamily="18" charset="0"/>
                          <a:ea typeface="+mn-ea"/>
                          <a:cs typeface="+mn-cs"/>
                        </a:rPr>
                      </m:ctrlPr>
                    </m:sSubPr>
                    <m:e>
                      <m:r>
                        <a:rPr lang="es-BO" sz="1200" i="1">
                          <a:solidFill>
                            <a:schemeClr val="tx1"/>
                          </a:solidFill>
                          <a:effectLst/>
                          <a:latin typeface="Cambria Math" panose="02040503050406030204" pitchFamily="18" charset="0"/>
                          <a:ea typeface="+mn-ea"/>
                          <a:cs typeface="+mn-cs"/>
                        </a:rPr>
                        <m:t>𝑎</m:t>
                      </m:r>
                    </m:e>
                    <m:sub>
                      <m:r>
                        <a:rPr lang="es-BO" sz="1200" i="1">
                          <a:solidFill>
                            <a:schemeClr val="tx1"/>
                          </a:solidFill>
                          <a:effectLst/>
                          <a:latin typeface="Cambria Math" panose="02040503050406030204" pitchFamily="18" charset="0"/>
                          <a:ea typeface="+mn-ea"/>
                          <a:cs typeface="+mn-cs"/>
                        </a:rPr>
                        <m:t>𝐵𝑎𝑛𝑐𝑜</m:t>
                      </m:r>
                      <m:r>
                        <a:rPr lang="es-BO" sz="1200" i="1">
                          <a:solidFill>
                            <a:schemeClr val="tx1"/>
                          </a:solidFill>
                          <a:effectLst/>
                          <a:latin typeface="Cambria Math" panose="02040503050406030204" pitchFamily="18" charset="0"/>
                          <a:ea typeface="+mn-ea"/>
                          <a:cs typeface="+mn-cs"/>
                        </a:rPr>
                        <m:t> </m:t>
                      </m:r>
                      <m:r>
                        <a:rPr lang="es-BO" sz="1200" b="0" i="1">
                          <a:solidFill>
                            <a:schemeClr val="tx1"/>
                          </a:solidFill>
                          <a:effectLst/>
                          <a:latin typeface="Cambria Math" panose="02040503050406030204" pitchFamily="18" charset="0"/>
                          <a:ea typeface="+mn-ea"/>
                          <a:cs typeface="+mn-cs"/>
                        </a:rPr>
                        <m:t>𝑃𝑌𝑀𝐸</m:t>
                      </m:r>
                    </m:sub>
                  </m:sSub>
                </m:oMath>
              </a14:m>
              <a:r>
                <a:rPr lang="es-BO" sz="1200"/>
                <a:t>=</a:t>
              </a:r>
              <a14:m>
                <m:oMath xmlns:m="http://schemas.openxmlformats.org/officeDocument/2006/math">
                  <m:f>
                    <m:fPr>
                      <m:ctrlPr>
                        <a:rPr lang="es-BO" sz="1200" i="1">
                          <a:latin typeface="Cambria Math" panose="02040503050406030204" pitchFamily="18" charset="0"/>
                        </a:rPr>
                      </m:ctrlPr>
                    </m:fPr>
                    <m:num>
                      <m:r>
                        <a:rPr lang="es-BO" sz="1200" b="0" i="1">
                          <a:latin typeface="Cambria Math" panose="02040503050406030204" pitchFamily="18" charset="0"/>
                        </a:rPr>
                        <m:t>𝐶</m:t>
                      </m:r>
                      <m:r>
                        <a:rPr lang="es-BO" sz="1200" i="1">
                          <a:solidFill>
                            <a:schemeClr val="tx1"/>
                          </a:solidFill>
                          <a:effectLst/>
                          <a:latin typeface="Cambria Math" panose="02040503050406030204" pitchFamily="18" charset="0"/>
                          <a:ea typeface="+mn-ea"/>
                          <a:cs typeface="+mn-cs"/>
                        </a:rPr>
                        <m:t>𝑎𝑟𝑡𝑒𝑟𝑎</m:t>
                      </m:r>
                      <m:r>
                        <a:rPr lang="es-BO" sz="1200" i="1">
                          <a:solidFill>
                            <a:schemeClr val="tx1"/>
                          </a:solidFill>
                          <a:effectLst/>
                          <a:latin typeface="Cambria Math" panose="02040503050406030204" pitchFamily="18" charset="0"/>
                          <a:ea typeface="+mn-ea"/>
                          <a:cs typeface="+mn-cs"/>
                        </a:rPr>
                        <m:t> </m:t>
                      </m:r>
                      <m:r>
                        <a:rPr lang="es-BO" sz="1200" b="0" i="1">
                          <a:solidFill>
                            <a:schemeClr val="tx1"/>
                          </a:solidFill>
                          <a:effectLst/>
                          <a:latin typeface="Cambria Math" panose="02040503050406030204" pitchFamily="18" charset="0"/>
                          <a:ea typeface="+mn-ea"/>
                          <a:cs typeface="+mn-cs"/>
                        </a:rPr>
                        <m:t>𝑉𝐼𝑆</m:t>
                      </m:r>
                    </m:num>
                    <m:den>
                      <m:r>
                        <a:rPr lang="es-BO" sz="1200" i="1">
                          <a:solidFill>
                            <a:schemeClr val="tx1"/>
                          </a:solidFill>
                          <a:effectLst/>
                          <a:latin typeface="Cambria Math" panose="02040503050406030204" pitchFamily="18" charset="0"/>
                          <a:ea typeface="+mn-ea"/>
                          <a:cs typeface="+mn-cs"/>
                        </a:rPr>
                        <m:t>𝐶𝑎𝑟𝑡𝑒𝑟𝑎</m:t>
                      </m:r>
                      <m:r>
                        <a:rPr lang="es-BO" sz="1200" i="1">
                          <a:solidFill>
                            <a:schemeClr val="tx1"/>
                          </a:solidFill>
                          <a:effectLst/>
                          <a:latin typeface="Cambria Math" panose="02040503050406030204" pitchFamily="18" charset="0"/>
                          <a:ea typeface="+mn-ea"/>
                          <a:cs typeface="+mn-cs"/>
                        </a:rPr>
                        <m:t> </m:t>
                      </m:r>
                      <m:r>
                        <a:rPr lang="es-BO" sz="1200" i="1">
                          <a:solidFill>
                            <a:schemeClr val="tx1"/>
                          </a:solidFill>
                          <a:effectLst/>
                          <a:latin typeface="Cambria Math" panose="02040503050406030204" pitchFamily="18" charset="0"/>
                          <a:ea typeface="+mn-ea"/>
                          <a:cs typeface="+mn-cs"/>
                        </a:rPr>
                        <m:t>𝑡𝑜𝑡𝑎𝑙</m:t>
                      </m:r>
                    </m:den>
                  </m:f>
                </m:oMath>
              </a14:m>
              <a:endParaRPr lang="es-BO" sz="1200"/>
            </a:p>
          </xdr:txBody>
        </xdr:sp>
      </mc:Choice>
      <mc:Fallback xmlns="">
        <xdr:sp macro="" textlink="">
          <xdr:nvSpPr>
            <xdr:cNvPr id="88" name="CuadroTexto 87">
              <a:extLst>
                <a:ext uri="{FF2B5EF4-FFF2-40B4-BE49-F238E27FC236}">
                  <a16:creationId xmlns:a16="http://schemas.microsoft.com/office/drawing/2014/main" xmlns="" xmlns:a14="http://schemas.microsoft.com/office/drawing/2010/main" id="{00000000-0008-0000-0100-000008000000}"/>
                </a:ext>
              </a:extLst>
            </xdr:cNvPr>
            <xdr:cNvSpPr txBox="1"/>
          </xdr:nvSpPr>
          <xdr:spPr>
            <a:xfrm>
              <a:off x="31718250" y="26146125"/>
              <a:ext cx="2257221" cy="26321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r>
                <a:rPr lang="es-BO" sz="1200" i="0">
                  <a:solidFill>
                    <a:schemeClr val="tx1"/>
                  </a:solidFill>
                  <a:effectLst/>
                  <a:latin typeface="Cambria Math" panose="02040503050406030204" pitchFamily="18" charset="0"/>
                  <a:ea typeface="+mn-ea"/>
                  <a:cs typeface="+mn-cs"/>
                </a:rPr>
                <a:t>𝑁𝑖𝑣. 𝐶𝑎𝑟𝑡𝑒𝑟𝑎_(𝐵𝑎𝑛𝑐𝑜 </a:t>
              </a:r>
              <a:r>
                <a:rPr lang="es-BO" sz="1200" b="0" i="0">
                  <a:solidFill>
                    <a:schemeClr val="tx1"/>
                  </a:solidFill>
                  <a:effectLst/>
                  <a:latin typeface="Cambria Math" panose="02040503050406030204" pitchFamily="18" charset="0"/>
                  <a:ea typeface="+mn-ea"/>
                  <a:cs typeface="+mn-cs"/>
                </a:rPr>
                <a:t>𝑃𝑌𝑀𝐸)</a:t>
              </a:r>
              <a:r>
                <a:rPr lang="es-BO" sz="1200"/>
                <a:t>=</a:t>
              </a:r>
              <a:r>
                <a:rPr lang="es-BO" sz="1200" i="0">
                  <a:latin typeface="Cambria Math" panose="02040503050406030204" pitchFamily="18" charset="0"/>
                </a:rPr>
                <a:t>(</a:t>
              </a:r>
              <a:r>
                <a:rPr lang="es-BO" sz="1200" b="0" i="0">
                  <a:latin typeface="Cambria Math" panose="02040503050406030204" pitchFamily="18" charset="0"/>
                </a:rPr>
                <a:t>𝐶</a:t>
              </a:r>
              <a:r>
                <a:rPr lang="es-BO" sz="1200" i="0">
                  <a:solidFill>
                    <a:schemeClr val="tx1"/>
                  </a:solidFill>
                  <a:effectLst/>
                  <a:latin typeface="Cambria Math" panose="02040503050406030204" pitchFamily="18" charset="0"/>
                  <a:ea typeface="+mn-ea"/>
                  <a:cs typeface="+mn-cs"/>
                </a:rPr>
                <a:t>𝑎𝑟𝑡𝑒𝑟𝑎 </a:t>
              </a:r>
              <a:r>
                <a:rPr lang="es-BO" sz="1200" b="0" i="0">
                  <a:solidFill>
                    <a:schemeClr val="tx1"/>
                  </a:solidFill>
                  <a:effectLst/>
                  <a:latin typeface="Cambria Math" panose="02040503050406030204" pitchFamily="18" charset="0"/>
                  <a:ea typeface="+mn-ea"/>
                  <a:cs typeface="+mn-cs"/>
                </a:rPr>
                <a:t>𝑉𝐼𝑆)/(</a:t>
              </a:r>
              <a:r>
                <a:rPr lang="es-BO" sz="1200" i="0">
                  <a:solidFill>
                    <a:schemeClr val="tx1"/>
                  </a:solidFill>
                  <a:effectLst/>
                  <a:latin typeface="Cambria Math" panose="02040503050406030204" pitchFamily="18" charset="0"/>
                  <a:ea typeface="+mn-ea"/>
                  <a:cs typeface="+mn-cs"/>
                </a:rPr>
                <a:t>𝐶𝑎𝑟𝑡𝑒𝑟𝑎 𝑡𝑜𝑡𝑎𝑙)</a:t>
              </a:r>
              <a:endParaRPr lang="es-BO" sz="1200"/>
            </a:p>
          </xdr:txBody>
        </xdr:sp>
      </mc:Fallback>
    </mc:AlternateContent>
    <xdr:clientData/>
  </xdr:oneCellAnchor>
  <xdr:oneCellAnchor>
    <xdr:from>
      <xdr:col>42</xdr:col>
      <xdr:colOff>190500</xdr:colOff>
      <xdr:row>162</xdr:row>
      <xdr:rowOff>1857375</xdr:rowOff>
    </xdr:from>
    <xdr:ext cx="3017877" cy="321468"/>
    <mc:AlternateContent xmlns:mc="http://schemas.openxmlformats.org/markup-compatibility/2006" xmlns:a14="http://schemas.microsoft.com/office/drawing/2010/main">
      <mc:Choice Requires="a14">
        <xdr:sp macro="" textlink="">
          <xdr:nvSpPr>
            <xdr:cNvPr id="89" name="CuadroTexto 88">
              <a:extLst>
                <a:ext uri="{FF2B5EF4-FFF2-40B4-BE49-F238E27FC236}">
                  <a16:creationId xmlns:a16="http://schemas.microsoft.com/office/drawing/2014/main" id="{00000000-0008-0000-0400-000059000000}"/>
                </a:ext>
              </a:extLst>
            </xdr:cNvPr>
            <xdr:cNvSpPr txBox="1"/>
          </xdr:nvSpPr>
          <xdr:spPr>
            <a:xfrm>
              <a:off x="31432500" y="27336750"/>
              <a:ext cx="3017877" cy="32146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noAutofit/>
            </a:bodyPr>
            <a:lstStyle/>
            <a:p>
              <a:pPr/>
              <a14:m>
                <m:oMathPara xmlns:m="http://schemas.openxmlformats.org/officeDocument/2006/math">
                  <m:oMathParaPr>
                    <m:jc m:val="centerGroup"/>
                  </m:oMathParaPr>
                  <m:oMath xmlns:m="http://schemas.openxmlformats.org/officeDocument/2006/math">
                    <m:r>
                      <a:rPr lang="es-BO" sz="950" b="0" i="1">
                        <a:solidFill>
                          <a:schemeClr val="tx1"/>
                        </a:solidFill>
                        <a:effectLst/>
                        <a:latin typeface="Cambria Math" panose="02040503050406030204" pitchFamily="18" charset="0"/>
                        <a:ea typeface="+mn-ea"/>
                        <a:cs typeface="+mn-cs"/>
                      </a:rPr>
                      <m:t>𝐼𝑛</m:t>
                    </m:r>
                    <m:r>
                      <a:rPr lang="es-BO" sz="950" i="1">
                        <a:solidFill>
                          <a:schemeClr val="tx1"/>
                        </a:solidFill>
                        <a:effectLst/>
                        <a:latin typeface="Cambria Math" panose="02040503050406030204" pitchFamily="18" charset="0"/>
                        <a:ea typeface="+mn-ea"/>
                        <a:cs typeface="+mn-cs"/>
                      </a:rPr>
                      <m:t>𝑑𝑖𝑐𝑎𝑑𝑜</m:t>
                    </m:r>
                    <m:sSub>
                      <m:sSubPr>
                        <m:ctrlPr>
                          <a:rPr lang="es-BO" sz="950" i="1">
                            <a:solidFill>
                              <a:schemeClr val="tx1"/>
                            </a:solidFill>
                            <a:effectLst/>
                            <a:latin typeface="Cambria Math" panose="02040503050406030204" pitchFamily="18" charset="0"/>
                            <a:ea typeface="+mn-ea"/>
                            <a:cs typeface="+mn-cs"/>
                          </a:rPr>
                        </m:ctrlPr>
                      </m:sSubPr>
                      <m:e>
                        <m:r>
                          <a:rPr lang="es-BO" sz="950" i="1">
                            <a:solidFill>
                              <a:schemeClr val="tx1"/>
                            </a:solidFill>
                            <a:effectLst/>
                            <a:latin typeface="Cambria Math" panose="02040503050406030204" pitchFamily="18" charset="0"/>
                            <a:ea typeface="+mn-ea"/>
                            <a:cs typeface="+mn-cs"/>
                          </a:rPr>
                          <m:t>𝑟</m:t>
                        </m:r>
                      </m:e>
                      <m:sub>
                        <m:r>
                          <a:rPr lang="es-BO" sz="950" i="1">
                            <a:solidFill>
                              <a:schemeClr val="tx1"/>
                            </a:solidFill>
                            <a:effectLst/>
                            <a:latin typeface="Cambria Math" panose="02040503050406030204" pitchFamily="18" charset="0"/>
                            <a:ea typeface="+mn-ea"/>
                            <a:cs typeface="+mn-cs"/>
                          </a:rPr>
                          <m:t>𝐵𝑎𝑛𝑐𝑜</m:t>
                        </m:r>
                        <m:r>
                          <a:rPr lang="es-BO" sz="950" i="1">
                            <a:solidFill>
                              <a:schemeClr val="tx1"/>
                            </a:solidFill>
                            <a:effectLst/>
                            <a:latin typeface="Cambria Math" panose="02040503050406030204" pitchFamily="18" charset="0"/>
                            <a:ea typeface="+mn-ea"/>
                            <a:cs typeface="+mn-cs"/>
                          </a:rPr>
                          <m:t>  </m:t>
                        </m:r>
                        <m:r>
                          <a:rPr lang="es-BO" sz="950" b="0" i="1">
                            <a:solidFill>
                              <a:schemeClr val="tx1"/>
                            </a:solidFill>
                            <a:effectLst/>
                            <a:latin typeface="Cambria Math" panose="02040503050406030204" pitchFamily="18" charset="0"/>
                            <a:ea typeface="+mn-ea"/>
                            <a:cs typeface="+mn-cs"/>
                          </a:rPr>
                          <m:t>𝐸𝐹𝑉</m:t>
                        </m:r>
                      </m:sub>
                    </m:sSub>
                    <m:r>
                      <a:rPr lang="es-BO" sz="950" i="1">
                        <a:solidFill>
                          <a:schemeClr val="tx1"/>
                        </a:solidFill>
                        <a:effectLst/>
                        <a:latin typeface="Cambria Math" panose="02040503050406030204" pitchFamily="18" charset="0"/>
                        <a:ea typeface="+mn-ea"/>
                        <a:cs typeface="+mn-cs"/>
                      </a:rPr>
                      <m:t>=</m:t>
                    </m:r>
                    <m:f>
                      <m:fPr>
                        <m:ctrlPr>
                          <a:rPr lang="es-BO" sz="950" i="1">
                            <a:solidFill>
                              <a:schemeClr val="tx1"/>
                            </a:solidFill>
                            <a:effectLst/>
                            <a:latin typeface="Cambria Math" panose="02040503050406030204" pitchFamily="18" charset="0"/>
                            <a:ea typeface="+mn-ea"/>
                            <a:cs typeface="+mn-cs"/>
                          </a:rPr>
                        </m:ctrlPr>
                      </m:fPr>
                      <m:num>
                        <m:r>
                          <a:rPr lang="es-BO" sz="950" i="1">
                            <a:solidFill>
                              <a:schemeClr val="tx1"/>
                            </a:solidFill>
                            <a:effectLst/>
                            <a:latin typeface="Cambria Math" panose="02040503050406030204" pitchFamily="18" charset="0"/>
                            <a:ea typeface="+mn-ea"/>
                            <a:cs typeface="+mn-cs"/>
                          </a:rPr>
                          <m:t>𝑁𝑖𝑣</m:t>
                        </m:r>
                        <m:r>
                          <a:rPr lang="es-BO" sz="950" i="1">
                            <a:solidFill>
                              <a:schemeClr val="tx1"/>
                            </a:solidFill>
                            <a:effectLst/>
                            <a:latin typeface="Cambria Math" panose="02040503050406030204" pitchFamily="18" charset="0"/>
                            <a:ea typeface="+mn-ea"/>
                            <a:cs typeface="+mn-cs"/>
                          </a:rPr>
                          <m:t>. </m:t>
                        </m:r>
                        <m:r>
                          <a:rPr lang="es-BO" sz="950" i="1">
                            <a:solidFill>
                              <a:schemeClr val="tx1"/>
                            </a:solidFill>
                            <a:effectLst/>
                            <a:latin typeface="Cambria Math" panose="02040503050406030204" pitchFamily="18" charset="0"/>
                            <a:ea typeface="+mn-ea"/>
                            <a:cs typeface="+mn-cs"/>
                          </a:rPr>
                          <m:t>𝐶𝑎𝑟𝑡𝑒𝑟</m:t>
                        </m:r>
                        <m:sSub>
                          <m:sSubPr>
                            <m:ctrlPr>
                              <a:rPr lang="es-BO" sz="950" i="1">
                                <a:solidFill>
                                  <a:schemeClr val="tx1"/>
                                </a:solidFill>
                                <a:effectLst/>
                                <a:latin typeface="Cambria Math" panose="02040503050406030204" pitchFamily="18" charset="0"/>
                                <a:ea typeface="+mn-ea"/>
                                <a:cs typeface="+mn-cs"/>
                              </a:rPr>
                            </m:ctrlPr>
                          </m:sSubPr>
                          <m:e>
                            <m:r>
                              <a:rPr lang="es-BO" sz="950" i="1">
                                <a:solidFill>
                                  <a:schemeClr val="tx1"/>
                                </a:solidFill>
                                <a:effectLst/>
                                <a:latin typeface="Cambria Math" panose="02040503050406030204" pitchFamily="18" charset="0"/>
                                <a:ea typeface="+mn-ea"/>
                                <a:cs typeface="+mn-cs"/>
                              </a:rPr>
                              <m:t>𝑎</m:t>
                            </m:r>
                            <m:r>
                              <a:rPr lang="es-BO" sz="950" i="1">
                                <a:solidFill>
                                  <a:schemeClr val="tx1"/>
                                </a:solidFill>
                                <a:effectLst/>
                                <a:latin typeface="Cambria Math" panose="02040503050406030204" pitchFamily="18" charset="0"/>
                                <a:ea typeface="+mn-ea"/>
                                <a:cs typeface="+mn-cs"/>
                              </a:rPr>
                              <m:t> </m:t>
                            </m:r>
                            <m:r>
                              <a:rPr lang="es-BO" sz="950" i="1">
                                <a:solidFill>
                                  <a:schemeClr val="tx1"/>
                                </a:solidFill>
                                <a:effectLst/>
                                <a:latin typeface="Cambria Math" panose="02040503050406030204" pitchFamily="18" charset="0"/>
                                <a:ea typeface="+mn-ea"/>
                                <a:cs typeface="+mn-cs"/>
                              </a:rPr>
                              <m:t>𝑂𝑏𝑠𝑒𝑟𝑣𝑎𝑑𝑜</m:t>
                            </m:r>
                          </m:e>
                          <m:sub>
                            <m:r>
                              <a:rPr lang="es-BO" sz="950" i="1">
                                <a:solidFill>
                                  <a:schemeClr val="tx1"/>
                                </a:solidFill>
                                <a:effectLst/>
                                <a:latin typeface="Cambria Math" panose="02040503050406030204" pitchFamily="18" charset="0"/>
                                <a:ea typeface="+mn-ea"/>
                                <a:cs typeface="+mn-cs"/>
                              </a:rPr>
                              <m:t>𝐵𝑎𝑛𝑐𝑜</m:t>
                            </m:r>
                            <m:r>
                              <a:rPr lang="es-BO" sz="950" i="1">
                                <a:solidFill>
                                  <a:schemeClr val="tx1"/>
                                </a:solidFill>
                                <a:effectLst/>
                                <a:latin typeface="Cambria Math" panose="02040503050406030204" pitchFamily="18" charset="0"/>
                                <a:ea typeface="+mn-ea"/>
                                <a:cs typeface="+mn-cs"/>
                              </a:rPr>
                              <m:t> </m:t>
                            </m:r>
                            <m:r>
                              <a:rPr lang="es-BO" sz="950" b="0" i="1">
                                <a:solidFill>
                                  <a:schemeClr val="tx1"/>
                                </a:solidFill>
                                <a:effectLst/>
                                <a:latin typeface="Cambria Math" panose="02040503050406030204" pitchFamily="18" charset="0"/>
                                <a:ea typeface="+mn-ea"/>
                                <a:cs typeface="+mn-cs"/>
                              </a:rPr>
                              <m:t>𝐸𝐹𝑉</m:t>
                            </m:r>
                          </m:sub>
                        </m:sSub>
                      </m:num>
                      <m:den>
                        <m:r>
                          <a:rPr lang="es-BO" sz="950" i="1">
                            <a:solidFill>
                              <a:schemeClr val="tx1"/>
                            </a:solidFill>
                            <a:effectLst/>
                            <a:latin typeface="Cambria Math" panose="02040503050406030204" pitchFamily="18" charset="0"/>
                            <a:ea typeface="+mn-ea"/>
                            <a:cs typeface="+mn-cs"/>
                          </a:rPr>
                          <m:t>𝑁𝑖𝑣</m:t>
                        </m:r>
                        <m:r>
                          <a:rPr lang="es-BO" sz="950" i="1">
                            <a:solidFill>
                              <a:schemeClr val="tx1"/>
                            </a:solidFill>
                            <a:effectLst/>
                            <a:latin typeface="Cambria Math" panose="02040503050406030204" pitchFamily="18" charset="0"/>
                            <a:ea typeface="+mn-ea"/>
                            <a:cs typeface="+mn-cs"/>
                          </a:rPr>
                          <m:t>. </m:t>
                        </m:r>
                        <m:r>
                          <a:rPr lang="es-BO" sz="950" i="1">
                            <a:solidFill>
                              <a:schemeClr val="tx1"/>
                            </a:solidFill>
                            <a:effectLst/>
                            <a:latin typeface="Cambria Math" panose="02040503050406030204" pitchFamily="18" charset="0"/>
                            <a:ea typeface="+mn-ea"/>
                            <a:cs typeface="+mn-cs"/>
                          </a:rPr>
                          <m:t>𝐶𝑎𝑟𝑡𝑒𝑟</m:t>
                        </m:r>
                        <m:sSub>
                          <m:sSubPr>
                            <m:ctrlPr>
                              <a:rPr lang="es-BO" sz="950" i="1">
                                <a:solidFill>
                                  <a:schemeClr val="tx1"/>
                                </a:solidFill>
                                <a:effectLst/>
                                <a:latin typeface="Cambria Math" panose="02040503050406030204" pitchFamily="18" charset="0"/>
                                <a:ea typeface="+mn-ea"/>
                                <a:cs typeface="+mn-cs"/>
                              </a:rPr>
                            </m:ctrlPr>
                          </m:sSubPr>
                          <m:e>
                            <m:r>
                              <a:rPr lang="es-BO" sz="950" i="1">
                                <a:solidFill>
                                  <a:schemeClr val="tx1"/>
                                </a:solidFill>
                                <a:effectLst/>
                                <a:latin typeface="Cambria Math" panose="02040503050406030204" pitchFamily="18" charset="0"/>
                                <a:ea typeface="+mn-ea"/>
                                <a:cs typeface="+mn-cs"/>
                              </a:rPr>
                              <m:t>𝑎</m:t>
                            </m:r>
                            <m:r>
                              <a:rPr lang="es-BO" sz="950" i="1">
                                <a:solidFill>
                                  <a:schemeClr val="tx1"/>
                                </a:solidFill>
                                <a:effectLst/>
                                <a:latin typeface="Cambria Math" panose="02040503050406030204" pitchFamily="18" charset="0"/>
                                <a:ea typeface="+mn-ea"/>
                                <a:cs typeface="+mn-cs"/>
                              </a:rPr>
                              <m:t> </m:t>
                            </m:r>
                            <m:r>
                              <a:rPr lang="es-BO" sz="950" i="1">
                                <a:solidFill>
                                  <a:schemeClr val="tx1"/>
                                </a:solidFill>
                                <a:effectLst/>
                                <a:latin typeface="Cambria Math" panose="02040503050406030204" pitchFamily="18" charset="0"/>
                                <a:ea typeface="+mn-ea"/>
                                <a:cs typeface="+mn-cs"/>
                              </a:rPr>
                              <m:t>𝑀𝑒𝑡𝑎</m:t>
                            </m:r>
                          </m:e>
                          <m:sub>
                            <m:r>
                              <a:rPr lang="es-BO" sz="950" i="1">
                                <a:solidFill>
                                  <a:schemeClr val="tx1"/>
                                </a:solidFill>
                                <a:effectLst/>
                                <a:latin typeface="Cambria Math" panose="02040503050406030204" pitchFamily="18" charset="0"/>
                                <a:ea typeface="+mn-ea"/>
                                <a:cs typeface="+mn-cs"/>
                              </a:rPr>
                              <m:t>𝐵𝑎𝑛𝑐𝑜</m:t>
                            </m:r>
                            <m:r>
                              <a:rPr lang="es-BO" sz="950" i="1">
                                <a:solidFill>
                                  <a:schemeClr val="tx1"/>
                                </a:solidFill>
                                <a:effectLst/>
                                <a:latin typeface="Cambria Math" panose="02040503050406030204" pitchFamily="18" charset="0"/>
                                <a:ea typeface="+mn-ea"/>
                                <a:cs typeface="+mn-cs"/>
                              </a:rPr>
                              <m:t> </m:t>
                            </m:r>
                            <m:r>
                              <a:rPr lang="es-BO" sz="950" b="0" i="1">
                                <a:solidFill>
                                  <a:schemeClr val="tx1"/>
                                </a:solidFill>
                                <a:effectLst/>
                                <a:latin typeface="Cambria Math" panose="02040503050406030204" pitchFamily="18" charset="0"/>
                                <a:ea typeface="+mn-ea"/>
                                <a:cs typeface="+mn-cs"/>
                              </a:rPr>
                              <m:t>𝐸𝐹𝑉</m:t>
                            </m:r>
                          </m:sub>
                        </m:sSub>
                      </m:den>
                    </m:f>
                  </m:oMath>
                </m:oMathPara>
              </a14:m>
              <a:endParaRPr lang="es-BO" sz="950"/>
            </a:p>
          </xdr:txBody>
        </xdr:sp>
      </mc:Choice>
      <mc:Fallback xmlns="">
        <xdr:sp macro="" textlink="">
          <xdr:nvSpPr>
            <xdr:cNvPr id="89" name="CuadroTexto 88">
              <a:extLst>
                <a:ext uri="{FF2B5EF4-FFF2-40B4-BE49-F238E27FC236}">
                  <a16:creationId xmlns:a16="http://schemas.microsoft.com/office/drawing/2014/main" xmlns="" xmlns:a14="http://schemas.microsoft.com/office/drawing/2010/main" id="{00000000-0008-0000-0100-000009000000}"/>
                </a:ext>
              </a:extLst>
            </xdr:cNvPr>
            <xdr:cNvSpPr txBox="1"/>
          </xdr:nvSpPr>
          <xdr:spPr>
            <a:xfrm>
              <a:off x="31432500" y="27336750"/>
              <a:ext cx="3017877" cy="32146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noAutofit/>
            </a:bodyPr>
            <a:lstStyle/>
            <a:p>
              <a:pPr/>
              <a:r>
                <a:rPr lang="es-BO" sz="950" b="0" i="0">
                  <a:solidFill>
                    <a:schemeClr val="tx1"/>
                  </a:solidFill>
                  <a:effectLst/>
                  <a:latin typeface="Cambria Math" panose="02040503050406030204" pitchFamily="18" charset="0"/>
                  <a:ea typeface="+mn-ea"/>
                  <a:cs typeface="+mn-cs"/>
                </a:rPr>
                <a:t>𝐼𝑛</a:t>
              </a:r>
              <a:r>
                <a:rPr lang="es-BO" sz="950" i="0">
                  <a:solidFill>
                    <a:schemeClr val="tx1"/>
                  </a:solidFill>
                  <a:effectLst/>
                  <a:latin typeface="Cambria Math" panose="02040503050406030204" pitchFamily="18" charset="0"/>
                  <a:ea typeface="+mn-ea"/>
                  <a:cs typeface="+mn-cs"/>
                </a:rPr>
                <a:t>𝑑𝑖𝑐𝑎𝑑𝑜𝑟_(𝐵𝑎𝑛𝑐𝑜  </a:t>
              </a:r>
              <a:r>
                <a:rPr lang="es-BO" sz="950" b="0" i="0">
                  <a:solidFill>
                    <a:schemeClr val="tx1"/>
                  </a:solidFill>
                  <a:effectLst/>
                  <a:latin typeface="Cambria Math" panose="02040503050406030204" pitchFamily="18" charset="0"/>
                  <a:ea typeface="+mn-ea"/>
                  <a:cs typeface="+mn-cs"/>
                </a:rPr>
                <a:t>𝐸𝐹𝑉)</a:t>
              </a:r>
              <a:r>
                <a:rPr lang="es-BO" sz="950" i="0">
                  <a:solidFill>
                    <a:schemeClr val="tx1"/>
                  </a:solidFill>
                  <a:effectLst/>
                  <a:latin typeface="Cambria Math" panose="02040503050406030204" pitchFamily="18" charset="0"/>
                  <a:ea typeface="+mn-ea"/>
                  <a:cs typeface="+mn-cs"/>
                </a:rPr>
                <a:t>=(𝑁𝑖𝑣. 𝐶𝑎𝑟𝑡𝑒𝑟〖𝑎 𝑂𝑏𝑠𝑒𝑟𝑣𝑎𝑑𝑜〗_(𝐵𝑎𝑛𝑐𝑜 </a:t>
              </a:r>
              <a:r>
                <a:rPr lang="es-BO" sz="950" b="0" i="0">
                  <a:solidFill>
                    <a:schemeClr val="tx1"/>
                  </a:solidFill>
                  <a:effectLst/>
                  <a:latin typeface="Cambria Math" panose="02040503050406030204" pitchFamily="18" charset="0"/>
                  <a:ea typeface="+mn-ea"/>
                  <a:cs typeface="+mn-cs"/>
                </a:rPr>
                <a:t>𝐸𝐹𝑉))/(</a:t>
              </a:r>
              <a:r>
                <a:rPr lang="es-BO" sz="950" i="0">
                  <a:solidFill>
                    <a:schemeClr val="tx1"/>
                  </a:solidFill>
                  <a:effectLst/>
                  <a:latin typeface="Cambria Math" panose="02040503050406030204" pitchFamily="18" charset="0"/>
                  <a:ea typeface="+mn-ea"/>
                  <a:cs typeface="+mn-cs"/>
                </a:rPr>
                <a:t>𝑁𝑖𝑣. 𝐶𝑎𝑟𝑡𝑒𝑟〖𝑎 𝑀𝑒𝑡𝑎〗_(𝐵𝑎𝑛𝑐𝑜 </a:t>
              </a:r>
              <a:r>
                <a:rPr lang="es-BO" sz="950" b="0" i="0">
                  <a:solidFill>
                    <a:schemeClr val="tx1"/>
                  </a:solidFill>
                  <a:effectLst/>
                  <a:latin typeface="Cambria Math" panose="02040503050406030204" pitchFamily="18" charset="0"/>
                  <a:ea typeface="+mn-ea"/>
                  <a:cs typeface="+mn-cs"/>
                </a:rPr>
                <a:t>𝐸𝐹𝑉) )</a:t>
              </a:r>
              <a:endParaRPr lang="es-BO" sz="950"/>
            </a:p>
          </xdr:txBody>
        </xdr:sp>
      </mc:Fallback>
    </mc:AlternateContent>
    <xdr:clientData/>
  </xdr:oneCellAnchor>
  <xdr:oneCellAnchor>
    <xdr:from>
      <xdr:col>42</xdr:col>
      <xdr:colOff>500062</xdr:colOff>
      <xdr:row>163</xdr:row>
      <xdr:rowOff>1023938</xdr:rowOff>
    </xdr:from>
    <xdr:ext cx="3341688" cy="263598"/>
    <mc:AlternateContent xmlns:mc="http://schemas.openxmlformats.org/markup-compatibility/2006" xmlns:a14="http://schemas.microsoft.com/office/drawing/2010/main">
      <mc:Choice Requires="a14">
        <xdr:sp macro="" textlink="">
          <xdr:nvSpPr>
            <xdr:cNvPr id="90" name="CuadroTexto 89">
              <a:extLst>
                <a:ext uri="{FF2B5EF4-FFF2-40B4-BE49-F238E27FC236}">
                  <a16:creationId xmlns:a16="http://schemas.microsoft.com/office/drawing/2014/main" id="{00000000-0008-0000-0400-00005A000000}"/>
                </a:ext>
              </a:extLst>
            </xdr:cNvPr>
            <xdr:cNvSpPr txBox="1"/>
          </xdr:nvSpPr>
          <xdr:spPr>
            <a:xfrm>
              <a:off x="31742062" y="31703963"/>
              <a:ext cx="3341688" cy="26359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spAutoFit/>
            </a:bodyPr>
            <a:lstStyle/>
            <a:p>
              <a14:m>
                <m:oMath xmlns:m="http://schemas.openxmlformats.org/officeDocument/2006/math">
                  <m:r>
                    <a:rPr lang="es-BO" sz="1200" b="0" i="1">
                      <a:solidFill>
                        <a:schemeClr val="tx1"/>
                      </a:solidFill>
                      <a:effectLst/>
                      <a:latin typeface="Cambria Math" panose="02040503050406030204" pitchFamily="18" charset="0"/>
                      <a:ea typeface="+mn-ea"/>
                      <a:cs typeface="+mn-cs"/>
                    </a:rPr>
                    <m:t>𝐶𝑜𝑏𝑒𝑟𝑡𝑢𝑟𝑎</m:t>
                  </m:r>
                </m:oMath>
              </a14:m>
              <a:r>
                <a:rPr lang="es-BO" sz="1200"/>
                <a:t>=</a:t>
              </a:r>
              <a14:m>
                <m:oMath xmlns:m="http://schemas.openxmlformats.org/officeDocument/2006/math">
                  <m:f>
                    <m:fPr>
                      <m:ctrlPr>
                        <a:rPr lang="es-BO" sz="1200" i="1">
                          <a:latin typeface="Cambria Math" panose="02040503050406030204" pitchFamily="18" charset="0"/>
                        </a:rPr>
                      </m:ctrlPr>
                    </m:fPr>
                    <m:num>
                      <m:r>
                        <a:rPr lang="es-BO" sz="1100" i="1">
                          <a:solidFill>
                            <a:schemeClr val="tx1"/>
                          </a:solidFill>
                          <a:effectLst/>
                          <a:latin typeface="Cambria Math" panose="02040503050406030204" pitchFamily="18" charset="0"/>
                          <a:ea typeface="+mn-ea"/>
                          <a:cs typeface="+mn-cs"/>
                        </a:rPr>
                        <m:t>𝑁</m:t>
                      </m:r>
                      <m:r>
                        <a:rPr lang="es-BO" sz="1100" i="1">
                          <a:solidFill>
                            <a:schemeClr val="tx1"/>
                          </a:solidFill>
                          <a:effectLst/>
                          <a:latin typeface="Cambria Math" panose="02040503050406030204" pitchFamily="18" charset="0"/>
                          <a:ea typeface="+mn-ea"/>
                          <a:cs typeface="+mn-cs"/>
                        </a:rPr>
                        <m:t>ú</m:t>
                      </m:r>
                      <m:r>
                        <a:rPr lang="es-BO" sz="1100" i="1">
                          <a:solidFill>
                            <a:schemeClr val="tx1"/>
                          </a:solidFill>
                          <a:effectLst/>
                          <a:latin typeface="Cambria Math" panose="02040503050406030204" pitchFamily="18" charset="0"/>
                          <a:ea typeface="+mn-ea"/>
                          <a:cs typeface="+mn-cs"/>
                        </a:rPr>
                        <m:t>𝑚𝑒𝑟𝑜</m:t>
                      </m:r>
                      <m:r>
                        <a:rPr lang="es-BO" sz="1100" i="1">
                          <a:solidFill>
                            <a:schemeClr val="tx1"/>
                          </a:solidFill>
                          <a:effectLst/>
                          <a:latin typeface="Cambria Math" panose="02040503050406030204" pitchFamily="18" charset="0"/>
                          <a:ea typeface="+mn-ea"/>
                          <a:cs typeface="+mn-cs"/>
                        </a:rPr>
                        <m:t> </m:t>
                      </m:r>
                      <m:r>
                        <a:rPr lang="es-BO" sz="1100" i="1">
                          <a:solidFill>
                            <a:schemeClr val="tx1"/>
                          </a:solidFill>
                          <a:effectLst/>
                          <a:latin typeface="Cambria Math" panose="02040503050406030204" pitchFamily="18" charset="0"/>
                          <a:ea typeface="+mn-ea"/>
                          <a:cs typeface="+mn-cs"/>
                        </a:rPr>
                        <m:t>𝑑𝑒</m:t>
                      </m:r>
                      <m:r>
                        <a:rPr lang="es-BO" sz="1100" i="1">
                          <a:solidFill>
                            <a:schemeClr val="tx1"/>
                          </a:solidFill>
                          <a:effectLst/>
                          <a:latin typeface="Cambria Math" panose="02040503050406030204" pitchFamily="18" charset="0"/>
                          <a:ea typeface="+mn-ea"/>
                          <a:cs typeface="+mn-cs"/>
                        </a:rPr>
                        <m:t> </m:t>
                      </m:r>
                      <m:r>
                        <a:rPr lang="es-BO" sz="1100" i="1">
                          <a:solidFill>
                            <a:schemeClr val="tx1"/>
                          </a:solidFill>
                          <a:effectLst/>
                          <a:latin typeface="Cambria Math" panose="02040503050406030204" pitchFamily="18" charset="0"/>
                          <a:ea typeface="+mn-ea"/>
                          <a:cs typeface="+mn-cs"/>
                        </a:rPr>
                        <m:t>𝑀𝑢𝑛𝑖𝑐𝑖𝑝𝑖𝑜𝑠</m:t>
                      </m:r>
                      <m:r>
                        <a:rPr lang="es-BO" sz="1100" i="1">
                          <a:solidFill>
                            <a:schemeClr val="tx1"/>
                          </a:solidFill>
                          <a:effectLst/>
                          <a:latin typeface="Cambria Math" panose="02040503050406030204" pitchFamily="18" charset="0"/>
                          <a:ea typeface="+mn-ea"/>
                          <a:cs typeface="+mn-cs"/>
                        </a:rPr>
                        <m:t> </m:t>
                      </m:r>
                      <m:r>
                        <a:rPr lang="es-BO" sz="1100" i="1">
                          <a:solidFill>
                            <a:schemeClr val="tx1"/>
                          </a:solidFill>
                          <a:effectLst/>
                          <a:latin typeface="Cambria Math" panose="02040503050406030204" pitchFamily="18" charset="0"/>
                          <a:ea typeface="+mn-ea"/>
                          <a:cs typeface="+mn-cs"/>
                        </a:rPr>
                        <m:t>𝑐𝑜𝑛</m:t>
                      </m:r>
                      <m:r>
                        <a:rPr lang="es-BO" sz="1100" i="1">
                          <a:solidFill>
                            <a:schemeClr val="tx1"/>
                          </a:solidFill>
                          <a:effectLst/>
                          <a:latin typeface="Cambria Math" panose="02040503050406030204" pitchFamily="18" charset="0"/>
                          <a:ea typeface="+mn-ea"/>
                          <a:cs typeface="+mn-cs"/>
                        </a:rPr>
                        <m:t> </m:t>
                      </m:r>
                      <m:r>
                        <a:rPr lang="es-BO" sz="1100" i="1">
                          <a:solidFill>
                            <a:schemeClr val="tx1"/>
                          </a:solidFill>
                          <a:effectLst/>
                          <a:latin typeface="Cambria Math" panose="02040503050406030204" pitchFamily="18" charset="0"/>
                          <a:ea typeface="+mn-ea"/>
                          <a:cs typeface="+mn-cs"/>
                        </a:rPr>
                        <m:t>𝐶𝑜𝑏𝑒𝑟𝑡𝑢𝑟𝑎</m:t>
                      </m:r>
                      <m:r>
                        <a:rPr lang="es-BO" sz="1100" b="0" i="1">
                          <a:solidFill>
                            <a:schemeClr val="tx1"/>
                          </a:solidFill>
                          <a:effectLst/>
                          <a:latin typeface="Cambria Math" panose="02040503050406030204" pitchFamily="18" charset="0"/>
                          <a:ea typeface="+mn-ea"/>
                          <a:cs typeface="+mn-cs"/>
                        </a:rPr>
                        <m:t> </m:t>
                      </m:r>
                    </m:num>
                    <m:den>
                      <m:r>
                        <a:rPr lang="es-BO" sz="1200" b="0" i="1">
                          <a:solidFill>
                            <a:schemeClr val="tx1"/>
                          </a:solidFill>
                          <a:effectLst/>
                          <a:latin typeface="Cambria Math" panose="02040503050406030204" pitchFamily="18" charset="0"/>
                          <a:ea typeface="+mn-ea"/>
                          <a:cs typeface="+mn-cs"/>
                        </a:rPr>
                        <m:t>339</m:t>
                      </m:r>
                    </m:den>
                  </m:f>
                  <m:r>
                    <a:rPr lang="es-BO" sz="1200" b="0" i="1">
                      <a:latin typeface="Cambria Math" panose="02040503050406030204" pitchFamily="18" charset="0"/>
                    </a:rPr>
                    <m:t> </m:t>
                  </m:r>
                  <m:r>
                    <a:rPr lang="es-BO" sz="1200" b="0" i="1">
                      <a:latin typeface="Cambria Math" panose="02040503050406030204" pitchFamily="18" charset="0"/>
                    </a:rPr>
                    <m:t>𝑥</m:t>
                  </m:r>
                  <m:r>
                    <a:rPr lang="es-BO" sz="1200" b="0" i="1">
                      <a:latin typeface="Cambria Math" panose="02040503050406030204" pitchFamily="18" charset="0"/>
                    </a:rPr>
                    <m:t> 100</m:t>
                  </m:r>
                </m:oMath>
              </a14:m>
              <a:endParaRPr lang="es-BO" sz="1200"/>
            </a:p>
          </xdr:txBody>
        </xdr:sp>
      </mc:Choice>
      <mc:Fallback xmlns="">
        <xdr:sp macro="" textlink="">
          <xdr:nvSpPr>
            <xdr:cNvPr id="90" name="CuadroTexto 89">
              <a:extLst>
                <a:ext uri="{FF2B5EF4-FFF2-40B4-BE49-F238E27FC236}">
                  <a16:creationId xmlns:a16="http://schemas.microsoft.com/office/drawing/2014/main" xmlns="" xmlns:a14="http://schemas.microsoft.com/office/drawing/2010/main" id="{00000000-0008-0000-0100-00000A000000}"/>
                </a:ext>
              </a:extLst>
            </xdr:cNvPr>
            <xdr:cNvSpPr txBox="1"/>
          </xdr:nvSpPr>
          <xdr:spPr>
            <a:xfrm>
              <a:off x="31742062" y="31703963"/>
              <a:ext cx="3341688" cy="26359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spAutoFit/>
            </a:bodyPr>
            <a:lstStyle/>
            <a:p>
              <a:r>
                <a:rPr lang="es-BO" sz="1200" b="0" i="0">
                  <a:solidFill>
                    <a:schemeClr val="tx1"/>
                  </a:solidFill>
                  <a:effectLst/>
                  <a:latin typeface="Cambria Math" panose="02040503050406030204" pitchFamily="18" charset="0"/>
                  <a:ea typeface="+mn-ea"/>
                  <a:cs typeface="+mn-cs"/>
                </a:rPr>
                <a:t>𝐶𝑜𝑏𝑒𝑟𝑡𝑢𝑟𝑎</a:t>
              </a:r>
              <a:r>
                <a:rPr lang="es-BO" sz="1200"/>
                <a:t>=</a:t>
              </a:r>
              <a:r>
                <a:rPr lang="es-BO" sz="1200" i="0">
                  <a:latin typeface="Cambria Math" panose="02040503050406030204" pitchFamily="18" charset="0"/>
                </a:rPr>
                <a:t>(</a:t>
              </a:r>
              <a:r>
                <a:rPr lang="es-BO" sz="1100" i="0">
                  <a:solidFill>
                    <a:schemeClr val="tx1"/>
                  </a:solidFill>
                  <a:effectLst/>
                  <a:latin typeface="Cambria Math" panose="02040503050406030204" pitchFamily="18" charset="0"/>
                  <a:ea typeface="+mn-ea"/>
                  <a:cs typeface="+mn-cs"/>
                </a:rPr>
                <a:t>𝑁ú𝑚𝑒𝑟𝑜 𝑑𝑒 𝑀𝑢𝑛𝑖𝑐𝑖𝑝𝑖𝑜𝑠 𝑐𝑜𝑛 𝐶𝑜𝑏𝑒𝑟𝑡𝑢𝑟𝑎</a:t>
              </a:r>
              <a:r>
                <a:rPr lang="es-BO" sz="1100" b="0" i="0">
                  <a:solidFill>
                    <a:schemeClr val="tx1"/>
                  </a:solidFill>
                  <a:effectLst/>
                  <a:latin typeface="Cambria Math" panose="02040503050406030204" pitchFamily="18" charset="0"/>
                  <a:ea typeface="+mn-ea"/>
                  <a:cs typeface="+mn-cs"/>
                </a:rPr>
                <a:t> </a:t>
              </a:r>
              <a:r>
                <a:rPr lang="es-BO" sz="1200" b="0" i="0">
                  <a:solidFill>
                    <a:schemeClr val="tx1"/>
                  </a:solidFill>
                  <a:effectLst/>
                  <a:latin typeface="Cambria Math" panose="02040503050406030204" pitchFamily="18" charset="0"/>
                  <a:ea typeface="+mn-ea"/>
                  <a:cs typeface="+mn-cs"/>
                </a:rPr>
                <a:t>)/339 </a:t>
              </a:r>
              <a:r>
                <a:rPr lang="es-BO" sz="1200" b="0" i="0">
                  <a:latin typeface="Cambria Math" panose="02040503050406030204" pitchFamily="18" charset="0"/>
                </a:rPr>
                <a:t> 𝑥 100</a:t>
              </a:r>
              <a:endParaRPr lang="es-BO" sz="1200"/>
            </a:p>
          </xdr:txBody>
        </xdr:sp>
      </mc:Fallback>
    </mc:AlternateContent>
    <xdr:clientData/>
  </xdr:oneCellAnchor>
  <xdr:oneCellAnchor>
    <xdr:from>
      <xdr:col>42</xdr:col>
      <xdr:colOff>575468</xdr:colOff>
      <xdr:row>163</xdr:row>
      <xdr:rowOff>1861342</xdr:rowOff>
    </xdr:from>
    <xdr:ext cx="3017877" cy="428625"/>
    <mc:AlternateContent xmlns:mc="http://schemas.openxmlformats.org/markup-compatibility/2006" xmlns:a14="http://schemas.microsoft.com/office/drawing/2010/main">
      <mc:Choice Requires="a14">
        <xdr:sp macro="" textlink="">
          <xdr:nvSpPr>
            <xdr:cNvPr id="91" name="CuadroTexto 90">
              <a:extLst>
                <a:ext uri="{FF2B5EF4-FFF2-40B4-BE49-F238E27FC236}">
                  <a16:creationId xmlns:a16="http://schemas.microsoft.com/office/drawing/2014/main" id="{00000000-0008-0000-0400-00005B000000}"/>
                </a:ext>
              </a:extLst>
            </xdr:cNvPr>
            <xdr:cNvSpPr txBox="1"/>
          </xdr:nvSpPr>
          <xdr:spPr>
            <a:xfrm>
              <a:off x="31817468" y="32541367"/>
              <a:ext cx="3017877" cy="42862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noAutofit/>
            </a:bodyPr>
            <a:lstStyle/>
            <a:p>
              <a:pPr/>
              <a14:m>
                <m:oMathPara xmlns:m="http://schemas.openxmlformats.org/officeDocument/2006/math">
                  <m:oMathParaPr>
                    <m:jc m:val="centerGroup"/>
                  </m:oMathParaPr>
                  <m:oMath xmlns:m="http://schemas.openxmlformats.org/officeDocument/2006/math">
                    <m:r>
                      <a:rPr lang="es-BO" sz="1100" i="1">
                        <a:solidFill>
                          <a:schemeClr val="tx1"/>
                        </a:solidFill>
                        <a:effectLst/>
                        <a:latin typeface="Cambria Math" panose="02040503050406030204" pitchFamily="18" charset="0"/>
                        <a:ea typeface="+mn-ea"/>
                        <a:cs typeface="+mn-cs"/>
                      </a:rPr>
                      <m:t>𝐼𝑛𝑑𝑖𝑐𝑎𝑑𝑜</m:t>
                    </m:r>
                    <m:sSub>
                      <m:sSubPr>
                        <m:ctrlPr>
                          <a:rPr lang="es-BO" sz="1100" i="1">
                            <a:solidFill>
                              <a:schemeClr val="tx1"/>
                            </a:solidFill>
                            <a:effectLst/>
                            <a:latin typeface="Cambria Math" panose="02040503050406030204" pitchFamily="18" charset="0"/>
                            <a:ea typeface="+mn-ea"/>
                            <a:cs typeface="+mn-cs"/>
                          </a:rPr>
                        </m:ctrlPr>
                      </m:sSubPr>
                      <m:e>
                        <m:r>
                          <a:rPr lang="es-BO" sz="1100" i="1">
                            <a:solidFill>
                              <a:schemeClr val="tx1"/>
                            </a:solidFill>
                            <a:effectLst/>
                            <a:latin typeface="Cambria Math" panose="02040503050406030204" pitchFamily="18" charset="0"/>
                            <a:ea typeface="+mn-ea"/>
                            <a:cs typeface="+mn-cs"/>
                          </a:rPr>
                          <m:t>𝑟</m:t>
                        </m:r>
                      </m:e>
                      <m:sub>
                        <m:r>
                          <a:rPr lang="es-BO" sz="1100" i="1">
                            <a:solidFill>
                              <a:schemeClr val="tx1"/>
                            </a:solidFill>
                            <a:effectLst/>
                            <a:latin typeface="Cambria Math" panose="02040503050406030204" pitchFamily="18" charset="0"/>
                            <a:ea typeface="+mn-ea"/>
                            <a:cs typeface="+mn-cs"/>
                          </a:rPr>
                          <m:t>𝐶𝑜𝑏𝑒𝑟𝑡𝑢𝑟𝑎</m:t>
                        </m:r>
                      </m:sub>
                    </m:sSub>
                    <m:r>
                      <a:rPr lang="es-BO" sz="950" i="1">
                        <a:solidFill>
                          <a:schemeClr val="tx1"/>
                        </a:solidFill>
                        <a:effectLst/>
                        <a:latin typeface="Cambria Math" panose="02040503050406030204" pitchFamily="18" charset="0"/>
                        <a:ea typeface="+mn-ea"/>
                        <a:cs typeface="+mn-cs"/>
                      </a:rPr>
                      <m:t>=</m:t>
                    </m:r>
                    <m:f>
                      <m:fPr>
                        <m:ctrlPr>
                          <a:rPr lang="es-BO" sz="950" i="1">
                            <a:solidFill>
                              <a:schemeClr val="tx1"/>
                            </a:solidFill>
                            <a:effectLst/>
                            <a:latin typeface="Cambria Math" panose="02040503050406030204" pitchFamily="18" charset="0"/>
                            <a:ea typeface="+mn-ea"/>
                            <a:cs typeface="+mn-cs"/>
                          </a:rPr>
                        </m:ctrlPr>
                      </m:fPr>
                      <m:num>
                        <m:r>
                          <a:rPr lang="es-BO" sz="1100" i="1">
                            <a:solidFill>
                              <a:schemeClr val="tx1"/>
                            </a:solidFill>
                            <a:effectLst/>
                            <a:latin typeface="Cambria Math" panose="02040503050406030204" pitchFamily="18" charset="0"/>
                            <a:ea typeface="+mn-ea"/>
                            <a:cs typeface="+mn-cs"/>
                          </a:rPr>
                          <m:t>𝐶𝑜𝑏𝑒𝑟𝑡𝑢𝑟</m:t>
                        </m:r>
                        <m:sSub>
                          <m:sSubPr>
                            <m:ctrlPr>
                              <a:rPr lang="es-BO" sz="1100" i="1">
                                <a:solidFill>
                                  <a:schemeClr val="tx1"/>
                                </a:solidFill>
                                <a:effectLst/>
                                <a:latin typeface="Cambria Math" panose="02040503050406030204" pitchFamily="18" charset="0"/>
                                <a:ea typeface="+mn-ea"/>
                                <a:cs typeface="+mn-cs"/>
                              </a:rPr>
                            </m:ctrlPr>
                          </m:sSubPr>
                          <m:e>
                            <m:r>
                              <a:rPr lang="es-BO" sz="1100" i="1">
                                <a:solidFill>
                                  <a:schemeClr val="tx1"/>
                                </a:solidFill>
                                <a:effectLst/>
                                <a:latin typeface="Cambria Math" panose="02040503050406030204" pitchFamily="18" charset="0"/>
                                <a:ea typeface="+mn-ea"/>
                                <a:cs typeface="+mn-cs"/>
                              </a:rPr>
                              <m:t>𝑎</m:t>
                            </m:r>
                          </m:e>
                          <m:sub>
                            <m:r>
                              <a:rPr lang="es-BO" sz="1100" i="1">
                                <a:solidFill>
                                  <a:schemeClr val="tx1"/>
                                </a:solidFill>
                                <a:effectLst/>
                                <a:latin typeface="Cambria Math" panose="02040503050406030204" pitchFamily="18" charset="0"/>
                                <a:ea typeface="+mn-ea"/>
                                <a:cs typeface="+mn-cs"/>
                              </a:rPr>
                              <m:t>𝑂𝑏𝑠𝑒𝑟𝑣𝑎𝑑𝑎</m:t>
                            </m:r>
                          </m:sub>
                        </m:sSub>
                      </m:num>
                      <m:den>
                        <m:r>
                          <a:rPr lang="es-BO" sz="1100" i="1">
                            <a:solidFill>
                              <a:schemeClr val="tx1"/>
                            </a:solidFill>
                            <a:effectLst/>
                            <a:latin typeface="Cambria Math" panose="02040503050406030204" pitchFamily="18" charset="0"/>
                            <a:ea typeface="+mn-ea"/>
                            <a:cs typeface="+mn-cs"/>
                          </a:rPr>
                          <m:t>𝐶𝑜𝑏𝑒𝑟𝑡𝑢𝑟</m:t>
                        </m:r>
                        <m:sSub>
                          <m:sSubPr>
                            <m:ctrlPr>
                              <a:rPr lang="es-BO" sz="1100" i="1">
                                <a:solidFill>
                                  <a:schemeClr val="tx1"/>
                                </a:solidFill>
                                <a:effectLst/>
                                <a:latin typeface="Cambria Math" panose="02040503050406030204" pitchFamily="18" charset="0"/>
                                <a:ea typeface="+mn-ea"/>
                                <a:cs typeface="+mn-cs"/>
                              </a:rPr>
                            </m:ctrlPr>
                          </m:sSubPr>
                          <m:e>
                            <m:r>
                              <a:rPr lang="es-BO" sz="1100" i="1">
                                <a:solidFill>
                                  <a:schemeClr val="tx1"/>
                                </a:solidFill>
                                <a:effectLst/>
                                <a:latin typeface="Cambria Math" panose="02040503050406030204" pitchFamily="18" charset="0"/>
                                <a:ea typeface="+mn-ea"/>
                                <a:cs typeface="+mn-cs"/>
                              </a:rPr>
                              <m:t>𝑎</m:t>
                            </m:r>
                          </m:e>
                          <m:sub>
                            <m:r>
                              <a:rPr lang="es-BO" sz="1100" i="1">
                                <a:solidFill>
                                  <a:schemeClr val="tx1"/>
                                </a:solidFill>
                                <a:effectLst/>
                                <a:latin typeface="Cambria Math" panose="02040503050406030204" pitchFamily="18" charset="0"/>
                                <a:ea typeface="+mn-ea"/>
                                <a:cs typeface="+mn-cs"/>
                              </a:rPr>
                              <m:t>𝑀𝑒𝑡𝑎</m:t>
                            </m:r>
                          </m:sub>
                        </m:sSub>
                        <m:r>
                          <a:rPr lang="es-BO" sz="1100" i="1">
                            <a:solidFill>
                              <a:schemeClr val="tx1"/>
                            </a:solidFill>
                            <a:effectLst/>
                            <a:latin typeface="Cambria Math" panose="02040503050406030204" pitchFamily="18" charset="0"/>
                            <a:ea typeface="+mn-ea"/>
                            <a:cs typeface="+mn-cs"/>
                          </a:rPr>
                          <m:t> </m:t>
                        </m:r>
                      </m:den>
                    </m:f>
                  </m:oMath>
                </m:oMathPara>
              </a14:m>
              <a:endParaRPr lang="es-BO" sz="950"/>
            </a:p>
          </xdr:txBody>
        </xdr:sp>
      </mc:Choice>
      <mc:Fallback xmlns="">
        <xdr:sp macro="" textlink="">
          <xdr:nvSpPr>
            <xdr:cNvPr id="91" name="CuadroTexto 90">
              <a:extLst>
                <a:ext uri="{FF2B5EF4-FFF2-40B4-BE49-F238E27FC236}">
                  <a16:creationId xmlns:a16="http://schemas.microsoft.com/office/drawing/2014/main" xmlns="" xmlns:a14="http://schemas.microsoft.com/office/drawing/2010/main" id="{00000000-0008-0000-0100-00000B000000}"/>
                </a:ext>
              </a:extLst>
            </xdr:cNvPr>
            <xdr:cNvSpPr txBox="1"/>
          </xdr:nvSpPr>
          <xdr:spPr>
            <a:xfrm>
              <a:off x="31817468" y="32541367"/>
              <a:ext cx="3017877" cy="42862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noAutofit/>
            </a:bodyPr>
            <a:lstStyle/>
            <a:p>
              <a:pPr/>
              <a:r>
                <a:rPr lang="es-BO" sz="1100" i="0">
                  <a:solidFill>
                    <a:schemeClr val="tx1"/>
                  </a:solidFill>
                  <a:effectLst/>
                  <a:latin typeface="Cambria Math" panose="02040503050406030204" pitchFamily="18" charset="0"/>
                  <a:ea typeface="+mn-ea"/>
                  <a:cs typeface="+mn-cs"/>
                </a:rPr>
                <a:t>𝐼𝑛𝑑𝑖𝑐𝑎𝑑𝑜𝑟_𝐶𝑜𝑏𝑒𝑟𝑡𝑢𝑟𝑎</a:t>
              </a:r>
              <a:r>
                <a:rPr lang="es-BO" sz="950" i="0">
                  <a:solidFill>
                    <a:schemeClr val="tx1"/>
                  </a:solidFill>
                  <a:effectLst/>
                  <a:latin typeface="Cambria Math" panose="02040503050406030204" pitchFamily="18" charset="0"/>
                  <a:ea typeface="+mn-ea"/>
                  <a:cs typeface="+mn-cs"/>
                </a:rPr>
                <a:t>=(</a:t>
              </a:r>
              <a:r>
                <a:rPr lang="es-BO" sz="1100" i="0">
                  <a:solidFill>
                    <a:schemeClr val="tx1"/>
                  </a:solidFill>
                  <a:effectLst/>
                  <a:latin typeface="Cambria Math" panose="02040503050406030204" pitchFamily="18" charset="0"/>
                  <a:ea typeface="+mn-ea"/>
                  <a:cs typeface="+mn-cs"/>
                </a:rPr>
                <a:t>𝐶𝑜𝑏𝑒𝑟𝑡𝑢𝑟𝑎_𝑂𝑏𝑠𝑒𝑟𝑣𝑎𝑑𝑎</a:t>
              </a:r>
              <a:r>
                <a:rPr lang="es-BO" sz="950" i="0">
                  <a:solidFill>
                    <a:schemeClr val="tx1"/>
                  </a:solidFill>
                  <a:effectLst/>
                  <a:latin typeface="Cambria Math" panose="02040503050406030204" pitchFamily="18" charset="0"/>
                  <a:ea typeface="+mn-ea"/>
                  <a:cs typeface="+mn-cs"/>
                </a:rPr>
                <a:t>)/(</a:t>
              </a:r>
              <a:r>
                <a:rPr lang="es-BO" sz="1100" i="0">
                  <a:solidFill>
                    <a:schemeClr val="tx1"/>
                  </a:solidFill>
                  <a:effectLst/>
                  <a:latin typeface="Cambria Math" panose="02040503050406030204" pitchFamily="18" charset="0"/>
                  <a:ea typeface="+mn-ea"/>
                  <a:cs typeface="+mn-cs"/>
                </a:rPr>
                <a:t>𝐶𝑜𝑏𝑒𝑟𝑡𝑢𝑟𝑎_𝑀𝑒𝑡𝑎  </a:t>
              </a:r>
              <a:r>
                <a:rPr lang="es-BO" sz="950" i="0">
                  <a:solidFill>
                    <a:schemeClr val="tx1"/>
                  </a:solidFill>
                  <a:effectLst/>
                  <a:latin typeface="Cambria Math" panose="02040503050406030204" pitchFamily="18" charset="0"/>
                  <a:ea typeface="+mn-ea"/>
                  <a:cs typeface="+mn-cs"/>
                </a:rPr>
                <a:t>)</a:t>
              </a:r>
              <a:endParaRPr lang="es-BO" sz="950"/>
            </a:p>
          </xdr:txBody>
        </xdr:sp>
      </mc:Fallback>
    </mc:AlternateContent>
    <xdr:clientData/>
  </xdr:oneCellAnchor>
  <xdr:oneCellAnchor>
    <xdr:from>
      <xdr:col>42</xdr:col>
      <xdr:colOff>31749</xdr:colOff>
      <xdr:row>167</xdr:row>
      <xdr:rowOff>0</xdr:rowOff>
    </xdr:from>
    <xdr:ext cx="2495720" cy="493569"/>
    <mc:AlternateContent xmlns:mc="http://schemas.openxmlformats.org/markup-compatibility/2006" xmlns:a14="http://schemas.microsoft.com/office/drawing/2010/main">
      <mc:Choice Requires="a14">
        <xdr:sp macro="" textlink="">
          <xdr:nvSpPr>
            <xdr:cNvPr id="92" name="CuadroTexto 91">
              <a:extLst>
                <a:ext uri="{FF2B5EF4-FFF2-40B4-BE49-F238E27FC236}">
                  <a16:creationId xmlns:a16="http://schemas.microsoft.com/office/drawing/2014/main" id="{00000000-0008-0000-0400-00005C000000}"/>
                </a:ext>
              </a:extLst>
            </xdr:cNvPr>
            <xdr:cNvSpPr txBox="1"/>
          </xdr:nvSpPr>
          <xdr:spPr>
            <a:xfrm>
              <a:off x="31273749" y="50796825"/>
              <a:ext cx="2495720" cy="49356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ctr">
              <a:noAutofit/>
            </a:bodyPr>
            <a:lstStyle/>
            <a:p>
              <a:pPr algn="ctr"/>
              <a:r>
                <a:rPr lang="es-ES" sz="1400" i="1">
                  <a:latin typeface="+mn-lt"/>
                  <a:cs typeface="Arial" panose="020B0604020202020204" pitchFamily="34" charset="0"/>
                </a:rPr>
                <a:t>PMI</a:t>
              </a:r>
              <a:r>
                <a:rPr lang="es-ES" sz="1400" i="1" baseline="-25000">
                  <a:latin typeface="+mn-lt"/>
                  <a:cs typeface="Arial" panose="020B0604020202020204" pitchFamily="34" charset="0"/>
                </a:rPr>
                <a:t>ij</a:t>
              </a:r>
              <a14:m>
                <m:oMath xmlns:m="http://schemas.openxmlformats.org/officeDocument/2006/math">
                  <m:r>
                    <a:rPr lang="es-ES" sz="1400" i="1">
                      <a:latin typeface="Cambria Math" panose="02040503050406030204" pitchFamily="18" charset="0"/>
                    </a:rPr>
                    <m:t>=</m:t>
                  </m:r>
                  <m:f>
                    <m:fPr>
                      <m:ctrlPr>
                        <a:rPr lang="es-ES" sz="1400" i="1">
                          <a:latin typeface="Cambria Math" panose="02040503050406030204" pitchFamily="18" charset="0"/>
                        </a:rPr>
                      </m:ctrlPr>
                    </m:fPr>
                    <m:num>
                      <m:r>
                        <a:rPr lang="es-ES" sz="1400" b="0" i="1">
                          <a:latin typeface="Cambria Math" panose="02040503050406030204" pitchFamily="18" charset="0"/>
                        </a:rPr>
                        <m:t> </m:t>
                      </m:r>
                      <m:r>
                        <a:rPr lang="es-ES" sz="1400" b="0" i="1">
                          <a:latin typeface="Cambria Math" panose="02040503050406030204" pitchFamily="18" charset="0"/>
                        </a:rPr>
                        <m:t>𝑄𝑖𝑗</m:t>
                      </m:r>
                      <m:r>
                        <a:rPr lang="es-ES" sz="1400" b="0" i="1" baseline="-25000">
                          <a:latin typeface="Cambria Math" panose="02040503050406030204" pitchFamily="18" charset="0"/>
                        </a:rPr>
                        <m:t>  </m:t>
                      </m:r>
                    </m:num>
                    <m:den>
                      <m:r>
                        <a:rPr lang="es-ES" sz="1400" b="0" i="1">
                          <a:solidFill>
                            <a:schemeClr val="tx1"/>
                          </a:solidFill>
                          <a:effectLst/>
                          <a:latin typeface="Cambria Math" panose="02040503050406030204" pitchFamily="18" charset="0"/>
                          <a:ea typeface="+mn-ea"/>
                          <a:cs typeface="+mn-cs"/>
                        </a:rPr>
                        <m:t>𝐶𝐼</m:t>
                      </m:r>
                      <m:r>
                        <a:rPr lang="es-ES" sz="1400" b="0" i="1" baseline="-25000">
                          <a:solidFill>
                            <a:schemeClr val="tx1"/>
                          </a:solidFill>
                          <a:effectLst/>
                          <a:latin typeface="Cambria Math" panose="02040503050406030204" pitchFamily="18" charset="0"/>
                          <a:ea typeface="+mn-ea"/>
                          <a:cs typeface="+mn-cs"/>
                        </a:rPr>
                        <m:t>𝑖𝑗</m:t>
                      </m:r>
                      <m:r>
                        <a:rPr lang="es-ES" sz="1400" b="0" i="1">
                          <a:solidFill>
                            <a:schemeClr val="tx1"/>
                          </a:solidFill>
                          <a:effectLst/>
                          <a:latin typeface="Cambria Math" panose="02040503050406030204" pitchFamily="18" charset="0"/>
                          <a:ea typeface="+mn-ea"/>
                          <a:cs typeface="+mn-cs"/>
                        </a:rPr>
                        <m:t>+</m:t>
                      </m:r>
                      <m:r>
                        <a:rPr lang="es-ES" sz="1400" b="0" i="1">
                          <a:solidFill>
                            <a:schemeClr val="tx1"/>
                          </a:solidFill>
                          <a:effectLst/>
                          <a:latin typeface="Cambria Math" panose="02040503050406030204" pitchFamily="18" charset="0"/>
                          <a:ea typeface="+mn-ea"/>
                          <a:cs typeface="+mn-cs"/>
                        </a:rPr>
                        <m:t>𝐶𝐹𝑖𝑗</m:t>
                      </m:r>
                      <m:r>
                        <a:rPr lang="es-ES" sz="1400" b="0" i="1">
                          <a:solidFill>
                            <a:schemeClr val="tx1"/>
                          </a:solidFill>
                          <a:effectLst/>
                          <a:latin typeface="Cambria Math" panose="02040503050406030204" pitchFamily="18" charset="0"/>
                          <a:ea typeface="+mn-ea"/>
                          <a:cs typeface="+mn-cs"/>
                        </a:rPr>
                        <m:t> ±</m:t>
                      </m:r>
                      <m:r>
                        <a:rPr lang="es-ES" sz="1400" b="0" i="1">
                          <a:solidFill>
                            <a:schemeClr val="tx1"/>
                          </a:solidFill>
                          <a:effectLst/>
                          <a:latin typeface="Cambria Math" panose="02040503050406030204" pitchFamily="18" charset="0"/>
                          <a:ea typeface="+mn-ea"/>
                          <a:cs typeface="+mn-cs"/>
                        </a:rPr>
                        <m:t>𝑉𝐸𝑖𝑗</m:t>
                      </m:r>
                      <m:r>
                        <a:rPr lang="es-ES" sz="1400" b="0" i="1">
                          <a:solidFill>
                            <a:schemeClr val="tx1"/>
                          </a:solidFill>
                          <a:effectLst/>
                          <a:latin typeface="Cambria Math" panose="02040503050406030204" pitchFamily="18" charset="0"/>
                          <a:ea typeface="+mn-ea"/>
                          <a:cs typeface="+mn-cs"/>
                        </a:rPr>
                        <m:t>+</m:t>
                      </m:r>
                      <m:r>
                        <a:rPr lang="es-ES" sz="1400" b="0" i="1">
                          <a:solidFill>
                            <a:schemeClr val="tx1"/>
                          </a:solidFill>
                          <a:effectLst/>
                          <a:latin typeface="Cambria Math" panose="02040503050406030204" pitchFamily="18" charset="0"/>
                          <a:ea typeface="+mn-ea"/>
                          <a:cs typeface="+mn-cs"/>
                        </a:rPr>
                        <m:t>𝑃𝑖𝑗</m:t>
                      </m:r>
                      <m:r>
                        <a:rPr lang="es-ES" sz="1400" b="0" i="1">
                          <a:solidFill>
                            <a:schemeClr val="tx1"/>
                          </a:solidFill>
                          <a:effectLst/>
                          <a:latin typeface="Cambria Math" panose="02040503050406030204" pitchFamily="18" charset="0"/>
                          <a:ea typeface="+mn-ea"/>
                          <a:cs typeface="+mn-cs"/>
                        </a:rPr>
                        <m:t> </m:t>
                      </m:r>
                    </m:den>
                  </m:f>
                </m:oMath>
              </a14:m>
              <a:r>
                <a:rPr lang="es-ES" sz="1400" i="1">
                  <a:latin typeface="+mn-lt"/>
                  <a:cs typeface="Arial" panose="020B0604020202020204" pitchFamily="34" charset="0"/>
                </a:rPr>
                <a:t> x</a:t>
              </a:r>
              <a:r>
                <a:rPr lang="es-ES" sz="1400" i="1" baseline="0">
                  <a:latin typeface="+mn-lt"/>
                  <a:cs typeface="Arial" panose="020B0604020202020204" pitchFamily="34" charset="0"/>
                </a:rPr>
                <a:t> 100</a:t>
              </a:r>
              <a:endParaRPr lang="es-ES" sz="1400" i="1">
                <a:latin typeface="+mn-lt"/>
                <a:cs typeface="Arial" panose="020B0604020202020204" pitchFamily="34" charset="0"/>
              </a:endParaRPr>
            </a:p>
          </xdr:txBody>
        </xdr:sp>
      </mc:Choice>
      <mc:Fallback xmlns="">
        <xdr:sp macro="" textlink="">
          <xdr:nvSpPr>
            <xdr:cNvPr id="92" name="CuadroTexto 91">
              <a:extLst>
                <a:ext uri="{FF2B5EF4-FFF2-40B4-BE49-F238E27FC236}">
                  <a16:creationId xmlns:a16="http://schemas.microsoft.com/office/drawing/2014/main" xmlns="" xmlns:a14="http://schemas.microsoft.com/office/drawing/2010/main" id="{00000000-0008-0000-0100-00000C000000}"/>
                </a:ext>
              </a:extLst>
            </xdr:cNvPr>
            <xdr:cNvSpPr txBox="1"/>
          </xdr:nvSpPr>
          <xdr:spPr>
            <a:xfrm>
              <a:off x="31273749" y="50796825"/>
              <a:ext cx="2495720" cy="49356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ctr">
              <a:noAutofit/>
            </a:bodyPr>
            <a:lstStyle/>
            <a:p>
              <a:pPr algn="ctr"/>
              <a:r>
                <a:rPr lang="es-ES" sz="1400" i="1">
                  <a:latin typeface="+mn-lt"/>
                  <a:cs typeface="Arial" panose="020B0604020202020204" pitchFamily="34" charset="0"/>
                </a:rPr>
                <a:t>PMI</a:t>
              </a:r>
              <a:r>
                <a:rPr lang="es-ES" sz="1400" i="1" baseline="-25000">
                  <a:latin typeface="+mn-lt"/>
                  <a:cs typeface="Arial" panose="020B0604020202020204" pitchFamily="34" charset="0"/>
                </a:rPr>
                <a:t>ij</a:t>
              </a:r>
              <a:r>
                <a:rPr lang="es-ES" sz="1400" i="0">
                  <a:latin typeface="Cambria Math" panose="02040503050406030204" pitchFamily="18" charset="0"/>
                </a:rPr>
                <a:t>=(</a:t>
              </a:r>
              <a:r>
                <a:rPr lang="es-ES" sz="1400" b="0" i="0">
                  <a:latin typeface="Cambria Math" panose="02040503050406030204" pitchFamily="18" charset="0"/>
                </a:rPr>
                <a:t> 𝑄𝑖𝑗</a:t>
              </a:r>
              <a:r>
                <a:rPr lang="es-ES" sz="1400" b="0" i="0" baseline="-25000">
                  <a:latin typeface="Cambria Math" panose="02040503050406030204" pitchFamily="18" charset="0"/>
                </a:rPr>
                <a:t>  )/(</a:t>
              </a:r>
              <a:r>
                <a:rPr lang="es-ES" sz="1400" b="0" i="0">
                  <a:solidFill>
                    <a:schemeClr val="tx1"/>
                  </a:solidFill>
                  <a:effectLst/>
                  <a:latin typeface="Cambria Math" panose="02040503050406030204" pitchFamily="18" charset="0"/>
                  <a:ea typeface="+mn-ea"/>
                  <a:cs typeface="+mn-cs"/>
                </a:rPr>
                <a:t>𝐶𝐼</a:t>
              </a:r>
              <a:r>
                <a:rPr lang="es-ES" sz="1400" b="0" i="0" baseline="-25000">
                  <a:solidFill>
                    <a:schemeClr val="tx1"/>
                  </a:solidFill>
                  <a:effectLst/>
                  <a:latin typeface="Cambria Math" panose="02040503050406030204" pitchFamily="18" charset="0"/>
                  <a:ea typeface="+mn-ea"/>
                  <a:cs typeface="+mn-cs"/>
                </a:rPr>
                <a:t>𝑖𝑗</a:t>
              </a:r>
              <a:r>
                <a:rPr lang="es-ES" sz="1400" b="0" i="0">
                  <a:solidFill>
                    <a:schemeClr val="tx1"/>
                  </a:solidFill>
                  <a:effectLst/>
                  <a:latin typeface="Cambria Math" panose="02040503050406030204" pitchFamily="18" charset="0"/>
                  <a:ea typeface="+mn-ea"/>
                  <a:cs typeface="+mn-cs"/>
                </a:rPr>
                <a:t>+𝐶𝐹𝑖𝑗 ±𝑉𝐸𝑖𝑗+𝑃𝑖𝑗 )</a:t>
              </a:r>
              <a:r>
                <a:rPr lang="es-ES" sz="1400" i="1">
                  <a:latin typeface="+mn-lt"/>
                  <a:cs typeface="Arial" panose="020B0604020202020204" pitchFamily="34" charset="0"/>
                </a:rPr>
                <a:t> x</a:t>
              </a:r>
              <a:r>
                <a:rPr lang="es-ES" sz="1400" i="1" baseline="0">
                  <a:latin typeface="+mn-lt"/>
                  <a:cs typeface="Arial" panose="020B0604020202020204" pitchFamily="34" charset="0"/>
                </a:rPr>
                <a:t> 100</a:t>
              </a:r>
              <a:endParaRPr lang="es-ES" sz="1400" i="1">
                <a:latin typeface="+mn-lt"/>
                <a:cs typeface="Arial" panose="020B0604020202020204" pitchFamily="34" charset="0"/>
              </a:endParaRPr>
            </a:p>
          </xdr:txBody>
        </xdr:sp>
      </mc:Fallback>
    </mc:AlternateContent>
    <xdr:clientData/>
  </xdr:oneCellAnchor>
  <xdr:oneCellAnchor>
    <xdr:from>
      <xdr:col>42</xdr:col>
      <xdr:colOff>21166</xdr:colOff>
      <xdr:row>167</xdr:row>
      <xdr:rowOff>0</xdr:rowOff>
    </xdr:from>
    <xdr:ext cx="2495720" cy="493569"/>
    <mc:AlternateContent xmlns:mc="http://schemas.openxmlformats.org/markup-compatibility/2006" xmlns:a14="http://schemas.microsoft.com/office/drawing/2010/main">
      <mc:Choice Requires="a14">
        <xdr:sp macro="" textlink="">
          <xdr:nvSpPr>
            <xdr:cNvPr id="93" name="CuadroTexto 92">
              <a:extLst>
                <a:ext uri="{FF2B5EF4-FFF2-40B4-BE49-F238E27FC236}">
                  <a16:creationId xmlns:a16="http://schemas.microsoft.com/office/drawing/2014/main" id="{00000000-0008-0000-0400-00005D000000}"/>
                </a:ext>
              </a:extLst>
            </xdr:cNvPr>
            <xdr:cNvSpPr txBox="1"/>
          </xdr:nvSpPr>
          <xdr:spPr>
            <a:xfrm>
              <a:off x="31263166" y="50796825"/>
              <a:ext cx="2495720" cy="49356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ctr">
              <a:noAutofit/>
            </a:bodyPr>
            <a:lstStyle/>
            <a:p>
              <a:pPr algn="ctr"/>
              <a:r>
                <a:rPr lang="es-ES" sz="1400" i="1">
                  <a:latin typeface="+mn-lt"/>
                  <a:cs typeface="Arial" panose="020B0604020202020204" pitchFamily="34" charset="0"/>
                </a:rPr>
                <a:t>PMI</a:t>
              </a:r>
              <a:r>
                <a:rPr lang="es-ES" sz="1400" i="1" baseline="-25000">
                  <a:latin typeface="+mn-lt"/>
                  <a:cs typeface="Arial" panose="020B0604020202020204" pitchFamily="34" charset="0"/>
                </a:rPr>
                <a:t>ij</a:t>
              </a:r>
              <a14:m>
                <m:oMath xmlns:m="http://schemas.openxmlformats.org/officeDocument/2006/math">
                  <m:r>
                    <a:rPr lang="es-ES" sz="1400" i="1">
                      <a:latin typeface="Cambria Math" panose="02040503050406030204" pitchFamily="18" charset="0"/>
                    </a:rPr>
                    <m:t>=</m:t>
                  </m:r>
                  <m:f>
                    <m:fPr>
                      <m:ctrlPr>
                        <a:rPr lang="es-ES" sz="1400" i="1">
                          <a:latin typeface="Cambria Math" panose="02040503050406030204" pitchFamily="18" charset="0"/>
                        </a:rPr>
                      </m:ctrlPr>
                    </m:fPr>
                    <m:num>
                      <m:r>
                        <a:rPr lang="es-ES" sz="1400" b="0" i="1">
                          <a:latin typeface="Cambria Math" panose="02040503050406030204" pitchFamily="18" charset="0"/>
                        </a:rPr>
                        <m:t> </m:t>
                      </m:r>
                      <m:r>
                        <a:rPr lang="es-ES" sz="1400" b="0" i="1">
                          <a:latin typeface="Cambria Math" panose="02040503050406030204" pitchFamily="18" charset="0"/>
                        </a:rPr>
                        <m:t>𝑄𝑖𝑗</m:t>
                      </m:r>
                      <m:r>
                        <a:rPr lang="es-ES" sz="1400" b="0" i="1" baseline="-25000">
                          <a:latin typeface="Cambria Math" panose="02040503050406030204" pitchFamily="18" charset="0"/>
                        </a:rPr>
                        <m:t>  </m:t>
                      </m:r>
                    </m:num>
                    <m:den>
                      <m:r>
                        <a:rPr lang="es-ES" sz="1400" b="0" i="1">
                          <a:solidFill>
                            <a:schemeClr val="tx1"/>
                          </a:solidFill>
                          <a:effectLst/>
                          <a:latin typeface="Cambria Math" panose="02040503050406030204" pitchFamily="18" charset="0"/>
                          <a:ea typeface="+mn-ea"/>
                          <a:cs typeface="+mn-cs"/>
                        </a:rPr>
                        <m:t>𝐶𝐼</m:t>
                      </m:r>
                      <m:r>
                        <a:rPr lang="es-ES" sz="1400" b="0" i="1" baseline="-25000">
                          <a:solidFill>
                            <a:schemeClr val="tx1"/>
                          </a:solidFill>
                          <a:effectLst/>
                          <a:latin typeface="Cambria Math" panose="02040503050406030204" pitchFamily="18" charset="0"/>
                          <a:ea typeface="+mn-ea"/>
                          <a:cs typeface="+mn-cs"/>
                        </a:rPr>
                        <m:t>𝑖𝑗</m:t>
                      </m:r>
                      <m:r>
                        <a:rPr lang="es-ES" sz="1400" b="0" i="1">
                          <a:solidFill>
                            <a:schemeClr val="tx1"/>
                          </a:solidFill>
                          <a:effectLst/>
                          <a:latin typeface="Cambria Math" panose="02040503050406030204" pitchFamily="18" charset="0"/>
                          <a:ea typeface="+mn-ea"/>
                          <a:cs typeface="+mn-cs"/>
                        </a:rPr>
                        <m:t>+</m:t>
                      </m:r>
                      <m:r>
                        <a:rPr lang="es-ES" sz="1400" b="0" i="1">
                          <a:solidFill>
                            <a:schemeClr val="tx1"/>
                          </a:solidFill>
                          <a:effectLst/>
                          <a:latin typeface="Cambria Math" panose="02040503050406030204" pitchFamily="18" charset="0"/>
                          <a:ea typeface="+mn-ea"/>
                          <a:cs typeface="+mn-cs"/>
                        </a:rPr>
                        <m:t>𝐶𝐹𝑖𝑗</m:t>
                      </m:r>
                      <m:r>
                        <a:rPr lang="es-ES" sz="1400" b="0" i="1">
                          <a:solidFill>
                            <a:schemeClr val="tx1"/>
                          </a:solidFill>
                          <a:effectLst/>
                          <a:latin typeface="Cambria Math" panose="02040503050406030204" pitchFamily="18" charset="0"/>
                          <a:ea typeface="+mn-ea"/>
                          <a:cs typeface="+mn-cs"/>
                        </a:rPr>
                        <m:t> ±</m:t>
                      </m:r>
                      <m:r>
                        <a:rPr lang="es-ES" sz="1400" b="0" i="1">
                          <a:solidFill>
                            <a:schemeClr val="tx1"/>
                          </a:solidFill>
                          <a:effectLst/>
                          <a:latin typeface="Cambria Math" panose="02040503050406030204" pitchFamily="18" charset="0"/>
                          <a:ea typeface="+mn-ea"/>
                          <a:cs typeface="+mn-cs"/>
                        </a:rPr>
                        <m:t>𝑉𝐸𝑖𝑗</m:t>
                      </m:r>
                      <m:r>
                        <a:rPr lang="es-ES" sz="1400" b="0" i="1">
                          <a:solidFill>
                            <a:schemeClr val="tx1"/>
                          </a:solidFill>
                          <a:effectLst/>
                          <a:latin typeface="Cambria Math" panose="02040503050406030204" pitchFamily="18" charset="0"/>
                          <a:ea typeface="+mn-ea"/>
                          <a:cs typeface="+mn-cs"/>
                        </a:rPr>
                        <m:t>+</m:t>
                      </m:r>
                      <m:r>
                        <a:rPr lang="es-ES" sz="1400" b="0" i="1">
                          <a:solidFill>
                            <a:schemeClr val="tx1"/>
                          </a:solidFill>
                          <a:effectLst/>
                          <a:latin typeface="Cambria Math" panose="02040503050406030204" pitchFamily="18" charset="0"/>
                          <a:ea typeface="+mn-ea"/>
                          <a:cs typeface="+mn-cs"/>
                        </a:rPr>
                        <m:t>𝑃𝑖𝑗</m:t>
                      </m:r>
                      <m:r>
                        <a:rPr lang="es-ES" sz="1400" b="0" i="1">
                          <a:solidFill>
                            <a:schemeClr val="tx1"/>
                          </a:solidFill>
                          <a:effectLst/>
                          <a:latin typeface="Cambria Math" panose="02040503050406030204" pitchFamily="18" charset="0"/>
                          <a:ea typeface="+mn-ea"/>
                          <a:cs typeface="+mn-cs"/>
                        </a:rPr>
                        <m:t> </m:t>
                      </m:r>
                    </m:den>
                  </m:f>
                </m:oMath>
              </a14:m>
              <a:r>
                <a:rPr lang="es-ES" sz="1400" i="1">
                  <a:latin typeface="+mn-lt"/>
                  <a:cs typeface="Arial" panose="020B0604020202020204" pitchFamily="34" charset="0"/>
                </a:rPr>
                <a:t> x</a:t>
              </a:r>
              <a:r>
                <a:rPr lang="es-ES" sz="1400" i="1" baseline="0">
                  <a:latin typeface="+mn-lt"/>
                  <a:cs typeface="Arial" panose="020B0604020202020204" pitchFamily="34" charset="0"/>
                </a:rPr>
                <a:t> 100</a:t>
              </a:r>
              <a:endParaRPr lang="es-ES" sz="1400" i="1">
                <a:latin typeface="+mn-lt"/>
                <a:cs typeface="Arial" panose="020B0604020202020204" pitchFamily="34" charset="0"/>
              </a:endParaRPr>
            </a:p>
          </xdr:txBody>
        </xdr:sp>
      </mc:Choice>
      <mc:Fallback xmlns="">
        <xdr:sp macro="" textlink="">
          <xdr:nvSpPr>
            <xdr:cNvPr id="93" name="CuadroTexto 92">
              <a:extLst>
                <a:ext uri="{FF2B5EF4-FFF2-40B4-BE49-F238E27FC236}">
                  <a16:creationId xmlns:a16="http://schemas.microsoft.com/office/drawing/2014/main" xmlns="" xmlns:a14="http://schemas.microsoft.com/office/drawing/2010/main" id="{00000000-0008-0000-0100-00000D000000}"/>
                </a:ext>
              </a:extLst>
            </xdr:cNvPr>
            <xdr:cNvSpPr txBox="1"/>
          </xdr:nvSpPr>
          <xdr:spPr>
            <a:xfrm>
              <a:off x="31263166" y="50796825"/>
              <a:ext cx="2495720" cy="49356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ctr">
              <a:noAutofit/>
            </a:bodyPr>
            <a:lstStyle/>
            <a:p>
              <a:pPr algn="ctr"/>
              <a:r>
                <a:rPr lang="es-ES" sz="1400" i="1">
                  <a:latin typeface="+mn-lt"/>
                  <a:cs typeface="Arial" panose="020B0604020202020204" pitchFamily="34" charset="0"/>
                </a:rPr>
                <a:t>PMI</a:t>
              </a:r>
              <a:r>
                <a:rPr lang="es-ES" sz="1400" i="1" baseline="-25000">
                  <a:latin typeface="+mn-lt"/>
                  <a:cs typeface="Arial" panose="020B0604020202020204" pitchFamily="34" charset="0"/>
                </a:rPr>
                <a:t>ij</a:t>
              </a:r>
              <a:r>
                <a:rPr lang="es-ES" sz="1400" i="0">
                  <a:latin typeface="Cambria Math" panose="02040503050406030204" pitchFamily="18" charset="0"/>
                </a:rPr>
                <a:t>=(</a:t>
              </a:r>
              <a:r>
                <a:rPr lang="es-ES" sz="1400" b="0" i="0">
                  <a:latin typeface="Cambria Math" panose="02040503050406030204" pitchFamily="18" charset="0"/>
                </a:rPr>
                <a:t> 𝑄𝑖𝑗</a:t>
              </a:r>
              <a:r>
                <a:rPr lang="es-ES" sz="1400" b="0" i="0" baseline="-25000">
                  <a:latin typeface="Cambria Math" panose="02040503050406030204" pitchFamily="18" charset="0"/>
                </a:rPr>
                <a:t>  )/(</a:t>
              </a:r>
              <a:r>
                <a:rPr lang="es-ES" sz="1400" b="0" i="0">
                  <a:solidFill>
                    <a:schemeClr val="tx1"/>
                  </a:solidFill>
                  <a:effectLst/>
                  <a:latin typeface="Cambria Math" panose="02040503050406030204" pitchFamily="18" charset="0"/>
                  <a:ea typeface="+mn-ea"/>
                  <a:cs typeface="+mn-cs"/>
                </a:rPr>
                <a:t>𝐶𝐼</a:t>
              </a:r>
              <a:r>
                <a:rPr lang="es-ES" sz="1400" b="0" i="0" baseline="-25000">
                  <a:solidFill>
                    <a:schemeClr val="tx1"/>
                  </a:solidFill>
                  <a:effectLst/>
                  <a:latin typeface="Cambria Math" panose="02040503050406030204" pitchFamily="18" charset="0"/>
                  <a:ea typeface="+mn-ea"/>
                  <a:cs typeface="+mn-cs"/>
                </a:rPr>
                <a:t>𝑖𝑗</a:t>
              </a:r>
              <a:r>
                <a:rPr lang="es-ES" sz="1400" b="0" i="0">
                  <a:solidFill>
                    <a:schemeClr val="tx1"/>
                  </a:solidFill>
                  <a:effectLst/>
                  <a:latin typeface="Cambria Math" panose="02040503050406030204" pitchFamily="18" charset="0"/>
                  <a:ea typeface="+mn-ea"/>
                  <a:cs typeface="+mn-cs"/>
                </a:rPr>
                <a:t>+𝐶𝐹𝑖𝑗 ±𝑉𝐸𝑖𝑗+𝑃𝑖𝑗 )</a:t>
              </a:r>
              <a:r>
                <a:rPr lang="es-ES" sz="1400" i="1">
                  <a:latin typeface="+mn-lt"/>
                  <a:cs typeface="Arial" panose="020B0604020202020204" pitchFamily="34" charset="0"/>
                </a:rPr>
                <a:t> x</a:t>
              </a:r>
              <a:r>
                <a:rPr lang="es-ES" sz="1400" i="1" baseline="0">
                  <a:latin typeface="+mn-lt"/>
                  <a:cs typeface="Arial" panose="020B0604020202020204" pitchFamily="34" charset="0"/>
                </a:rPr>
                <a:t> 100</a:t>
              </a:r>
              <a:endParaRPr lang="es-ES" sz="1400" i="1">
                <a:latin typeface="+mn-lt"/>
                <a:cs typeface="Arial" panose="020B0604020202020204" pitchFamily="34" charset="0"/>
              </a:endParaRPr>
            </a:p>
          </xdr:txBody>
        </xdr:sp>
      </mc:Fallback>
    </mc:AlternateContent>
    <xdr:clientData/>
  </xdr:oneCellAnchor>
  <xdr:oneCellAnchor>
    <xdr:from>
      <xdr:col>42</xdr:col>
      <xdr:colOff>31749</xdr:colOff>
      <xdr:row>167</xdr:row>
      <xdr:rowOff>0</xdr:rowOff>
    </xdr:from>
    <xdr:ext cx="2495720" cy="493569"/>
    <mc:AlternateContent xmlns:mc="http://schemas.openxmlformats.org/markup-compatibility/2006" xmlns:a14="http://schemas.microsoft.com/office/drawing/2010/main">
      <mc:Choice Requires="a14">
        <xdr:sp macro="" textlink="">
          <xdr:nvSpPr>
            <xdr:cNvPr id="94" name="CuadroTexto 93">
              <a:extLst>
                <a:ext uri="{FF2B5EF4-FFF2-40B4-BE49-F238E27FC236}">
                  <a16:creationId xmlns:a16="http://schemas.microsoft.com/office/drawing/2014/main" id="{00000000-0008-0000-0400-00005E000000}"/>
                </a:ext>
              </a:extLst>
            </xdr:cNvPr>
            <xdr:cNvSpPr txBox="1"/>
          </xdr:nvSpPr>
          <xdr:spPr>
            <a:xfrm>
              <a:off x="31273749" y="50796825"/>
              <a:ext cx="2495720" cy="49356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ctr">
              <a:noAutofit/>
            </a:bodyPr>
            <a:lstStyle/>
            <a:p>
              <a:pPr algn="ctr"/>
              <a:r>
                <a:rPr lang="es-ES" sz="1400" i="1">
                  <a:latin typeface="+mn-lt"/>
                  <a:cs typeface="Arial" panose="020B0604020202020204" pitchFamily="34" charset="0"/>
                </a:rPr>
                <a:t>PMI</a:t>
              </a:r>
              <a:r>
                <a:rPr lang="es-ES" sz="1400" i="1" baseline="-25000">
                  <a:latin typeface="+mn-lt"/>
                  <a:cs typeface="Arial" panose="020B0604020202020204" pitchFamily="34" charset="0"/>
                </a:rPr>
                <a:t>ij</a:t>
              </a:r>
              <a14:m>
                <m:oMath xmlns:m="http://schemas.openxmlformats.org/officeDocument/2006/math">
                  <m:r>
                    <a:rPr lang="es-ES" sz="1400" i="1">
                      <a:latin typeface="Cambria Math" panose="02040503050406030204" pitchFamily="18" charset="0"/>
                    </a:rPr>
                    <m:t>=</m:t>
                  </m:r>
                  <m:f>
                    <m:fPr>
                      <m:ctrlPr>
                        <a:rPr lang="es-ES" sz="1400" i="1">
                          <a:latin typeface="Cambria Math" panose="02040503050406030204" pitchFamily="18" charset="0"/>
                        </a:rPr>
                      </m:ctrlPr>
                    </m:fPr>
                    <m:num>
                      <m:r>
                        <a:rPr lang="es-ES" sz="1400" b="0" i="1">
                          <a:latin typeface="Cambria Math" panose="02040503050406030204" pitchFamily="18" charset="0"/>
                        </a:rPr>
                        <m:t> </m:t>
                      </m:r>
                      <m:r>
                        <a:rPr lang="es-ES" sz="1400" b="0" i="1">
                          <a:latin typeface="Cambria Math" panose="02040503050406030204" pitchFamily="18" charset="0"/>
                        </a:rPr>
                        <m:t>𝑄𝑖𝑗</m:t>
                      </m:r>
                      <m:r>
                        <a:rPr lang="es-ES" sz="1400" b="0" i="1" baseline="-25000">
                          <a:latin typeface="Cambria Math" panose="02040503050406030204" pitchFamily="18" charset="0"/>
                        </a:rPr>
                        <m:t>  </m:t>
                      </m:r>
                    </m:num>
                    <m:den>
                      <m:r>
                        <a:rPr lang="es-ES" sz="1400" b="0" i="1">
                          <a:solidFill>
                            <a:schemeClr val="tx1"/>
                          </a:solidFill>
                          <a:effectLst/>
                          <a:latin typeface="Cambria Math" panose="02040503050406030204" pitchFamily="18" charset="0"/>
                          <a:ea typeface="+mn-ea"/>
                          <a:cs typeface="+mn-cs"/>
                        </a:rPr>
                        <m:t>𝐶𝐼</m:t>
                      </m:r>
                      <m:r>
                        <a:rPr lang="es-ES" sz="1400" b="0" i="1" baseline="-25000">
                          <a:solidFill>
                            <a:schemeClr val="tx1"/>
                          </a:solidFill>
                          <a:effectLst/>
                          <a:latin typeface="Cambria Math" panose="02040503050406030204" pitchFamily="18" charset="0"/>
                          <a:ea typeface="+mn-ea"/>
                          <a:cs typeface="+mn-cs"/>
                        </a:rPr>
                        <m:t>𝑖𝑗</m:t>
                      </m:r>
                      <m:r>
                        <a:rPr lang="es-ES" sz="1400" b="0" i="1">
                          <a:solidFill>
                            <a:schemeClr val="tx1"/>
                          </a:solidFill>
                          <a:effectLst/>
                          <a:latin typeface="Cambria Math" panose="02040503050406030204" pitchFamily="18" charset="0"/>
                          <a:ea typeface="+mn-ea"/>
                          <a:cs typeface="+mn-cs"/>
                        </a:rPr>
                        <m:t>+</m:t>
                      </m:r>
                      <m:r>
                        <a:rPr lang="es-ES" sz="1400" b="0" i="1">
                          <a:solidFill>
                            <a:schemeClr val="tx1"/>
                          </a:solidFill>
                          <a:effectLst/>
                          <a:latin typeface="Cambria Math" panose="02040503050406030204" pitchFamily="18" charset="0"/>
                          <a:ea typeface="+mn-ea"/>
                          <a:cs typeface="+mn-cs"/>
                        </a:rPr>
                        <m:t>𝐶𝐹𝑖𝑗</m:t>
                      </m:r>
                      <m:r>
                        <a:rPr lang="es-ES" sz="1400" b="0" i="1">
                          <a:solidFill>
                            <a:schemeClr val="tx1"/>
                          </a:solidFill>
                          <a:effectLst/>
                          <a:latin typeface="Cambria Math" panose="02040503050406030204" pitchFamily="18" charset="0"/>
                          <a:ea typeface="+mn-ea"/>
                          <a:cs typeface="+mn-cs"/>
                        </a:rPr>
                        <m:t> ±</m:t>
                      </m:r>
                      <m:r>
                        <a:rPr lang="es-ES" sz="1400" b="0" i="1">
                          <a:solidFill>
                            <a:schemeClr val="tx1"/>
                          </a:solidFill>
                          <a:effectLst/>
                          <a:latin typeface="Cambria Math" panose="02040503050406030204" pitchFamily="18" charset="0"/>
                          <a:ea typeface="+mn-ea"/>
                          <a:cs typeface="+mn-cs"/>
                        </a:rPr>
                        <m:t>𝑉𝐸𝑖𝑗</m:t>
                      </m:r>
                      <m:r>
                        <a:rPr lang="es-ES" sz="1400" b="0" i="1">
                          <a:solidFill>
                            <a:schemeClr val="tx1"/>
                          </a:solidFill>
                          <a:effectLst/>
                          <a:latin typeface="Cambria Math" panose="02040503050406030204" pitchFamily="18" charset="0"/>
                          <a:ea typeface="+mn-ea"/>
                          <a:cs typeface="+mn-cs"/>
                        </a:rPr>
                        <m:t>+</m:t>
                      </m:r>
                      <m:r>
                        <a:rPr lang="es-ES" sz="1400" b="0" i="1">
                          <a:solidFill>
                            <a:schemeClr val="tx1"/>
                          </a:solidFill>
                          <a:effectLst/>
                          <a:latin typeface="Cambria Math" panose="02040503050406030204" pitchFamily="18" charset="0"/>
                          <a:ea typeface="+mn-ea"/>
                          <a:cs typeface="+mn-cs"/>
                        </a:rPr>
                        <m:t>𝑃𝑖𝑗</m:t>
                      </m:r>
                      <m:r>
                        <a:rPr lang="es-ES" sz="1400" b="0" i="1">
                          <a:solidFill>
                            <a:schemeClr val="tx1"/>
                          </a:solidFill>
                          <a:effectLst/>
                          <a:latin typeface="Cambria Math" panose="02040503050406030204" pitchFamily="18" charset="0"/>
                          <a:ea typeface="+mn-ea"/>
                          <a:cs typeface="+mn-cs"/>
                        </a:rPr>
                        <m:t> </m:t>
                      </m:r>
                    </m:den>
                  </m:f>
                </m:oMath>
              </a14:m>
              <a:r>
                <a:rPr lang="es-ES" sz="1400" i="1">
                  <a:latin typeface="+mn-lt"/>
                  <a:cs typeface="Arial" panose="020B0604020202020204" pitchFamily="34" charset="0"/>
                </a:rPr>
                <a:t> x</a:t>
              </a:r>
              <a:r>
                <a:rPr lang="es-ES" sz="1400" i="1" baseline="0">
                  <a:latin typeface="+mn-lt"/>
                  <a:cs typeface="Arial" panose="020B0604020202020204" pitchFamily="34" charset="0"/>
                </a:rPr>
                <a:t> 100</a:t>
              </a:r>
              <a:endParaRPr lang="es-ES" sz="1400" i="1">
                <a:latin typeface="+mn-lt"/>
                <a:cs typeface="Arial" panose="020B0604020202020204" pitchFamily="34" charset="0"/>
              </a:endParaRPr>
            </a:p>
          </xdr:txBody>
        </xdr:sp>
      </mc:Choice>
      <mc:Fallback xmlns="">
        <xdr:sp macro="" textlink="">
          <xdr:nvSpPr>
            <xdr:cNvPr id="94" name="CuadroTexto 93">
              <a:extLst>
                <a:ext uri="{FF2B5EF4-FFF2-40B4-BE49-F238E27FC236}">
                  <a16:creationId xmlns:a16="http://schemas.microsoft.com/office/drawing/2014/main" xmlns="" xmlns:a14="http://schemas.microsoft.com/office/drawing/2010/main" id="{00000000-0008-0000-0100-00000E000000}"/>
                </a:ext>
              </a:extLst>
            </xdr:cNvPr>
            <xdr:cNvSpPr txBox="1"/>
          </xdr:nvSpPr>
          <xdr:spPr>
            <a:xfrm>
              <a:off x="31273749" y="50796825"/>
              <a:ext cx="2495720" cy="49356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ctr">
              <a:noAutofit/>
            </a:bodyPr>
            <a:lstStyle/>
            <a:p>
              <a:pPr algn="ctr"/>
              <a:r>
                <a:rPr lang="es-ES" sz="1400" i="1">
                  <a:latin typeface="+mn-lt"/>
                  <a:cs typeface="Arial" panose="020B0604020202020204" pitchFamily="34" charset="0"/>
                </a:rPr>
                <a:t>PMI</a:t>
              </a:r>
              <a:r>
                <a:rPr lang="es-ES" sz="1400" i="1" baseline="-25000">
                  <a:latin typeface="+mn-lt"/>
                  <a:cs typeface="Arial" panose="020B0604020202020204" pitchFamily="34" charset="0"/>
                </a:rPr>
                <a:t>ij</a:t>
              </a:r>
              <a:r>
                <a:rPr lang="es-ES" sz="1400" i="0">
                  <a:latin typeface="Cambria Math" panose="02040503050406030204" pitchFamily="18" charset="0"/>
                </a:rPr>
                <a:t>=(</a:t>
              </a:r>
              <a:r>
                <a:rPr lang="es-ES" sz="1400" b="0" i="0">
                  <a:latin typeface="Cambria Math" panose="02040503050406030204" pitchFamily="18" charset="0"/>
                </a:rPr>
                <a:t> 𝑄𝑖𝑗</a:t>
              </a:r>
              <a:r>
                <a:rPr lang="es-ES" sz="1400" b="0" i="0" baseline="-25000">
                  <a:latin typeface="Cambria Math" panose="02040503050406030204" pitchFamily="18" charset="0"/>
                </a:rPr>
                <a:t>  )/(</a:t>
              </a:r>
              <a:r>
                <a:rPr lang="es-ES" sz="1400" b="0" i="0">
                  <a:solidFill>
                    <a:schemeClr val="tx1"/>
                  </a:solidFill>
                  <a:effectLst/>
                  <a:latin typeface="Cambria Math" panose="02040503050406030204" pitchFamily="18" charset="0"/>
                  <a:ea typeface="+mn-ea"/>
                  <a:cs typeface="+mn-cs"/>
                </a:rPr>
                <a:t>𝐶𝐼</a:t>
              </a:r>
              <a:r>
                <a:rPr lang="es-ES" sz="1400" b="0" i="0" baseline="-25000">
                  <a:solidFill>
                    <a:schemeClr val="tx1"/>
                  </a:solidFill>
                  <a:effectLst/>
                  <a:latin typeface="Cambria Math" panose="02040503050406030204" pitchFamily="18" charset="0"/>
                  <a:ea typeface="+mn-ea"/>
                  <a:cs typeface="+mn-cs"/>
                </a:rPr>
                <a:t>𝑖𝑗</a:t>
              </a:r>
              <a:r>
                <a:rPr lang="es-ES" sz="1400" b="0" i="0">
                  <a:solidFill>
                    <a:schemeClr val="tx1"/>
                  </a:solidFill>
                  <a:effectLst/>
                  <a:latin typeface="Cambria Math" panose="02040503050406030204" pitchFamily="18" charset="0"/>
                  <a:ea typeface="+mn-ea"/>
                  <a:cs typeface="+mn-cs"/>
                </a:rPr>
                <a:t>+𝐶𝐹𝑖𝑗 ±𝑉𝐸𝑖𝑗+𝑃𝑖𝑗 )</a:t>
              </a:r>
              <a:r>
                <a:rPr lang="es-ES" sz="1400" i="1">
                  <a:latin typeface="+mn-lt"/>
                  <a:cs typeface="Arial" panose="020B0604020202020204" pitchFamily="34" charset="0"/>
                </a:rPr>
                <a:t> x</a:t>
              </a:r>
              <a:r>
                <a:rPr lang="es-ES" sz="1400" i="1" baseline="0">
                  <a:latin typeface="+mn-lt"/>
                  <a:cs typeface="Arial" panose="020B0604020202020204" pitchFamily="34" charset="0"/>
                </a:rPr>
                <a:t> 100</a:t>
              </a:r>
              <a:endParaRPr lang="es-ES" sz="1400" i="1">
                <a:latin typeface="+mn-lt"/>
                <a:cs typeface="Arial" panose="020B0604020202020204" pitchFamily="34" charset="0"/>
              </a:endParaRPr>
            </a:p>
          </xdr:txBody>
        </xdr:sp>
      </mc:Fallback>
    </mc:AlternateContent>
    <xdr:clientData/>
  </xdr:oneCellAnchor>
  <xdr:oneCellAnchor>
    <xdr:from>
      <xdr:col>42</xdr:col>
      <xdr:colOff>31749</xdr:colOff>
      <xdr:row>167</xdr:row>
      <xdr:rowOff>0</xdr:rowOff>
    </xdr:from>
    <xdr:ext cx="2495720" cy="493569"/>
    <mc:AlternateContent xmlns:mc="http://schemas.openxmlformats.org/markup-compatibility/2006" xmlns:a14="http://schemas.microsoft.com/office/drawing/2010/main">
      <mc:Choice Requires="a14">
        <xdr:sp macro="" textlink="">
          <xdr:nvSpPr>
            <xdr:cNvPr id="95" name="CuadroTexto 94">
              <a:extLst>
                <a:ext uri="{FF2B5EF4-FFF2-40B4-BE49-F238E27FC236}">
                  <a16:creationId xmlns:a16="http://schemas.microsoft.com/office/drawing/2014/main" id="{00000000-0008-0000-0400-00005F000000}"/>
                </a:ext>
              </a:extLst>
            </xdr:cNvPr>
            <xdr:cNvSpPr txBox="1"/>
          </xdr:nvSpPr>
          <xdr:spPr>
            <a:xfrm>
              <a:off x="31273749" y="50796825"/>
              <a:ext cx="2495720" cy="49356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ctr">
              <a:noAutofit/>
            </a:bodyPr>
            <a:lstStyle/>
            <a:p>
              <a:pPr algn="ctr"/>
              <a:r>
                <a:rPr lang="es-ES" sz="1400" i="1">
                  <a:latin typeface="+mn-lt"/>
                  <a:cs typeface="Arial" panose="020B0604020202020204" pitchFamily="34" charset="0"/>
                </a:rPr>
                <a:t>PMI</a:t>
              </a:r>
              <a:r>
                <a:rPr lang="es-ES" sz="1400" i="1" baseline="-25000">
                  <a:latin typeface="+mn-lt"/>
                  <a:cs typeface="Arial" panose="020B0604020202020204" pitchFamily="34" charset="0"/>
                </a:rPr>
                <a:t>ij</a:t>
              </a:r>
              <a14:m>
                <m:oMath xmlns:m="http://schemas.openxmlformats.org/officeDocument/2006/math">
                  <m:r>
                    <a:rPr lang="es-ES" sz="1400" i="1">
                      <a:latin typeface="Cambria Math" panose="02040503050406030204" pitchFamily="18" charset="0"/>
                    </a:rPr>
                    <m:t>=</m:t>
                  </m:r>
                  <m:f>
                    <m:fPr>
                      <m:ctrlPr>
                        <a:rPr lang="es-ES" sz="1400" i="1">
                          <a:latin typeface="Cambria Math" panose="02040503050406030204" pitchFamily="18" charset="0"/>
                        </a:rPr>
                      </m:ctrlPr>
                    </m:fPr>
                    <m:num>
                      <m:r>
                        <a:rPr lang="es-ES" sz="1400" b="0" i="1">
                          <a:latin typeface="Cambria Math" panose="02040503050406030204" pitchFamily="18" charset="0"/>
                        </a:rPr>
                        <m:t> </m:t>
                      </m:r>
                      <m:r>
                        <a:rPr lang="es-ES" sz="1400" b="0" i="1">
                          <a:latin typeface="Cambria Math" panose="02040503050406030204" pitchFamily="18" charset="0"/>
                        </a:rPr>
                        <m:t>𝑄𝑖𝑗</m:t>
                      </m:r>
                      <m:r>
                        <a:rPr lang="es-ES" sz="1400" b="0" i="1" baseline="-25000">
                          <a:latin typeface="Cambria Math" panose="02040503050406030204" pitchFamily="18" charset="0"/>
                        </a:rPr>
                        <m:t>  </m:t>
                      </m:r>
                    </m:num>
                    <m:den>
                      <m:r>
                        <a:rPr lang="es-ES" sz="1400" b="0" i="1">
                          <a:solidFill>
                            <a:schemeClr val="tx1"/>
                          </a:solidFill>
                          <a:effectLst/>
                          <a:latin typeface="Cambria Math" panose="02040503050406030204" pitchFamily="18" charset="0"/>
                          <a:ea typeface="+mn-ea"/>
                          <a:cs typeface="+mn-cs"/>
                        </a:rPr>
                        <m:t>𝐶𝐼</m:t>
                      </m:r>
                      <m:r>
                        <a:rPr lang="es-ES" sz="1400" b="0" i="1" baseline="-25000">
                          <a:solidFill>
                            <a:schemeClr val="tx1"/>
                          </a:solidFill>
                          <a:effectLst/>
                          <a:latin typeface="Cambria Math" panose="02040503050406030204" pitchFamily="18" charset="0"/>
                          <a:ea typeface="+mn-ea"/>
                          <a:cs typeface="+mn-cs"/>
                        </a:rPr>
                        <m:t>𝑖𝑗</m:t>
                      </m:r>
                      <m:r>
                        <a:rPr lang="es-ES" sz="1400" b="0" i="1">
                          <a:solidFill>
                            <a:schemeClr val="tx1"/>
                          </a:solidFill>
                          <a:effectLst/>
                          <a:latin typeface="Cambria Math" panose="02040503050406030204" pitchFamily="18" charset="0"/>
                          <a:ea typeface="+mn-ea"/>
                          <a:cs typeface="+mn-cs"/>
                        </a:rPr>
                        <m:t>+</m:t>
                      </m:r>
                      <m:r>
                        <a:rPr lang="es-ES" sz="1400" b="0" i="1">
                          <a:solidFill>
                            <a:schemeClr val="tx1"/>
                          </a:solidFill>
                          <a:effectLst/>
                          <a:latin typeface="Cambria Math" panose="02040503050406030204" pitchFamily="18" charset="0"/>
                          <a:ea typeface="+mn-ea"/>
                          <a:cs typeface="+mn-cs"/>
                        </a:rPr>
                        <m:t>𝐶𝐹𝑖𝑗</m:t>
                      </m:r>
                      <m:r>
                        <a:rPr lang="es-ES" sz="1400" b="0" i="1">
                          <a:solidFill>
                            <a:schemeClr val="tx1"/>
                          </a:solidFill>
                          <a:effectLst/>
                          <a:latin typeface="Cambria Math" panose="02040503050406030204" pitchFamily="18" charset="0"/>
                          <a:ea typeface="+mn-ea"/>
                          <a:cs typeface="+mn-cs"/>
                        </a:rPr>
                        <m:t> ±</m:t>
                      </m:r>
                      <m:r>
                        <a:rPr lang="es-ES" sz="1400" b="0" i="1">
                          <a:solidFill>
                            <a:schemeClr val="tx1"/>
                          </a:solidFill>
                          <a:effectLst/>
                          <a:latin typeface="Cambria Math" panose="02040503050406030204" pitchFamily="18" charset="0"/>
                          <a:ea typeface="+mn-ea"/>
                          <a:cs typeface="+mn-cs"/>
                        </a:rPr>
                        <m:t>𝑉𝐸𝑖𝑗</m:t>
                      </m:r>
                      <m:r>
                        <a:rPr lang="es-ES" sz="1400" b="0" i="1">
                          <a:solidFill>
                            <a:schemeClr val="tx1"/>
                          </a:solidFill>
                          <a:effectLst/>
                          <a:latin typeface="Cambria Math" panose="02040503050406030204" pitchFamily="18" charset="0"/>
                          <a:ea typeface="+mn-ea"/>
                          <a:cs typeface="+mn-cs"/>
                        </a:rPr>
                        <m:t>+</m:t>
                      </m:r>
                      <m:r>
                        <a:rPr lang="es-ES" sz="1400" b="0" i="1">
                          <a:solidFill>
                            <a:schemeClr val="tx1"/>
                          </a:solidFill>
                          <a:effectLst/>
                          <a:latin typeface="Cambria Math" panose="02040503050406030204" pitchFamily="18" charset="0"/>
                          <a:ea typeface="+mn-ea"/>
                          <a:cs typeface="+mn-cs"/>
                        </a:rPr>
                        <m:t>𝑃𝑖𝑗</m:t>
                      </m:r>
                      <m:r>
                        <a:rPr lang="es-ES" sz="1400" b="0" i="1">
                          <a:solidFill>
                            <a:schemeClr val="tx1"/>
                          </a:solidFill>
                          <a:effectLst/>
                          <a:latin typeface="Cambria Math" panose="02040503050406030204" pitchFamily="18" charset="0"/>
                          <a:ea typeface="+mn-ea"/>
                          <a:cs typeface="+mn-cs"/>
                        </a:rPr>
                        <m:t> </m:t>
                      </m:r>
                    </m:den>
                  </m:f>
                </m:oMath>
              </a14:m>
              <a:r>
                <a:rPr lang="es-ES" sz="1400" i="1">
                  <a:latin typeface="+mn-lt"/>
                  <a:cs typeface="Arial" panose="020B0604020202020204" pitchFamily="34" charset="0"/>
                </a:rPr>
                <a:t> x</a:t>
              </a:r>
              <a:r>
                <a:rPr lang="es-ES" sz="1400" i="1" baseline="0">
                  <a:latin typeface="+mn-lt"/>
                  <a:cs typeface="Arial" panose="020B0604020202020204" pitchFamily="34" charset="0"/>
                </a:rPr>
                <a:t> 100</a:t>
              </a:r>
              <a:endParaRPr lang="es-ES" sz="1400" i="1">
                <a:latin typeface="+mn-lt"/>
                <a:cs typeface="Arial" panose="020B0604020202020204" pitchFamily="34" charset="0"/>
              </a:endParaRPr>
            </a:p>
          </xdr:txBody>
        </xdr:sp>
      </mc:Choice>
      <mc:Fallback xmlns="">
        <xdr:sp macro="" textlink="">
          <xdr:nvSpPr>
            <xdr:cNvPr id="95" name="CuadroTexto 94">
              <a:extLst>
                <a:ext uri="{FF2B5EF4-FFF2-40B4-BE49-F238E27FC236}">
                  <a16:creationId xmlns:a16="http://schemas.microsoft.com/office/drawing/2014/main" xmlns="" xmlns:a14="http://schemas.microsoft.com/office/drawing/2010/main" id="{00000000-0008-0000-0100-00000F000000}"/>
                </a:ext>
              </a:extLst>
            </xdr:cNvPr>
            <xdr:cNvSpPr txBox="1"/>
          </xdr:nvSpPr>
          <xdr:spPr>
            <a:xfrm>
              <a:off x="31273749" y="50796825"/>
              <a:ext cx="2495720" cy="49356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ctr">
              <a:noAutofit/>
            </a:bodyPr>
            <a:lstStyle/>
            <a:p>
              <a:pPr algn="ctr"/>
              <a:r>
                <a:rPr lang="es-ES" sz="1400" i="1">
                  <a:latin typeface="+mn-lt"/>
                  <a:cs typeface="Arial" panose="020B0604020202020204" pitchFamily="34" charset="0"/>
                </a:rPr>
                <a:t>PMI</a:t>
              </a:r>
              <a:r>
                <a:rPr lang="es-ES" sz="1400" i="1" baseline="-25000">
                  <a:latin typeface="+mn-lt"/>
                  <a:cs typeface="Arial" panose="020B0604020202020204" pitchFamily="34" charset="0"/>
                </a:rPr>
                <a:t>ij</a:t>
              </a:r>
              <a:r>
                <a:rPr lang="es-ES" sz="1400" i="0">
                  <a:latin typeface="Cambria Math" panose="02040503050406030204" pitchFamily="18" charset="0"/>
                </a:rPr>
                <a:t>=(</a:t>
              </a:r>
              <a:r>
                <a:rPr lang="es-ES" sz="1400" b="0" i="0">
                  <a:latin typeface="Cambria Math" panose="02040503050406030204" pitchFamily="18" charset="0"/>
                </a:rPr>
                <a:t> 𝑄𝑖𝑗</a:t>
              </a:r>
              <a:r>
                <a:rPr lang="es-ES" sz="1400" b="0" i="0" baseline="-25000">
                  <a:latin typeface="Cambria Math" panose="02040503050406030204" pitchFamily="18" charset="0"/>
                </a:rPr>
                <a:t>  )/(</a:t>
              </a:r>
              <a:r>
                <a:rPr lang="es-ES" sz="1400" b="0" i="0">
                  <a:solidFill>
                    <a:schemeClr val="tx1"/>
                  </a:solidFill>
                  <a:effectLst/>
                  <a:latin typeface="Cambria Math" panose="02040503050406030204" pitchFamily="18" charset="0"/>
                  <a:ea typeface="+mn-ea"/>
                  <a:cs typeface="+mn-cs"/>
                </a:rPr>
                <a:t>𝐶𝐼</a:t>
              </a:r>
              <a:r>
                <a:rPr lang="es-ES" sz="1400" b="0" i="0" baseline="-25000">
                  <a:solidFill>
                    <a:schemeClr val="tx1"/>
                  </a:solidFill>
                  <a:effectLst/>
                  <a:latin typeface="Cambria Math" panose="02040503050406030204" pitchFamily="18" charset="0"/>
                  <a:ea typeface="+mn-ea"/>
                  <a:cs typeface="+mn-cs"/>
                </a:rPr>
                <a:t>𝑖𝑗</a:t>
              </a:r>
              <a:r>
                <a:rPr lang="es-ES" sz="1400" b="0" i="0">
                  <a:solidFill>
                    <a:schemeClr val="tx1"/>
                  </a:solidFill>
                  <a:effectLst/>
                  <a:latin typeface="Cambria Math" panose="02040503050406030204" pitchFamily="18" charset="0"/>
                  <a:ea typeface="+mn-ea"/>
                  <a:cs typeface="+mn-cs"/>
                </a:rPr>
                <a:t>+𝐶𝐹𝑖𝑗 ±𝑉𝐸𝑖𝑗+𝑃𝑖𝑗 )</a:t>
              </a:r>
              <a:r>
                <a:rPr lang="es-ES" sz="1400" i="1">
                  <a:latin typeface="+mn-lt"/>
                  <a:cs typeface="Arial" panose="020B0604020202020204" pitchFamily="34" charset="0"/>
                </a:rPr>
                <a:t> x</a:t>
              </a:r>
              <a:r>
                <a:rPr lang="es-ES" sz="1400" i="1" baseline="0">
                  <a:latin typeface="+mn-lt"/>
                  <a:cs typeface="Arial" panose="020B0604020202020204" pitchFamily="34" charset="0"/>
                </a:rPr>
                <a:t> 100</a:t>
              </a:r>
              <a:endParaRPr lang="es-ES" sz="1400" i="1">
                <a:latin typeface="+mn-lt"/>
                <a:cs typeface="Arial" panose="020B0604020202020204" pitchFamily="34" charset="0"/>
              </a:endParaRPr>
            </a:p>
          </xdr:txBody>
        </xdr:sp>
      </mc:Fallback>
    </mc:AlternateContent>
    <xdr:clientData/>
  </xdr:oneCellAnchor>
  <xdr:oneCellAnchor>
    <xdr:from>
      <xdr:col>42</xdr:col>
      <xdr:colOff>63499</xdr:colOff>
      <xdr:row>167</xdr:row>
      <xdr:rowOff>0</xdr:rowOff>
    </xdr:from>
    <xdr:ext cx="2495720" cy="493569"/>
    <mc:AlternateContent xmlns:mc="http://schemas.openxmlformats.org/markup-compatibility/2006" xmlns:a14="http://schemas.microsoft.com/office/drawing/2010/main">
      <mc:Choice Requires="a14">
        <xdr:sp macro="" textlink="">
          <xdr:nvSpPr>
            <xdr:cNvPr id="96" name="CuadroTexto 95">
              <a:extLst>
                <a:ext uri="{FF2B5EF4-FFF2-40B4-BE49-F238E27FC236}">
                  <a16:creationId xmlns:a16="http://schemas.microsoft.com/office/drawing/2014/main" id="{00000000-0008-0000-0400-000060000000}"/>
                </a:ext>
              </a:extLst>
            </xdr:cNvPr>
            <xdr:cNvSpPr txBox="1"/>
          </xdr:nvSpPr>
          <xdr:spPr>
            <a:xfrm>
              <a:off x="31305499" y="50796825"/>
              <a:ext cx="2495720" cy="49356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ctr">
              <a:noAutofit/>
            </a:bodyPr>
            <a:lstStyle/>
            <a:p>
              <a:pPr algn="ctr"/>
              <a:r>
                <a:rPr lang="es-ES" sz="1400" i="1">
                  <a:latin typeface="+mn-lt"/>
                  <a:cs typeface="Arial" panose="020B0604020202020204" pitchFamily="34" charset="0"/>
                </a:rPr>
                <a:t>PMI</a:t>
              </a:r>
              <a:r>
                <a:rPr lang="es-ES" sz="1400" i="1" baseline="-25000">
                  <a:latin typeface="+mn-lt"/>
                  <a:cs typeface="Arial" panose="020B0604020202020204" pitchFamily="34" charset="0"/>
                </a:rPr>
                <a:t>ij</a:t>
              </a:r>
              <a14:m>
                <m:oMath xmlns:m="http://schemas.openxmlformats.org/officeDocument/2006/math">
                  <m:r>
                    <a:rPr lang="es-ES" sz="1400" i="1">
                      <a:latin typeface="Cambria Math" panose="02040503050406030204" pitchFamily="18" charset="0"/>
                    </a:rPr>
                    <m:t>=</m:t>
                  </m:r>
                  <m:f>
                    <m:fPr>
                      <m:ctrlPr>
                        <a:rPr lang="es-ES" sz="1400" i="1">
                          <a:latin typeface="Cambria Math" panose="02040503050406030204" pitchFamily="18" charset="0"/>
                        </a:rPr>
                      </m:ctrlPr>
                    </m:fPr>
                    <m:num>
                      <m:r>
                        <a:rPr lang="es-ES" sz="1400" b="0" i="1">
                          <a:latin typeface="Cambria Math" panose="02040503050406030204" pitchFamily="18" charset="0"/>
                        </a:rPr>
                        <m:t> </m:t>
                      </m:r>
                      <m:r>
                        <a:rPr lang="es-ES" sz="1400" b="0" i="1">
                          <a:latin typeface="Cambria Math" panose="02040503050406030204" pitchFamily="18" charset="0"/>
                        </a:rPr>
                        <m:t>𝑄𝑖𝑗</m:t>
                      </m:r>
                      <m:r>
                        <a:rPr lang="es-ES" sz="1400" b="0" i="1" baseline="-25000">
                          <a:latin typeface="Cambria Math" panose="02040503050406030204" pitchFamily="18" charset="0"/>
                        </a:rPr>
                        <m:t>  </m:t>
                      </m:r>
                    </m:num>
                    <m:den>
                      <m:r>
                        <a:rPr lang="es-ES" sz="1400" b="0" i="1">
                          <a:solidFill>
                            <a:schemeClr val="tx1"/>
                          </a:solidFill>
                          <a:effectLst/>
                          <a:latin typeface="Cambria Math" panose="02040503050406030204" pitchFamily="18" charset="0"/>
                          <a:ea typeface="+mn-ea"/>
                          <a:cs typeface="+mn-cs"/>
                        </a:rPr>
                        <m:t>𝐶𝐼</m:t>
                      </m:r>
                      <m:r>
                        <a:rPr lang="es-ES" sz="1400" b="0" i="1" baseline="-25000">
                          <a:solidFill>
                            <a:schemeClr val="tx1"/>
                          </a:solidFill>
                          <a:effectLst/>
                          <a:latin typeface="Cambria Math" panose="02040503050406030204" pitchFamily="18" charset="0"/>
                          <a:ea typeface="+mn-ea"/>
                          <a:cs typeface="+mn-cs"/>
                        </a:rPr>
                        <m:t>𝑖𝑗</m:t>
                      </m:r>
                      <m:r>
                        <a:rPr lang="es-ES" sz="1400" b="0" i="1">
                          <a:solidFill>
                            <a:schemeClr val="tx1"/>
                          </a:solidFill>
                          <a:effectLst/>
                          <a:latin typeface="Cambria Math" panose="02040503050406030204" pitchFamily="18" charset="0"/>
                          <a:ea typeface="+mn-ea"/>
                          <a:cs typeface="+mn-cs"/>
                        </a:rPr>
                        <m:t>+</m:t>
                      </m:r>
                      <m:r>
                        <a:rPr lang="es-ES" sz="1400" b="0" i="1">
                          <a:solidFill>
                            <a:schemeClr val="tx1"/>
                          </a:solidFill>
                          <a:effectLst/>
                          <a:latin typeface="Cambria Math" panose="02040503050406030204" pitchFamily="18" charset="0"/>
                          <a:ea typeface="+mn-ea"/>
                          <a:cs typeface="+mn-cs"/>
                        </a:rPr>
                        <m:t>𝐶𝐹𝑖𝑗</m:t>
                      </m:r>
                      <m:r>
                        <a:rPr lang="es-ES" sz="1400" b="0" i="1">
                          <a:solidFill>
                            <a:schemeClr val="tx1"/>
                          </a:solidFill>
                          <a:effectLst/>
                          <a:latin typeface="Cambria Math" panose="02040503050406030204" pitchFamily="18" charset="0"/>
                          <a:ea typeface="+mn-ea"/>
                          <a:cs typeface="+mn-cs"/>
                        </a:rPr>
                        <m:t> ±</m:t>
                      </m:r>
                      <m:r>
                        <a:rPr lang="es-ES" sz="1400" b="0" i="1">
                          <a:solidFill>
                            <a:schemeClr val="tx1"/>
                          </a:solidFill>
                          <a:effectLst/>
                          <a:latin typeface="Cambria Math" panose="02040503050406030204" pitchFamily="18" charset="0"/>
                          <a:ea typeface="+mn-ea"/>
                          <a:cs typeface="+mn-cs"/>
                        </a:rPr>
                        <m:t>𝑉𝐸𝑖𝑗</m:t>
                      </m:r>
                      <m:r>
                        <a:rPr lang="es-ES" sz="1400" b="0" i="1">
                          <a:solidFill>
                            <a:schemeClr val="tx1"/>
                          </a:solidFill>
                          <a:effectLst/>
                          <a:latin typeface="Cambria Math" panose="02040503050406030204" pitchFamily="18" charset="0"/>
                          <a:ea typeface="+mn-ea"/>
                          <a:cs typeface="+mn-cs"/>
                        </a:rPr>
                        <m:t>+</m:t>
                      </m:r>
                      <m:r>
                        <a:rPr lang="es-ES" sz="1400" b="0" i="1">
                          <a:solidFill>
                            <a:schemeClr val="tx1"/>
                          </a:solidFill>
                          <a:effectLst/>
                          <a:latin typeface="Cambria Math" panose="02040503050406030204" pitchFamily="18" charset="0"/>
                          <a:ea typeface="+mn-ea"/>
                          <a:cs typeface="+mn-cs"/>
                        </a:rPr>
                        <m:t>𝑃𝑖𝑗</m:t>
                      </m:r>
                      <m:r>
                        <a:rPr lang="es-ES" sz="1400" b="0" i="1">
                          <a:solidFill>
                            <a:schemeClr val="tx1"/>
                          </a:solidFill>
                          <a:effectLst/>
                          <a:latin typeface="Cambria Math" panose="02040503050406030204" pitchFamily="18" charset="0"/>
                          <a:ea typeface="+mn-ea"/>
                          <a:cs typeface="+mn-cs"/>
                        </a:rPr>
                        <m:t> </m:t>
                      </m:r>
                    </m:den>
                  </m:f>
                </m:oMath>
              </a14:m>
              <a:r>
                <a:rPr lang="es-ES" sz="1400" i="1">
                  <a:latin typeface="+mn-lt"/>
                  <a:cs typeface="Arial" panose="020B0604020202020204" pitchFamily="34" charset="0"/>
                </a:rPr>
                <a:t> x</a:t>
              </a:r>
              <a:r>
                <a:rPr lang="es-ES" sz="1400" i="1" baseline="0">
                  <a:latin typeface="+mn-lt"/>
                  <a:cs typeface="Arial" panose="020B0604020202020204" pitchFamily="34" charset="0"/>
                </a:rPr>
                <a:t> 100</a:t>
              </a:r>
              <a:endParaRPr lang="es-ES" sz="1400" i="1">
                <a:latin typeface="+mn-lt"/>
                <a:cs typeface="Arial" panose="020B0604020202020204" pitchFamily="34" charset="0"/>
              </a:endParaRPr>
            </a:p>
          </xdr:txBody>
        </xdr:sp>
      </mc:Choice>
      <mc:Fallback xmlns="">
        <xdr:sp macro="" textlink="">
          <xdr:nvSpPr>
            <xdr:cNvPr id="96" name="CuadroTexto 95">
              <a:extLst>
                <a:ext uri="{FF2B5EF4-FFF2-40B4-BE49-F238E27FC236}">
                  <a16:creationId xmlns:a16="http://schemas.microsoft.com/office/drawing/2014/main" xmlns="" xmlns:a14="http://schemas.microsoft.com/office/drawing/2010/main" id="{00000000-0008-0000-0100-000010000000}"/>
                </a:ext>
              </a:extLst>
            </xdr:cNvPr>
            <xdr:cNvSpPr txBox="1"/>
          </xdr:nvSpPr>
          <xdr:spPr>
            <a:xfrm>
              <a:off x="31305499" y="50796825"/>
              <a:ext cx="2495720" cy="49356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ctr">
              <a:noAutofit/>
            </a:bodyPr>
            <a:lstStyle/>
            <a:p>
              <a:pPr algn="ctr"/>
              <a:r>
                <a:rPr lang="es-ES" sz="1400" i="1">
                  <a:latin typeface="+mn-lt"/>
                  <a:cs typeface="Arial" panose="020B0604020202020204" pitchFamily="34" charset="0"/>
                </a:rPr>
                <a:t>PMI</a:t>
              </a:r>
              <a:r>
                <a:rPr lang="es-ES" sz="1400" i="1" baseline="-25000">
                  <a:latin typeface="+mn-lt"/>
                  <a:cs typeface="Arial" panose="020B0604020202020204" pitchFamily="34" charset="0"/>
                </a:rPr>
                <a:t>ij</a:t>
              </a:r>
              <a:r>
                <a:rPr lang="es-ES" sz="1400" i="0">
                  <a:latin typeface="Cambria Math" panose="02040503050406030204" pitchFamily="18" charset="0"/>
                </a:rPr>
                <a:t>=(</a:t>
              </a:r>
              <a:r>
                <a:rPr lang="es-ES" sz="1400" b="0" i="0">
                  <a:latin typeface="Cambria Math" panose="02040503050406030204" pitchFamily="18" charset="0"/>
                </a:rPr>
                <a:t> 𝑄𝑖𝑗</a:t>
              </a:r>
              <a:r>
                <a:rPr lang="es-ES" sz="1400" b="0" i="0" baseline="-25000">
                  <a:latin typeface="Cambria Math" panose="02040503050406030204" pitchFamily="18" charset="0"/>
                </a:rPr>
                <a:t>  )/(</a:t>
              </a:r>
              <a:r>
                <a:rPr lang="es-ES" sz="1400" b="0" i="0">
                  <a:solidFill>
                    <a:schemeClr val="tx1"/>
                  </a:solidFill>
                  <a:effectLst/>
                  <a:latin typeface="Cambria Math" panose="02040503050406030204" pitchFamily="18" charset="0"/>
                  <a:ea typeface="+mn-ea"/>
                  <a:cs typeface="+mn-cs"/>
                </a:rPr>
                <a:t>𝐶𝐼</a:t>
              </a:r>
              <a:r>
                <a:rPr lang="es-ES" sz="1400" b="0" i="0" baseline="-25000">
                  <a:solidFill>
                    <a:schemeClr val="tx1"/>
                  </a:solidFill>
                  <a:effectLst/>
                  <a:latin typeface="Cambria Math" panose="02040503050406030204" pitchFamily="18" charset="0"/>
                  <a:ea typeface="+mn-ea"/>
                  <a:cs typeface="+mn-cs"/>
                </a:rPr>
                <a:t>𝑖𝑗</a:t>
              </a:r>
              <a:r>
                <a:rPr lang="es-ES" sz="1400" b="0" i="0">
                  <a:solidFill>
                    <a:schemeClr val="tx1"/>
                  </a:solidFill>
                  <a:effectLst/>
                  <a:latin typeface="Cambria Math" panose="02040503050406030204" pitchFamily="18" charset="0"/>
                  <a:ea typeface="+mn-ea"/>
                  <a:cs typeface="+mn-cs"/>
                </a:rPr>
                <a:t>+𝐶𝐹𝑖𝑗 ±𝑉𝐸𝑖𝑗+𝑃𝑖𝑗 )</a:t>
              </a:r>
              <a:r>
                <a:rPr lang="es-ES" sz="1400" i="1">
                  <a:latin typeface="+mn-lt"/>
                  <a:cs typeface="Arial" panose="020B0604020202020204" pitchFamily="34" charset="0"/>
                </a:rPr>
                <a:t> x</a:t>
              </a:r>
              <a:r>
                <a:rPr lang="es-ES" sz="1400" i="1" baseline="0">
                  <a:latin typeface="+mn-lt"/>
                  <a:cs typeface="Arial" panose="020B0604020202020204" pitchFamily="34" charset="0"/>
                </a:rPr>
                <a:t> 100</a:t>
              </a:r>
              <a:endParaRPr lang="es-ES" sz="1400" i="1">
                <a:latin typeface="+mn-lt"/>
                <a:cs typeface="Arial" panose="020B0604020202020204" pitchFamily="34" charset="0"/>
              </a:endParaRPr>
            </a:p>
          </xdr:txBody>
        </xdr:sp>
      </mc:Fallback>
    </mc:AlternateContent>
    <xdr:clientData/>
  </xdr:oneCellAnchor>
  <xdr:oneCellAnchor>
    <xdr:from>
      <xdr:col>42</xdr:col>
      <xdr:colOff>42332</xdr:colOff>
      <xdr:row>167</xdr:row>
      <xdr:rowOff>0</xdr:rowOff>
    </xdr:from>
    <xdr:ext cx="2495720" cy="493569"/>
    <mc:AlternateContent xmlns:mc="http://schemas.openxmlformats.org/markup-compatibility/2006" xmlns:a14="http://schemas.microsoft.com/office/drawing/2010/main">
      <mc:Choice Requires="a14">
        <xdr:sp macro="" textlink="">
          <xdr:nvSpPr>
            <xdr:cNvPr id="97" name="CuadroTexto 96">
              <a:extLst>
                <a:ext uri="{FF2B5EF4-FFF2-40B4-BE49-F238E27FC236}">
                  <a16:creationId xmlns:a16="http://schemas.microsoft.com/office/drawing/2014/main" id="{00000000-0008-0000-0400-000061000000}"/>
                </a:ext>
              </a:extLst>
            </xdr:cNvPr>
            <xdr:cNvSpPr txBox="1"/>
          </xdr:nvSpPr>
          <xdr:spPr>
            <a:xfrm>
              <a:off x="31284332" y="50796825"/>
              <a:ext cx="2495720" cy="49356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ctr">
              <a:noAutofit/>
            </a:bodyPr>
            <a:lstStyle/>
            <a:p>
              <a:pPr algn="ctr"/>
              <a:r>
                <a:rPr lang="es-ES" sz="1400" i="1">
                  <a:latin typeface="+mn-lt"/>
                  <a:cs typeface="Arial" panose="020B0604020202020204" pitchFamily="34" charset="0"/>
                </a:rPr>
                <a:t>PMI</a:t>
              </a:r>
              <a:r>
                <a:rPr lang="es-ES" sz="1400" i="1" baseline="-25000">
                  <a:latin typeface="+mn-lt"/>
                  <a:cs typeface="Arial" panose="020B0604020202020204" pitchFamily="34" charset="0"/>
                </a:rPr>
                <a:t>ij</a:t>
              </a:r>
              <a14:m>
                <m:oMath xmlns:m="http://schemas.openxmlformats.org/officeDocument/2006/math">
                  <m:r>
                    <a:rPr lang="es-ES" sz="1400" i="1">
                      <a:latin typeface="Cambria Math" panose="02040503050406030204" pitchFamily="18" charset="0"/>
                    </a:rPr>
                    <m:t>=</m:t>
                  </m:r>
                  <m:f>
                    <m:fPr>
                      <m:ctrlPr>
                        <a:rPr lang="es-ES" sz="1400" i="1">
                          <a:latin typeface="Cambria Math" panose="02040503050406030204" pitchFamily="18" charset="0"/>
                        </a:rPr>
                      </m:ctrlPr>
                    </m:fPr>
                    <m:num>
                      <m:r>
                        <a:rPr lang="es-ES" sz="1400" b="0" i="1">
                          <a:latin typeface="Cambria Math" panose="02040503050406030204" pitchFamily="18" charset="0"/>
                        </a:rPr>
                        <m:t> </m:t>
                      </m:r>
                      <m:r>
                        <a:rPr lang="es-ES" sz="1400" b="0" i="1">
                          <a:latin typeface="Cambria Math" panose="02040503050406030204" pitchFamily="18" charset="0"/>
                        </a:rPr>
                        <m:t>𝑄𝑖𝑗</m:t>
                      </m:r>
                      <m:r>
                        <a:rPr lang="es-ES" sz="1400" b="0" i="1" baseline="-25000">
                          <a:latin typeface="Cambria Math" panose="02040503050406030204" pitchFamily="18" charset="0"/>
                        </a:rPr>
                        <m:t>  </m:t>
                      </m:r>
                    </m:num>
                    <m:den>
                      <m:r>
                        <a:rPr lang="es-ES" sz="1400" b="0" i="1">
                          <a:solidFill>
                            <a:schemeClr val="tx1"/>
                          </a:solidFill>
                          <a:effectLst/>
                          <a:latin typeface="Cambria Math" panose="02040503050406030204" pitchFamily="18" charset="0"/>
                          <a:ea typeface="+mn-ea"/>
                          <a:cs typeface="+mn-cs"/>
                        </a:rPr>
                        <m:t>𝐶𝐼</m:t>
                      </m:r>
                      <m:r>
                        <a:rPr lang="es-ES" sz="1400" b="0" i="1" baseline="-25000">
                          <a:solidFill>
                            <a:schemeClr val="tx1"/>
                          </a:solidFill>
                          <a:effectLst/>
                          <a:latin typeface="Cambria Math" panose="02040503050406030204" pitchFamily="18" charset="0"/>
                          <a:ea typeface="+mn-ea"/>
                          <a:cs typeface="+mn-cs"/>
                        </a:rPr>
                        <m:t>𝑖𝑗</m:t>
                      </m:r>
                      <m:r>
                        <a:rPr lang="es-ES" sz="1400" b="0" i="1">
                          <a:solidFill>
                            <a:schemeClr val="tx1"/>
                          </a:solidFill>
                          <a:effectLst/>
                          <a:latin typeface="Cambria Math" panose="02040503050406030204" pitchFamily="18" charset="0"/>
                          <a:ea typeface="+mn-ea"/>
                          <a:cs typeface="+mn-cs"/>
                        </a:rPr>
                        <m:t>+</m:t>
                      </m:r>
                      <m:r>
                        <a:rPr lang="es-ES" sz="1400" b="0" i="1">
                          <a:solidFill>
                            <a:schemeClr val="tx1"/>
                          </a:solidFill>
                          <a:effectLst/>
                          <a:latin typeface="Cambria Math" panose="02040503050406030204" pitchFamily="18" charset="0"/>
                          <a:ea typeface="+mn-ea"/>
                          <a:cs typeface="+mn-cs"/>
                        </a:rPr>
                        <m:t>𝐶𝐹𝑖𝑗</m:t>
                      </m:r>
                      <m:r>
                        <a:rPr lang="es-ES" sz="1400" b="0" i="1">
                          <a:solidFill>
                            <a:schemeClr val="tx1"/>
                          </a:solidFill>
                          <a:effectLst/>
                          <a:latin typeface="Cambria Math" panose="02040503050406030204" pitchFamily="18" charset="0"/>
                          <a:ea typeface="+mn-ea"/>
                          <a:cs typeface="+mn-cs"/>
                        </a:rPr>
                        <m:t> ±</m:t>
                      </m:r>
                      <m:r>
                        <a:rPr lang="es-ES" sz="1400" b="0" i="1">
                          <a:solidFill>
                            <a:schemeClr val="tx1"/>
                          </a:solidFill>
                          <a:effectLst/>
                          <a:latin typeface="Cambria Math" panose="02040503050406030204" pitchFamily="18" charset="0"/>
                          <a:ea typeface="+mn-ea"/>
                          <a:cs typeface="+mn-cs"/>
                        </a:rPr>
                        <m:t>𝑉𝐸𝑖𝑗</m:t>
                      </m:r>
                      <m:r>
                        <a:rPr lang="es-ES" sz="1400" b="0" i="1">
                          <a:solidFill>
                            <a:schemeClr val="tx1"/>
                          </a:solidFill>
                          <a:effectLst/>
                          <a:latin typeface="Cambria Math" panose="02040503050406030204" pitchFamily="18" charset="0"/>
                          <a:ea typeface="+mn-ea"/>
                          <a:cs typeface="+mn-cs"/>
                        </a:rPr>
                        <m:t>+</m:t>
                      </m:r>
                      <m:r>
                        <a:rPr lang="es-ES" sz="1400" b="0" i="1">
                          <a:solidFill>
                            <a:schemeClr val="tx1"/>
                          </a:solidFill>
                          <a:effectLst/>
                          <a:latin typeface="Cambria Math" panose="02040503050406030204" pitchFamily="18" charset="0"/>
                          <a:ea typeface="+mn-ea"/>
                          <a:cs typeface="+mn-cs"/>
                        </a:rPr>
                        <m:t>𝑃𝑖𝑗</m:t>
                      </m:r>
                      <m:r>
                        <a:rPr lang="es-ES" sz="1400" b="0" i="1">
                          <a:solidFill>
                            <a:schemeClr val="tx1"/>
                          </a:solidFill>
                          <a:effectLst/>
                          <a:latin typeface="Cambria Math" panose="02040503050406030204" pitchFamily="18" charset="0"/>
                          <a:ea typeface="+mn-ea"/>
                          <a:cs typeface="+mn-cs"/>
                        </a:rPr>
                        <m:t> </m:t>
                      </m:r>
                    </m:den>
                  </m:f>
                </m:oMath>
              </a14:m>
              <a:r>
                <a:rPr lang="es-ES" sz="1400" i="1">
                  <a:latin typeface="+mn-lt"/>
                  <a:cs typeface="Arial" panose="020B0604020202020204" pitchFamily="34" charset="0"/>
                </a:rPr>
                <a:t> x</a:t>
              </a:r>
              <a:r>
                <a:rPr lang="es-ES" sz="1400" i="1" baseline="0">
                  <a:latin typeface="+mn-lt"/>
                  <a:cs typeface="Arial" panose="020B0604020202020204" pitchFamily="34" charset="0"/>
                </a:rPr>
                <a:t> 100</a:t>
              </a:r>
              <a:endParaRPr lang="es-ES" sz="1400" i="1">
                <a:latin typeface="+mn-lt"/>
                <a:cs typeface="Arial" panose="020B0604020202020204" pitchFamily="34" charset="0"/>
              </a:endParaRPr>
            </a:p>
          </xdr:txBody>
        </xdr:sp>
      </mc:Choice>
      <mc:Fallback xmlns="">
        <xdr:sp macro="" textlink="">
          <xdr:nvSpPr>
            <xdr:cNvPr id="97" name="CuadroTexto 96">
              <a:extLst>
                <a:ext uri="{FF2B5EF4-FFF2-40B4-BE49-F238E27FC236}">
                  <a16:creationId xmlns:a16="http://schemas.microsoft.com/office/drawing/2014/main" xmlns="" xmlns:a14="http://schemas.microsoft.com/office/drawing/2010/main" id="{00000000-0008-0000-0100-000011000000}"/>
                </a:ext>
              </a:extLst>
            </xdr:cNvPr>
            <xdr:cNvSpPr txBox="1"/>
          </xdr:nvSpPr>
          <xdr:spPr>
            <a:xfrm>
              <a:off x="31284332" y="50796825"/>
              <a:ext cx="2495720" cy="49356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ctr">
              <a:noAutofit/>
            </a:bodyPr>
            <a:lstStyle/>
            <a:p>
              <a:pPr algn="ctr"/>
              <a:r>
                <a:rPr lang="es-ES" sz="1400" i="1">
                  <a:latin typeface="+mn-lt"/>
                  <a:cs typeface="Arial" panose="020B0604020202020204" pitchFamily="34" charset="0"/>
                </a:rPr>
                <a:t>PMI</a:t>
              </a:r>
              <a:r>
                <a:rPr lang="es-ES" sz="1400" i="1" baseline="-25000">
                  <a:latin typeface="+mn-lt"/>
                  <a:cs typeface="Arial" panose="020B0604020202020204" pitchFamily="34" charset="0"/>
                </a:rPr>
                <a:t>ij</a:t>
              </a:r>
              <a:r>
                <a:rPr lang="es-ES" sz="1400" i="0">
                  <a:latin typeface="Cambria Math" panose="02040503050406030204" pitchFamily="18" charset="0"/>
                </a:rPr>
                <a:t>=(</a:t>
              </a:r>
              <a:r>
                <a:rPr lang="es-ES" sz="1400" b="0" i="0">
                  <a:latin typeface="Cambria Math" panose="02040503050406030204" pitchFamily="18" charset="0"/>
                </a:rPr>
                <a:t> 𝑄𝑖𝑗</a:t>
              </a:r>
              <a:r>
                <a:rPr lang="es-ES" sz="1400" b="0" i="0" baseline="-25000">
                  <a:latin typeface="Cambria Math" panose="02040503050406030204" pitchFamily="18" charset="0"/>
                </a:rPr>
                <a:t>  )/(</a:t>
              </a:r>
              <a:r>
                <a:rPr lang="es-ES" sz="1400" b="0" i="0">
                  <a:solidFill>
                    <a:schemeClr val="tx1"/>
                  </a:solidFill>
                  <a:effectLst/>
                  <a:latin typeface="Cambria Math" panose="02040503050406030204" pitchFamily="18" charset="0"/>
                  <a:ea typeface="+mn-ea"/>
                  <a:cs typeface="+mn-cs"/>
                </a:rPr>
                <a:t>𝐶𝐼</a:t>
              </a:r>
              <a:r>
                <a:rPr lang="es-ES" sz="1400" b="0" i="0" baseline="-25000">
                  <a:solidFill>
                    <a:schemeClr val="tx1"/>
                  </a:solidFill>
                  <a:effectLst/>
                  <a:latin typeface="Cambria Math" panose="02040503050406030204" pitchFamily="18" charset="0"/>
                  <a:ea typeface="+mn-ea"/>
                  <a:cs typeface="+mn-cs"/>
                </a:rPr>
                <a:t>𝑖𝑗</a:t>
              </a:r>
              <a:r>
                <a:rPr lang="es-ES" sz="1400" b="0" i="0">
                  <a:solidFill>
                    <a:schemeClr val="tx1"/>
                  </a:solidFill>
                  <a:effectLst/>
                  <a:latin typeface="Cambria Math" panose="02040503050406030204" pitchFamily="18" charset="0"/>
                  <a:ea typeface="+mn-ea"/>
                  <a:cs typeface="+mn-cs"/>
                </a:rPr>
                <a:t>+𝐶𝐹𝑖𝑗 ±𝑉𝐸𝑖𝑗+𝑃𝑖𝑗 )</a:t>
              </a:r>
              <a:r>
                <a:rPr lang="es-ES" sz="1400" i="1">
                  <a:latin typeface="+mn-lt"/>
                  <a:cs typeface="Arial" panose="020B0604020202020204" pitchFamily="34" charset="0"/>
                </a:rPr>
                <a:t> x</a:t>
              </a:r>
              <a:r>
                <a:rPr lang="es-ES" sz="1400" i="1" baseline="0">
                  <a:latin typeface="+mn-lt"/>
                  <a:cs typeface="Arial" panose="020B0604020202020204" pitchFamily="34" charset="0"/>
                </a:rPr>
                <a:t> 100</a:t>
              </a:r>
              <a:endParaRPr lang="es-ES" sz="1400" i="1">
                <a:latin typeface="+mn-lt"/>
                <a:cs typeface="Arial" panose="020B0604020202020204" pitchFamily="34" charset="0"/>
              </a:endParaRPr>
            </a:p>
          </xdr:txBody>
        </xdr:sp>
      </mc:Fallback>
    </mc:AlternateContent>
    <xdr:clientData/>
  </xdr:oneCellAnchor>
  <xdr:oneCellAnchor>
    <xdr:from>
      <xdr:col>42</xdr:col>
      <xdr:colOff>52915</xdr:colOff>
      <xdr:row>167</xdr:row>
      <xdr:rowOff>0</xdr:rowOff>
    </xdr:from>
    <xdr:ext cx="2495720" cy="493569"/>
    <mc:AlternateContent xmlns:mc="http://schemas.openxmlformats.org/markup-compatibility/2006" xmlns:a14="http://schemas.microsoft.com/office/drawing/2010/main">
      <mc:Choice Requires="a14">
        <xdr:sp macro="" textlink="">
          <xdr:nvSpPr>
            <xdr:cNvPr id="98" name="CuadroTexto 97">
              <a:extLst>
                <a:ext uri="{FF2B5EF4-FFF2-40B4-BE49-F238E27FC236}">
                  <a16:creationId xmlns:a16="http://schemas.microsoft.com/office/drawing/2014/main" id="{00000000-0008-0000-0400-000062000000}"/>
                </a:ext>
              </a:extLst>
            </xdr:cNvPr>
            <xdr:cNvSpPr txBox="1"/>
          </xdr:nvSpPr>
          <xdr:spPr>
            <a:xfrm>
              <a:off x="31294915" y="50796825"/>
              <a:ext cx="2495720" cy="49356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ctr">
              <a:noAutofit/>
            </a:bodyPr>
            <a:lstStyle/>
            <a:p>
              <a:pPr algn="ctr"/>
              <a:r>
                <a:rPr lang="es-ES" sz="1400" i="1">
                  <a:latin typeface="+mn-lt"/>
                  <a:cs typeface="Arial" panose="020B0604020202020204" pitchFamily="34" charset="0"/>
                </a:rPr>
                <a:t>PMI</a:t>
              </a:r>
              <a:r>
                <a:rPr lang="es-ES" sz="1400" i="1" baseline="-25000">
                  <a:latin typeface="+mn-lt"/>
                  <a:cs typeface="Arial" panose="020B0604020202020204" pitchFamily="34" charset="0"/>
                </a:rPr>
                <a:t>ij</a:t>
              </a:r>
              <a14:m>
                <m:oMath xmlns:m="http://schemas.openxmlformats.org/officeDocument/2006/math">
                  <m:r>
                    <a:rPr lang="es-ES" sz="1400" i="1">
                      <a:latin typeface="Cambria Math" panose="02040503050406030204" pitchFamily="18" charset="0"/>
                    </a:rPr>
                    <m:t>=</m:t>
                  </m:r>
                  <m:f>
                    <m:fPr>
                      <m:ctrlPr>
                        <a:rPr lang="es-ES" sz="1400" i="1">
                          <a:latin typeface="Cambria Math" panose="02040503050406030204" pitchFamily="18" charset="0"/>
                        </a:rPr>
                      </m:ctrlPr>
                    </m:fPr>
                    <m:num>
                      <m:r>
                        <a:rPr lang="es-ES" sz="1400" b="0" i="1">
                          <a:latin typeface="Cambria Math" panose="02040503050406030204" pitchFamily="18" charset="0"/>
                        </a:rPr>
                        <m:t> </m:t>
                      </m:r>
                      <m:r>
                        <a:rPr lang="es-ES" sz="1400" b="0" i="1">
                          <a:latin typeface="Cambria Math" panose="02040503050406030204" pitchFamily="18" charset="0"/>
                        </a:rPr>
                        <m:t>𝑄𝑖𝑗</m:t>
                      </m:r>
                      <m:r>
                        <a:rPr lang="es-ES" sz="1400" b="0" i="1" baseline="-25000">
                          <a:latin typeface="Cambria Math" panose="02040503050406030204" pitchFamily="18" charset="0"/>
                        </a:rPr>
                        <m:t>  </m:t>
                      </m:r>
                    </m:num>
                    <m:den>
                      <m:eqArr>
                        <m:eqArrPr>
                          <m:ctrlPr>
                            <a:rPr lang="es-ES" sz="1400" b="0" i="1">
                              <a:solidFill>
                                <a:schemeClr val="tx1"/>
                              </a:solidFill>
                              <a:effectLst/>
                              <a:latin typeface="Cambria Math" panose="02040503050406030204" pitchFamily="18" charset="0"/>
                              <a:ea typeface="+mn-ea"/>
                              <a:cs typeface="+mn-cs"/>
                            </a:rPr>
                          </m:ctrlPr>
                        </m:eqArrPr>
                        <m:e>
                          <m:r>
                            <a:rPr lang="es-ES" sz="1400" b="0" i="1">
                              <a:solidFill>
                                <a:schemeClr val="tx1"/>
                              </a:solidFill>
                              <a:effectLst/>
                              <a:latin typeface="Cambria Math" panose="02040503050406030204" pitchFamily="18" charset="0"/>
                              <a:ea typeface="+mn-ea"/>
                              <a:cs typeface="+mn-cs"/>
                            </a:rPr>
                            <m:t>𝐶𝐼</m:t>
                          </m:r>
                          <m:r>
                            <a:rPr lang="es-ES" sz="1400" b="0" i="1" baseline="-25000">
                              <a:solidFill>
                                <a:schemeClr val="tx1"/>
                              </a:solidFill>
                              <a:effectLst/>
                              <a:latin typeface="Cambria Math" panose="02040503050406030204" pitchFamily="18" charset="0"/>
                              <a:ea typeface="+mn-ea"/>
                              <a:cs typeface="+mn-cs"/>
                            </a:rPr>
                            <m:t>𝑖𝑗</m:t>
                          </m:r>
                          <m:r>
                            <a:rPr lang="es-ES" sz="1400" b="0" i="1">
                              <a:solidFill>
                                <a:schemeClr val="tx1"/>
                              </a:solidFill>
                              <a:effectLst/>
                              <a:latin typeface="Cambria Math" panose="02040503050406030204" pitchFamily="18" charset="0"/>
                              <a:ea typeface="+mn-ea"/>
                              <a:cs typeface="+mn-cs"/>
                            </a:rPr>
                            <m:t>+</m:t>
                          </m:r>
                          <m:r>
                            <a:rPr lang="es-ES" sz="1400" b="0" i="1">
                              <a:solidFill>
                                <a:schemeClr val="tx1"/>
                              </a:solidFill>
                              <a:effectLst/>
                              <a:latin typeface="Cambria Math" panose="02040503050406030204" pitchFamily="18" charset="0"/>
                              <a:ea typeface="+mn-ea"/>
                              <a:cs typeface="+mn-cs"/>
                            </a:rPr>
                            <m:t>𝐶𝐹𝑖𝑗</m:t>
                          </m:r>
                          <m:r>
                            <a:rPr lang="es-ES" sz="1400" b="0" i="1">
                              <a:solidFill>
                                <a:schemeClr val="tx1"/>
                              </a:solidFill>
                              <a:effectLst/>
                              <a:latin typeface="Cambria Math" panose="02040503050406030204" pitchFamily="18" charset="0"/>
                              <a:ea typeface="+mn-ea"/>
                              <a:cs typeface="+mn-cs"/>
                            </a:rPr>
                            <m:t>+</m:t>
                          </m:r>
                          <m:r>
                            <a:rPr lang="es-ES" sz="1400" b="0" i="1">
                              <a:solidFill>
                                <a:schemeClr val="tx1"/>
                              </a:solidFill>
                              <a:effectLst/>
                              <a:latin typeface="Cambria Math" panose="02040503050406030204" pitchFamily="18" charset="0"/>
                              <a:ea typeface="+mn-ea"/>
                              <a:cs typeface="+mn-cs"/>
                            </a:rPr>
                            <m:t>𝐹𝐵𝐾𝐹𝑖𝑗</m:t>
                          </m:r>
                          <m:r>
                            <a:rPr lang="es-ES" sz="1400" b="0" i="1">
                              <a:solidFill>
                                <a:schemeClr val="tx1"/>
                              </a:solidFill>
                              <a:effectLst/>
                              <a:latin typeface="Cambria Math" panose="02040503050406030204" pitchFamily="18" charset="0"/>
                              <a:ea typeface="+mn-ea"/>
                              <a:cs typeface="+mn-cs"/>
                            </a:rPr>
                            <m:t> ±</m:t>
                          </m:r>
                          <m:r>
                            <a:rPr lang="es-ES" sz="1400" b="0" i="1">
                              <a:solidFill>
                                <a:schemeClr val="tx1"/>
                              </a:solidFill>
                              <a:effectLst/>
                              <a:latin typeface="Cambria Math" panose="02040503050406030204" pitchFamily="18" charset="0"/>
                              <a:ea typeface="+mn-ea"/>
                              <a:cs typeface="+mn-cs"/>
                            </a:rPr>
                            <m:t>𝑉𝐸𝑖𝑗</m:t>
                          </m:r>
                        </m:e>
                        <m:e>
                          <m:r>
                            <a:rPr lang="es-ES" sz="1400" b="0" i="1">
                              <a:solidFill>
                                <a:schemeClr val="tx1"/>
                              </a:solidFill>
                              <a:effectLst/>
                              <a:latin typeface="Cambria Math" panose="02040503050406030204" pitchFamily="18" charset="0"/>
                              <a:ea typeface="+mn-ea"/>
                              <a:cs typeface="+mn-cs"/>
                            </a:rPr>
                            <m:t> </m:t>
                          </m:r>
                        </m:e>
                      </m:eqArr>
                    </m:den>
                  </m:f>
                </m:oMath>
              </a14:m>
              <a:r>
                <a:rPr lang="es-ES" sz="1400" i="1">
                  <a:latin typeface="+mn-lt"/>
                  <a:cs typeface="Arial" panose="020B0604020202020204" pitchFamily="34" charset="0"/>
                </a:rPr>
                <a:t> x</a:t>
              </a:r>
              <a:r>
                <a:rPr lang="es-ES" sz="1400" i="1" baseline="0">
                  <a:latin typeface="+mn-lt"/>
                  <a:cs typeface="Arial" panose="020B0604020202020204" pitchFamily="34" charset="0"/>
                </a:rPr>
                <a:t> 100</a:t>
              </a:r>
              <a:endParaRPr lang="es-ES" sz="1400" i="1">
                <a:latin typeface="+mn-lt"/>
                <a:cs typeface="Arial" panose="020B0604020202020204" pitchFamily="34" charset="0"/>
              </a:endParaRPr>
            </a:p>
          </xdr:txBody>
        </xdr:sp>
      </mc:Choice>
      <mc:Fallback xmlns="">
        <xdr:sp macro="" textlink="">
          <xdr:nvSpPr>
            <xdr:cNvPr id="98" name="CuadroTexto 97">
              <a:extLst>
                <a:ext uri="{FF2B5EF4-FFF2-40B4-BE49-F238E27FC236}">
                  <a16:creationId xmlns:a16="http://schemas.microsoft.com/office/drawing/2014/main" xmlns="" xmlns:a14="http://schemas.microsoft.com/office/drawing/2010/main" id="{00000000-0008-0000-0100-000012000000}"/>
                </a:ext>
              </a:extLst>
            </xdr:cNvPr>
            <xdr:cNvSpPr txBox="1"/>
          </xdr:nvSpPr>
          <xdr:spPr>
            <a:xfrm>
              <a:off x="31294915" y="50796825"/>
              <a:ext cx="2495720" cy="49356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ctr">
              <a:noAutofit/>
            </a:bodyPr>
            <a:lstStyle/>
            <a:p>
              <a:pPr algn="ctr"/>
              <a:r>
                <a:rPr lang="es-ES" sz="1400" i="1">
                  <a:latin typeface="+mn-lt"/>
                  <a:cs typeface="Arial" panose="020B0604020202020204" pitchFamily="34" charset="0"/>
                </a:rPr>
                <a:t>PMI</a:t>
              </a:r>
              <a:r>
                <a:rPr lang="es-ES" sz="1400" i="1" baseline="-25000">
                  <a:latin typeface="+mn-lt"/>
                  <a:cs typeface="Arial" panose="020B0604020202020204" pitchFamily="34" charset="0"/>
                </a:rPr>
                <a:t>ij</a:t>
              </a:r>
              <a:r>
                <a:rPr lang="es-ES" sz="1400" i="0">
                  <a:latin typeface="Cambria Math" panose="02040503050406030204" pitchFamily="18" charset="0"/>
                </a:rPr>
                <a:t>=(</a:t>
              </a:r>
              <a:r>
                <a:rPr lang="es-ES" sz="1400" b="0" i="0">
                  <a:latin typeface="Cambria Math" panose="02040503050406030204" pitchFamily="18" charset="0"/>
                </a:rPr>
                <a:t> 𝑄𝑖𝑗</a:t>
              </a:r>
              <a:r>
                <a:rPr lang="es-ES" sz="1400" b="0" i="0" baseline="-25000">
                  <a:latin typeface="Cambria Math" panose="02040503050406030204" pitchFamily="18" charset="0"/>
                </a:rPr>
                <a:t>  )/</a:t>
              </a:r>
              <a:r>
                <a:rPr lang="es-ES" sz="1400" b="0" i="0" baseline="-25000">
                  <a:solidFill>
                    <a:schemeClr val="tx1"/>
                  </a:solidFill>
                  <a:effectLst/>
                  <a:latin typeface="Cambria Math" panose="02040503050406030204" pitchFamily="18" charset="0"/>
                  <a:ea typeface="+mn-ea"/>
                  <a:cs typeface="+mn-cs"/>
                </a:rPr>
                <a:t>█(</a:t>
              </a:r>
              <a:r>
                <a:rPr lang="es-ES" sz="1400" b="0" i="0">
                  <a:solidFill>
                    <a:schemeClr val="tx1"/>
                  </a:solidFill>
                  <a:effectLst/>
                  <a:latin typeface="Cambria Math" panose="02040503050406030204" pitchFamily="18" charset="0"/>
                  <a:ea typeface="+mn-ea"/>
                  <a:cs typeface="+mn-cs"/>
                </a:rPr>
                <a:t>𝐶𝐼</a:t>
              </a:r>
              <a:r>
                <a:rPr lang="es-ES" sz="1400" b="0" i="0" baseline="-25000">
                  <a:solidFill>
                    <a:schemeClr val="tx1"/>
                  </a:solidFill>
                  <a:effectLst/>
                  <a:latin typeface="Cambria Math" panose="02040503050406030204" pitchFamily="18" charset="0"/>
                  <a:ea typeface="+mn-ea"/>
                  <a:cs typeface="+mn-cs"/>
                </a:rPr>
                <a:t>𝑖𝑗</a:t>
              </a:r>
              <a:r>
                <a:rPr lang="es-ES" sz="1400" b="0" i="0">
                  <a:solidFill>
                    <a:schemeClr val="tx1"/>
                  </a:solidFill>
                  <a:effectLst/>
                  <a:latin typeface="Cambria Math" panose="02040503050406030204" pitchFamily="18" charset="0"/>
                  <a:ea typeface="+mn-ea"/>
                  <a:cs typeface="+mn-cs"/>
                </a:rPr>
                <a:t>+𝐶𝐹𝑖𝑗+𝐹𝐵𝐾𝐹𝑖𝑗 ±𝑉𝐸𝑖𝑗@ )</a:t>
              </a:r>
              <a:r>
                <a:rPr lang="es-ES" sz="1400" i="1">
                  <a:latin typeface="+mn-lt"/>
                  <a:cs typeface="Arial" panose="020B0604020202020204" pitchFamily="34" charset="0"/>
                </a:rPr>
                <a:t> x</a:t>
              </a:r>
              <a:r>
                <a:rPr lang="es-ES" sz="1400" i="1" baseline="0">
                  <a:latin typeface="+mn-lt"/>
                  <a:cs typeface="Arial" panose="020B0604020202020204" pitchFamily="34" charset="0"/>
                </a:rPr>
                <a:t> 100</a:t>
              </a:r>
              <a:endParaRPr lang="es-ES" sz="1400" i="1">
                <a:latin typeface="+mn-lt"/>
                <a:cs typeface="Arial" panose="020B0604020202020204" pitchFamily="34" charset="0"/>
              </a:endParaRPr>
            </a:p>
          </xdr:txBody>
        </xdr:sp>
      </mc:Fallback>
    </mc:AlternateContent>
    <xdr:clientData/>
  </xdr:oneCellAnchor>
  <xdr:oneCellAnchor>
    <xdr:from>
      <xdr:col>42</xdr:col>
      <xdr:colOff>0</xdr:colOff>
      <xdr:row>167</xdr:row>
      <xdr:rowOff>0</xdr:rowOff>
    </xdr:from>
    <xdr:ext cx="2495720" cy="493569"/>
    <mc:AlternateContent xmlns:mc="http://schemas.openxmlformats.org/markup-compatibility/2006" xmlns:a14="http://schemas.microsoft.com/office/drawing/2010/main">
      <mc:Choice Requires="a14">
        <xdr:sp macro="" textlink="">
          <xdr:nvSpPr>
            <xdr:cNvPr id="99" name="CuadroTexto 98">
              <a:extLst>
                <a:ext uri="{FF2B5EF4-FFF2-40B4-BE49-F238E27FC236}">
                  <a16:creationId xmlns:a16="http://schemas.microsoft.com/office/drawing/2014/main" id="{00000000-0008-0000-0400-000063000000}"/>
                </a:ext>
              </a:extLst>
            </xdr:cNvPr>
            <xdr:cNvSpPr txBox="1"/>
          </xdr:nvSpPr>
          <xdr:spPr>
            <a:xfrm>
              <a:off x="31242000" y="50796825"/>
              <a:ext cx="2495720" cy="49356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ctr">
              <a:noAutofit/>
            </a:bodyPr>
            <a:lstStyle/>
            <a:p>
              <a:pPr algn="ctr"/>
              <a:r>
                <a:rPr lang="es-ES" sz="1400" i="1">
                  <a:latin typeface="+mn-lt"/>
                  <a:cs typeface="Arial" panose="020B0604020202020204" pitchFamily="34" charset="0"/>
                </a:rPr>
                <a:t>PMI</a:t>
              </a:r>
              <a:r>
                <a:rPr lang="es-ES" sz="1400" i="1" baseline="-25000">
                  <a:latin typeface="+mn-lt"/>
                  <a:cs typeface="Arial" panose="020B0604020202020204" pitchFamily="34" charset="0"/>
                </a:rPr>
                <a:t>ij</a:t>
              </a:r>
              <a14:m>
                <m:oMath xmlns:m="http://schemas.openxmlformats.org/officeDocument/2006/math">
                  <m:r>
                    <a:rPr lang="es-ES" sz="1400" i="1">
                      <a:latin typeface="Cambria Math" panose="02040503050406030204" pitchFamily="18" charset="0"/>
                    </a:rPr>
                    <m:t>=</m:t>
                  </m:r>
                  <m:f>
                    <m:fPr>
                      <m:ctrlPr>
                        <a:rPr lang="es-ES" sz="1400" i="1">
                          <a:latin typeface="Cambria Math" panose="02040503050406030204" pitchFamily="18" charset="0"/>
                        </a:rPr>
                      </m:ctrlPr>
                    </m:fPr>
                    <m:num>
                      <m:r>
                        <a:rPr lang="es-ES" sz="1400" b="0" i="1">
                          <a:latin typeface="Cambria Math" panose="02040503050406030204" pitchFamily="18" charset="0"/>
                        </a:rPr>
                        <m:t> </m:t>
                      </m:r>
                      <m:r>
                        <a:rPr lang="es-ES" sz="1400" b="0" i="1">
                          <a:latin typeface="Cambria Math" panose="02040503050406030204" pitchFamily="18" charset="0"/>
                        </a:rPr>
                        <m:t>𝑄𝑖𝑗</m:t>
                      </m:r>
                      <m:r>
                        <a:rPr lang="es-ES" sz="1400" b="0" i="1" baseline="-25000">
                          <a:latin typeface="Cambria Math" panose="02040503050406030204" pitchFamily="18" charset="0"/>
                        </a:rPr>
                        <m:t>  </m:t>
                      </m:r>
                    </m:num>
                    <m:den>
                      <m:eqArr>
                        <m:eqArrPr>
                          <m:ctrlPr>
                            <a:rPr lang="es-ES" sz="1400" b="0" i="1">
                              <a:solidFill>
                                <a:schemeClr val="tx1"/>
                              </a:solidFill>
                              <a:effectLst/>
                              <a:latin typeface="Cambria Math" panose="02040503050406030204" pitchFamily="18" charset="0"/>
                              <a:ea typeface="+mn-ea"/>
                              <a:cs typeface="+mn-cs"/>
                            </a:rPr>
                          </m:ctrlPr>
                        </m:eqArrPr>
                        <m:e>
                          <m:r>
                            <a:rPr lang="es-ES" sz="1400" b="0" i="1">
                              <a:solidFill>
                                <a:schemeClr val="tx1"/>
                              </a:solidFill>
                              <a:effectLst/>
                              <a:latin typeface="Cambria Math" panose="02040503050406030204" pitchFamily="18" charset="0"/>
                              <a:ea typeface="+mn-ea"/>
                              <a:cs typeface="+mn-cs"/>
                            </a:rPr>
                            <m:t>𝐶𝐼</m:t>
                          </m:r>
                          <m:r>
                            <a:rPr lang="es-ES" sz="1400" b="0" i="1" baseline="-25000">
                              <a:solidFill>
                                <a:schemeClr val="tx1"/>
                              </a:solidFill>
                              <a:effectLst/>
                              <a:latin typeface="Cambria Math" panose="02040503050406030204" pitchFamily="18" charset="0"/>
                              <a:ea typeface="+mn-ea"/>
                              <a:cs typeface="+mn-cs"/>
                            </a:rPr>
                            <m:t>𝑖𝑗</m:t>
                          </m:r>
                          <m:r>
                            <a:rPr lang="es-ES" sz="1400" b="0" i="1">
                              <a:solidFill>
                                <a:schemeClr val="tx1"/>
                              </a:solidFill>
                              <a:effectLst/>
                              <a:latin typeface="Cambria Math" panose="02040503050406030204" pitchFamily="18" charset="0"/>
                              <a:ea typeface="+mn-ea"/>
                              <a:cs typeface="+mn-cs"/>
                            </a:rPr>
                            <m:t>+</m:t>
                          </m:r>
                          <m:r>
                            <a:rPr lang="es-ES" sz="1400" b="0" i="1">
                              <a:solidFill>
                                <a:schemeClr val="tx1"/>
                              </a:solidFill>
                              <a:effectLst/>
                              <a:latin typeface="Cambria Math" panose="02040503050406030204" pitchFamily="18" charset="0"/>
                              <a:ea typeface="+mn-ea"/>
                              <a:cs typeface="+mn-cs"/>
                            </a:rPr>
                            <m:t>𝐶𝐹𝑖𝑗</m:t>
                          </m:r>
                          <m:r>
                            <a:rPr lang="es-ES" sz="1400" b="0" i="1">
                              <a:solidFill>
                                <a:schemeClr val="tx1"/>
                              </a:solidFill>
                              <a:effectLst/>
                              <a:latin typeface="Cambria Math" panose="02040503050406030204" pitchFamily="18" charset="0"/>
                              <a:ea typeface="+mn-ea"/>
                              <a:cs typeface="+mn-cs"/>
                            </a:rPr>
                            <m:t>+</m:t>
                          </m:r>
                          <m:r>
                            <a:rPr lang="es-ES" sz="1400" b="0" i="1">
                              <a:solidFill>
                                <a:schemeClr val="tx1"/>
                              </a:solidFill>
                              <a:effectLst/>
                              <a:latin typeface="Cambria Math" panose="02040503050406030204" pitchFamily="18" charset="0"/>
                              <a:ea typeface="+mn-ea"/>
                              <a:cs typeface="+mn-cs"/>
                            </a:rPr>
                            <m:t>𝐹𝐵𝐾𝐹𝑖𝑗</m:t>
                          </m:r>
                          <m:r>
                            <a:rPr lang="es-ES" sz="1400" b="0" i="1">
                              <a:solidFill>
                                <a:schemeClr val="tx1"/>
                              </a:solidFill>
                              <a:effectLst/>
                              <a:latin typeface="Cambria Math" panose="02040503050406030204" pitchFamily="18" charset="0"/>
                              <a:ea typeface="+mn-ea"/>
                              <a:cs typeface="+mn-cs"/>
                            </a:rPr>
                            <m:t> ±</m:t>
                          </m:r>
                          <m:r>
                            <a:rPr lang="es-ES" sz="1400" b="0" i="1">
                              <a:solidFill>
                                <a:schemeClr val="tx1"/>
                              </a:solidFill>
                              <a:effectLst/>
                              <a:latin typeface="Cambria Math" panose="02040503050406030204" pitchFamily="18" charset="0"/>
                              <a:ea typeface="+mn-ea"/>
                              <a:cs typeface="+mn-cs"/>
                            </a:rPr>
                            <m:t>𝑉𝐸𝑖𝑗</m:t>
                          </m:r>
                        </m:e>
                        <m:e>
                          <m:r>
                            <a:rPr lang="es-ES" sz="1400" b="0" i="1">
                              <a:solidFill>
                                <a:schemeClr val="tx1"/>
                              </a:solidFill>
                              <a:effectLst/>
                              <a:latin typeface="Cambria Math" panose="02040503050406030204" pitchFamily="18" charset="0"/>
                              <a:ea typeface="+mn-ea"/>
                              <a:cs typeface="+mn-cs"/>
                            </a:rPr>
                            <m:t> </m:t>
                          </m:r>
                        </m:e>
                      </m:eqArr>
                    </m:den>
                  </m:f>
                </m:oMath>
              </a14:m>
              <a:r>
                <a:rPr lang="es-ES" sz="1400" i="1">
                  <a:latin typeface="+mn-lt"/>
                  <a:cs typeface="Arial" panose="020B0604020202020204" pitchFamily="34" charset="0"/>
                </a:rPr>
                <a:t> x</a:t>
              </a:r>
              <a:r>
                <a:rPr lang="es-ES" sz="1400" i="1" baseline="0">
                  <a:latin typeface="+mn-lt"/>
                  <a:cs typeface="Arial" panose="020B0604020202020204" pitchFamily="34" charset="0"/>
                </a:rPr>
                <a:t> 100</a:t>
              </a:r>
              <a:endParaRPr lang="es-ES" sz="1400" i="1">
                <a:latin typeface="+mn-lt"/>
                <a:cs typeface="Arial" panose="020B0604020202020204" pitchFamily="34" charset="0"/>
              </a:endParaRPr>
            </a:p>
          </xdr:txBody>
        </xdr:sp>
      </mc:Choice>
      <mc:Fallback xmlns="">
        <xdr:sp macro="" textlink="">
          <xdr:nvSpPr>
            <xdr:cNvPr id="99" name="CuadroTexto 98">
              <a:extLst>
                <a:ext uri="{FF2B5EF4-FFF2-40B4-BE49-F238E27FC236}">
                  <a16:creationId xmlns:a16="http://schemas.microsoft.com/office/drawing/2014/main" xmlns="" xmlns:a14="http://schemas.microsoft.com/office/drawing/2010/main" id="{00000000-0008-0000-0100-000013000000}"/>
                </a:ext>
              </a:extLst>
            </xdr:cNvPr>
            <xdr:cNvSpPr txBox="1"/>
          </xdr:nvSpPr>
          <xdr:spPr>
            <a:xfrm>
              <a:off x="31242000" y="50796825"/>
              <a:ext cx="2495720" cy="49356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ctr">
              <a:noAutofit/>
            </a:bodyPr>
            <a:lstStyle/>
            <a:p>
              <a:pPr algn="ctr"/>
              <a:r>
                <a:rPr lang="es-ES" sz="1400" i="1">
                  <a:latin typeface="+mn-lt"/>
                  <a:cs typeface="Arial" panose="020B0604020202020204" pitchFamily="34" charset="0"/>
                </a:rPr>
                <a:t>PMI</a:t>
              </a:r>
              <a:r>
                <a:rPr lang="es-ES" sz="1400" i="1" baseline="-25000">
                  <a:latin typeface="+mn-lt"/>
                  <a:cs typeface="Arial" panose="020B0604020202020204" pitchFamily="34" charset="0"/>
                </a:rPr>
                <a:t>ij</a:t>
              </a:r>
              <a:r>
                <a:rPr lang="es-ES" sz="1400" i="0">
                  <a:latin typeface="Cambria Math" panose="02040503050406030204" pitchFamily="18" charset="0"/>
                </a:rPr>
                <a:t>=(</a:t>
              </a:r>
              <a:r>
                <a:rPr lang="es-ES" sz="1400" b="0" i="0">
                  <a:latin typeface="Cambria Math" panose="02040503050406030204" pitchFamily="18" charset="0"/>
                </a:rPr>
                <a:t> 𝑄𝑖𝑗</a:t>
              </a:r>
              <a:r>
                <a:rPr lang="es-ES" sz="1400" b="0" i="0" baseline="-25000">
                  <a:latin typeface="Cambria Math" panose="02040503050406030204" pitchFamily="18" charset="0"/>
                </a:rPr>
                <a:t>  )/</a:t>
              </a:r>
              <a:r>
                <a:rPr lang="es-ES" sz="1400" b="0" i="0" baseline="-25000">
                  <a:solidFill>
                    <a:schemeClr val="tx1"/>
                  </a:solidFill>
                  <a:effectLst/>
                  <a:latin typeface="Cambria Math" panose="02040503050406030204" pitchFamily="18" charset="0"/>
                  <a:ea typeface="+mn-ea"/>
                  <a:cs typeface="+mn-cs"/>
                </a:rPr>
                <a:t>█(</a:t>
              </a:r>
              <a:r>
                <a:rPr lang="es-ES" sz="1400" b="0" i="0">
                  <a:solidFill>
                    <a:schemeClr val="tx1"/>
                  </a:solidFill>
                  <a:effectLst/>
                  <a:latin typeface="Cambria Math" panose="02040503050406030204" pitchFamily="18" charset="0"/>
                  <a:ea typeface="+mn-ea"/>
                  <a:cs typeface="+mn-cs"/>
                </a:rPr>
                <a:t>𝐶𝐼</a:t>
              </a:r>
              <a:r>
                <a:rPr lang="es-ES" sz="1400" b="0" i="0" baseline="-25000">
                  <a:solidFill>
                    <a:schemeClr val="tx1"/>
                  </a:solidFill>
                  <a:effectLst/>
                  <a:latin typeface="Cambria Math" panose="02040503050406030204" pitchFamily="18" charset="0"/>
                  <a:ea typeface="+mn-ea"/>
                  <a:cs typeface="+mn-cs"/>
                </a:rPr>
                <a:t>𝑖𝑗</a:t>
              </a:r>
              <a:r>
                <a:rPr lang="es-ES" sz="1400" b="0" i="0">
                  <a:solidFill>
                    <a:schemeClr val="tx1"/>
                  </a:solidFill>
                  <a:effectLst/>
                  <a:latin typeface="Cambria Math" panose="02040503050406030204" pitchFamily="18" charset="0"/>
                  <a:ea typeface="+mn-ea"/>
                  <a:cs typeface="+mn-cs"/>
                </a:rPr>
                <a:t>+𝐶𝐹𝑖𝑗+𝐹𝐵𝐾𝐹𝑖𝑗 ±𝑉𝐸𝑖𝑗@ )</a:t>
              </a:r>
              <a:r>
                <a:rPr lang="es-ES" sz="1400" i="1">
                  <a:latin typeface="+mn-lt"/>
                  <a:cs typeface="Arial" panose="020B0604020202020204" pitchFamily="34" charset="0"/>
                </a:rPr>
                <a:t> x</a:t>
              </a:r>
              <a:r>
                <a:rPr lang="es-ES" sz="1400" i="1" baseline="0">
                  <a:latin typeface="+mn-lt"/>
                  <a:cs typeface="Arial" panose="020B0604020202020204" pitchFamily="34" charset="0"/>
                </a:rPr>
                <a:t> 100</a:t>
              </a:r>
              <a:endParaRPr lang="es-ES" sz="1400" i="1">
                <a:latin typeface="+mn-lt"/>
                <a:cs typeface="Arial" panose="020B0604020202020204" pitchFamily="34" charset="0"/>
              </a:endParaRPr>
            </a:p>
          </xdr:txBody>
        </xdr:sp>
      </mc:Fallback>
    </mc:AlternateContent>
    <xdr:clientData/>
  </xdr:oneCellAnchor>
  <xdr:oneCellAnchor>
    <xdr:from>
      <xdr:col>42</xdr:col>
      <xdr:colOff>31749</xdr:colOff>
      <xdr:row>167</xdr:row>
      <xdr:rowOff>0</xdr:rowOff>
    </xdr:from>
    <xdr:ext cx="2495720" cy="493569"/>
    <mc:AlternateContent xmlns:mc="http://schemas.openxmlformats.org/markup-compatibility/2006" xmlns:a14="http://schemas.microsoft.com/office/drawing/2010/main">
      <mc:Choice Requires="a14">
        <xdr:sp macro="" textlink="">
          <xdr:nvSpPr>
            <xdr:cNvPr id="100" name="CuadroTexto 99">
              <a:extLst>
                <a:ext uri="{FF2B5EF4-FFF2-40B4-BE49-F238E27FC236}">
                  <a16:creationId xmlns:a16="http://schemas.microsoft.com/office/drawing/2014/main" id="{00000000-0008-0000-0400-000064000000}"/>
                </a:ext>
              </a:extLst>
            </xdr:cNvPr>
            <xdr:cNvSpPr txBox="1"/>
          </xdr:nvSpPr>
          <xdr:spPr>
            <a:xfrm>
              <a:off x="31273749" y="50796825"/>
              <a:ext cx="2495720" cy="49356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ctr">
              <a:noAutofit/>
            </a:bodyPr>
            <a:lstStyle/>
            <a:p>
              <a:pPr algn="ctr"/>
              <a:r>
                <a:rPr lang="es-ES" sz="1400" i="1">
                  <a:latin typeface="+mn-lt"/>
                  <a:cs typeface="Arial" panose="020B0604020202020204" pitchFamily="34" charset="0"/>
                </a:rPr>
                <a:t>PMI</a:t>
              </a:r>
              <a:r>
                <a:rPr lang="es-ES" sz="1400" i="1" baseline="-25000">
                  <a:latin typeface="+mn-lt"/>
                  <a:cs typeface="Arial" panose="020B0604020202020204" pitchFamily="34" charset="0"/>
                </a:rPr>
                <a:t>ij</a:t>
              </a:r>
              <a14:m>
                <m:oMath xmlns:m="http://schemas.openxmlformats.org/officeDocument/2006/math">
                  <m:r>
                    <a:rPr lang="es-ES" sz="1400" i="1">
                      <a:latin typeface="Cambria Math" panose="02040503050406030204" pitchFamily="18" charset="0"/>
                    </a:rPr>
                    <m:t>=</m:t>
                  </m:r>
                  <m:f>
                    <m:fPr>
                      <m:ctrlPr>
                        <a:rPr lang="es-ES" sz="1400" i="1">
                          <a:latin typeface="Cambria Math" panose="02040503050406030204" pitchFamily="18" charset="0"/>
                        </a:rPr>
                      </m:ctrlPr>
                    </m:fPr>
                    <m:num>
                      <m:r>
                        <a:rPr lang="es-ES" sz="1400" b="0" i="1">
                          <a:latin typeface="Cambria Math" panose="02040503050406030204" pitchFamily="18" charset="0"/>
                        </a:rPr>
                        <m:t> </m:t>
                      </m:r>
                      <m:r>
                        <a:rPr lang="es-ES" sz="1400" b="0" i="1">
                          <a:latin typeface="Cambria Math" panose="02040503050406030204" pitchFamily="18" charset="0"/>
                        </a:rPr>
                        <m:t>𝑄𝑖𝑗</m:t>
                      </m:r>
                      <m:r>
                        <a:rPr lang="es-ES" sz="1400" b="0" i="1" baseline="-25000">
                          <a:latin typeface="Cambria Math" panose="02040503050406030204" pitchFamily="18" charset="0"/>
                        </a:rPr>
                        <m:t>  </m:t>
                      </m:r>
                    </m:num>
                    <m:den>
                      <m:eqArr>
                        <m:eqArrPr>
                          <m:ctrlPr>
                            <a:rPr lang="es-ES" sz="1400" b="0" i="1">
                              <a:solidFill>
                                <a:schemeClr val="tx1"/>
                              </a:solidFill>
                              <a:effectLst/>
                              <a:latin typeface="Cambria Math" panose="02040503050406030204" pitchFamily="18" charset="0"/>
                              <a:ea typeface="+mn-ea"/>
                              <a:cs typeface="+mn-cs"/>
                            </a:rPr>
                          </m:ctrlPr>
                        </m:eqArrPr>
                        <m:e>
                          <m:r>
                            <a:rPr lang="es-ES" sz="1400" b="0" i="1">
                              <a:solidFill>
                                <a:schemeClr val="tx1"/>
                              </a:solidFill>
                              <a:effectLst/>
                              <a:latin typeface="Cambria Math" panose="02040503050406030204" pitchFamily="18" charset="0"/>
                              <a:ea typeface="+mn-ea"/>
                              <a:cs typeface="+mn-cs"/>
                            </a:rPr>
                            <m:t>𝐶𝐼</m:t>
                          </m:r>
                          <m:r>
                            <a:rPr lang="es-ES" sz="1400" b="0" i="1" baseline="-25000">
                              <a:solidFill>
                                <a:schemeClr val="tx1"/>
                              </a:solidFill>
                              <a:effectLst/>
                              <a:latin typeface="Cambria Math" panose="02040503050406030204" pitchFamily="18" charset="0"/>
                              <a:ea typeface="+mn-ea"/>
                              <a:cs typeface="+mn-cs"/>
                            </a:rPr>
                            <m:t>𝑖𝑗</m:t>
                          </m:r>
                          <m:r>
                            <a:rPr lang="es-ES" sz="1400" b="0" i="1">
                              <a:solidFill>
                                <a:schemeClr val="tx1"/>
                              </a:solidFill>
                              <a:effectLst/>
                              <a:latin typeface="Cambria Math" panose="02040503050406030204" pitchFamily="18" charset="0"/>
                              <a:ea typeface="+mn-ea"/>
                              <a:cs typeface="+mn-cs"/>
                            </a:rPr>
                            <m:t>+</m:t>
                          </m:r>
                          <m:r>
                            <a:rPr lang="es-ES" sz="1400" b="0" i="1">
                              <a:solidFill>
                                <a:schemeClr val="tx1"/>
                              </a:solidFill>
                              <a:effectLst/>
                              <a:latin typeface="Cambria Math" panose="02040503050406030204" pitchFamily="18" charset="0"/>
                              <a:ea typeface="+mn-ea"/>
                              <a:cs typeface="+mn-cs"/>
                            </a:rPr>
                            <m:t>𝐶𝐹𝑖𝑗</m:t>
                          </m:r>
                          <m:r>
                            <a:rPr lang="es-ES" sz="1400" b="0" i="1">
                              <a:solidFill>
                                <a:schemeClr val="tx1"/>
                              </a:solidFill>
                              <a:effectLst/>
                              <a:latin typeface="Cambria Math" panose="02040503050406030204" pitchFamily="18" charset="0"/>
                              <a:ea typeface="+mn-ea"/>
                              <a:cs typeface="+mn-cs"/>
                            </a:rPr>
                            <m:t>+</m:t>
                          </m:r>
                          <m:r>
                            <a:rPr lang="es-ES" sz="1400" b="0" i="1">
                              <a:solidFill>
                                <a:schemeClr val="tx1"/>
                              </a:solidFill>
                              <a:effectLst/>
                              <a:latin typeface="Cambria Math" panose="02040503050406030204" pitchFamily="18" charset="0"/>
                              <a:ea typeface="+mn-ea"/>
                              <a:cs typeface="+mn-cs"/>
                            </a:rPr>
                            <m:t>𝐹𝐵𝐾𝐹𝑖𝑗</m:t>
                          </m:r>
                          <m:r>
                            <a:rPr lang="es-ES" sz="1400" b="0" i="1">
                              <a:solidFill>
                                <a:schemeClr val="tx1"/>
                              </a:solidFill>
                              <a:effectLst/>
                              <a:latin typeface="Cambria Math" panose="02040503050406030204" pitchFamily="18" charset="0"/>
                              <a:ea typeface="+mn-ea"/>
                              <a:cs typeface="+mn-cs"/>
                            </a:rPr>
                            <m:t> ±</m:t>
                          </m:r>
                          <m:r>
                            <a:rPr lang="es-ES" sz="1400" b="0" i="1">
                              <a:solidFill>
                                <a:schemeClr val="tx1"/>
                              </a:solidFill>
                              <a:effectLst/>
                              <a:latin typeface="Cambria Math" panose="02040503050406030204" pitchFamily="18" charset="0"/>
                              <a:ea typeface="+mn-ea"/>
                              <a:cs typeface="+mn-cs"/>
                            </a:rPr>
                            <m:t>𝑉𝐸𝑖𝑗</m:t>
                          </m:r>
                        </m:e>
                        <m:e>
                          <m:r>
                            <a:rPr lang="es-ES" sz="1400" b="0" i="1">
                              <a:solidFill>
                                <a:schemeClr val="tx1"/>
                              </a:solidFill>
                              <a:effectLst/>
                              <a:latin typeface="Cambria Math" panose="02040503050406030204" pitchFamily="18" charset="0"/>
                              <a:ea typeface="+mn-ea"/>
                              <a:cs typeface="+mn-cs"/>
                            </a:rPr>
                            <m:t> </m:t>
                          </m:r>
                        </m:e>
                      </m:eqArr>
                    </m:den>
                  </m:f>
                </m:oMath>
              </a14:m>
              <a:r>
                <a:rPr lang="es-ES" sz="1400" i="1">
                  <a:latin typeface="+mn-lt"/>
                  <a:cs typeface="Arial" panose="020B0604020202020204" pitchFamily="34" charset="0"/>
                </a:rPr>
                <a:t> x</a:t>
              </a:r>
              <a:r>
                <a:rPr lang="es-ES" sz="1400" i="1" baseline="0">
                  <a:latin typeface="+mn-lt"/>
                  <a:cs typeface="Arial" panose="020B0604020202020204" pitchFamily="34" charset="0"/>
                </a:rPr>
                <a:t> 100</a:t>
              </a:r>
              <a:endParaRPr lang="es-ES" sz="1400" i="1">
                <a:latin typeface="+mn-lt"/>
                <a:cs typeface="Arial" panose="020B0604020202020204" pitchFamily="34" charset="0"/>
              </a:endParaRPr>
            </a:p>
          </xdr:txBody>
        </xdr:sp>
      </mc:Choice>
      <mc:Fallback xmlns="">
        <xdr:sp macro="" textlink="">
          <xdr:nvSpPr>
            <xdr:cNvPr id="100" name="CuadroTexto 99">
              <a:extLst>
                <a:ext uri="{FF2B5EF4-FFF2-40B4-BE49-F238E27FC236}">
                  <a16:creationId xmlns:a16="http://schemas.microsoft.com/office/drawing/2014/main" xmlns="" xmlns:a14="http://schemas.microsoft.com/office/drawing/2010/main" id="{00000000-0008-0000-0100-000014000000}"/>
                </a:ext>
              </a:extLst>
            </xdr:cNvPr>
            <xdr:cNvSpPr txBox="1"/>
          </xdr:nvSpPr>
          <xdr:spPr>
            <a:xfrm>
              <a:off x="31273749" y="50796825"/>
              <a:ext cx="2495720" cy="49356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ctr">
              <a:noAutofit/>
            </a:bodyPr>
            <a:lstStyle/>
            <a:p>
              <a:pPr algn="ctr"/>
              <a:r>
                <a:rPr lang="es-ES" sz="1400" i="1">
                  <a:latin typeface="+mn-lt"/>
                  <a:cs typeface="Arial" panose="020B0604020202020204" pitchFamily="34" charset="0"/>
                </a:rPr>
                <a:t>PMI</a:t>
              </a:r>
              <a:r>
                <a:rPr lang="es-ES" sz="1400" i="1" baseline="-25000">
                  <a:latin typeface="+mn-lt"/>
                  <a:cs typeface="Arial" panose="020B0604020202020204" pitchFamily="34" charset="0"/>
                </a:rPr>
                <a:t>ij</a:t>
              </a:r>
              <a:r>
                <a:rPr lang="es-ES" sz="1400" i="0">
                  <a:latin typeface="Cambria Math" panose="02040503050406030204" pitchFamily="18" charset="0"/>
                </a:rPr>
                <a:t>=(</a:t>
              </a:r>
              <a:r>
                <a:rPr lang="es-ES" sz="1400" b="0" i="0">
                  <a:latin typeface="Cambria Math" panose="02040503050406030204" pitchFamily="18" charset="0"/>
                </a:rPr>
                <a:t> 𝑄𝑖𝑗</a:t>
              </a:r>
              <a:r>
                <a:rPr lang="es-ES" sz="1400" b="0" i="0" baseline="-25000">
                  <a:latin typeface="Cambria Math" panose="02040503050406030204" pitchFamily="18" charset="0"/>
                </a:rPr>
                <a:t>  )/</a:t>
              </a:r>
              <a:r>
                <a:rPr lang="es-ES" sz="1400" b="0" i="0" baseline="-25000">
                  <a:solidFill>
                    <a:schemeClr val="tx1"/>
                  </a:solidFill>
                  <a:effectLst/>
                  <a:latin typeface="Cambria Math" panose="02040503050406030204" pitchFamily="18" charset="0"/>
                  <a:ea typeface="+mn-ea"/>
                  <a:cs typeface="+mn-cs"/>
                </a:rPr>
                <a:t>█(</a:t>
              </a:r>
              <a:r>
                <a:rPr lang="es-ES" sz="1400" b="0" i="0">
                  <a:solidFill>
                    <a:schemeClr val="tx1"/>
                  </a:solidFill>
                  <a:effectLst/>
                  <a:latin typeface="Cambria Math" panose="02040503050406030204" pitchFamily="18" charset="0"/>
                  <a:ea typeface="+mn-ea"/>
                  <a:cs typeface="+mn-cs"/>
                </a:rPr>
                <a:t>𝐶𝐼</a:t>
              </a:r>
              <a:r>
                <a:rPr lang="es-ES" sz="1400" b="0" i="0" baseline="-25000">
                  <a:solidFill>
                    <a:schemeClr val="tx1"/>
                  </a:solidFill>
                  <a:effectLst/>
                  <a:latin typeface="Cambria Math" panose="02040503050406030204" pitchFamily="18" charset="0"/>
                  <a:ea typeface="+mn-ea"/>
                  <a:cs typeface="+mn-cs"/>
                </a:rPr>
                <a:t>𝑖𝑗</a:t>
              </a:r>
              <a:r>
                <a:rPr lang="es-ES" sz="1400" b="0" i="0">
                  <a:solidFill>
                    <a:schemeClr val="tx1"/>
                  </a:solidFill>
                  <a:effectLst/>
                  <a:latin typeface="Cambria Math" panose="02040503050406030204" pitchFamily="18" charset="0"/>
                  <a:ea typeface="+mn-ea"/>
                  <a:cs typeface="+mn-cs"/>
                </a:rPr>
                <a:t>+𝐶𝐹𝑖𝑗+𝐹𝐵𝐾𝐹𝑖𝑗 ±𝑉𝐸𝑖𝑗@ )</a:t>
              </a:r>
              <a:r>
                <a:rPr lang="es-ES" sz="1400" i="1">
                  <a:latin typeface="+mn-lt"/>
                  <a:cs typeface="Arial" panose="020B0604020202020204" pitchFamily="34" charset="0"/>
                </a:rPr>
                <a:t> x</a:t>
              </a:r>
              <a:r>
                <a:rPr lang="es-ES" sz="1400" i="1" baseline="0">
                  <a:latin typeface="+mn-lt"/>
                  <a:cs typeface="Arial" panose="020B0604020202020204" pitchFamily="34" charset="0"/>
                </a:rPr>
                <a:t> 100</a:t>
              </a:r>
              <a:endParaRPr lang="es-ES" sz="1400" i="1">
                <a:latin typeface="+mn-lt"/>
                <a:cs typeface="Arial" panose="020B0604020202020204" pitchFamily="34" charset="0"/>
              </a:endParaRPr>
            </a:p>
          </xdr:txBody>
        </xdr:sp>
      </mc:Fallback>
    </mc:AlternateContent>
    <xdr:clientData/>
  </xdr:oneCellAnchor>
  <xdr:oneCellAnchor>
    <xdr:from>
      <xdr:col>42</xdr:col>
      <xdr:colOff>42332</xdr:colOff>
      <xdr:row>167</xdr:row>
      <xdr:rowOff>0</xdr:rowOff>
    </xdr:from>
    <xdr:ext cx="2495720" cy="493569"/>
    <mc:AlternateContent xmlns:mc="http://schemas.openxmlformats.org/markup-compatibility/2006" xmlns:a14="http://schemas.microsoft.com/office/drawing/2010/main">
      <mc:Choice Requires="a14">
        <xdr:sp macro="" textlink="">
          <xdr:nvSpPr>
            <xdr:cNvPr id="101" name="CuadroTexto 100">
              <a:extLst>
                <a:ext uri="{FF2B5EF4-FFF2-40B4-BE49-F238E27FC236}">
                  <a16:creationId xmlns:a16="http://schemas.microsoft.com/office/drawing/2014/main" id="{00000000-0008-0000-0400-000065000000}"/>
                </a:ext>
              </a:extLst>
            </xdr:cNvPr>
            <xdr:cNvSpPr txBox="1"/>
          </xdr:nvSpPr>
          <xdr:spPr>
            <a:xfrm>
              <a:off x="31284332" y="50796825"/>
              <a:ext cx="2495720" cy="49356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ctr">
              <a:noAutofit/>
            </a:bodyPr>
            <a:lstStyle/>
            <a:p>
              <a:pPr algn="ctr"/>
              <a:r>
                <a:rPr lang="es-ES" sz="1400" i="1">
                  <a:latin typeface="+mn-lt"/>
                  <a:cs typeface="Arial" panose="020B0604020202020204" pitchFamily="34" charset="0"/>
                </a:rPr>
                <a:t>PMI</a:t>
              </a:r>
              <a:r>
                <a:rPr lang="es-ES" sz="1400" i="1" baseline="-25000">
                  <a:latin typeface="+mn-lt"/>
                  <a:cs typeface="Arial" panose="020B0604020202020204" pitchFamily="34" charset="0"/>
                </a:rPr>
                <a:t>ij</a:t>
              </a:r>
              <a14:m>
                <m:oMath xmlns:m="http://schemas.openxmlformats.org/officeDocument/2006/math">
                  <m:r>
                    <a:rPr lang="es-ES" sz="1400" i="1">
                      <a:latin typeface="Cambria Math" panose="02040503050406030204" pitchFamily="18" charset="0"/>
                    </a:rPr>
                    <m:t>=</m:t>
                  </m:r>
                  <m:f>
                    <m:fPr>
                      <m:ctrlPr>
                        <a:rPr lang="es-ES" sz="1400" i="1">
                          <a:latin typeface="Cambria Math" panose="02040503050406030204" pitchFamily="18" charset="0"/>
                        </a:rPr>
                      </m:ctrlPr>
                    </m:fPr>
                    <m:num>
                      <m:r>
                        <a:rPr lang="es-ES" sz="1400" b="0" i="1">
                          <a:latin typeface="Cambria Math" panose="02040503050406030204" pitchFamily="18" charset="0"/>
                        </a:rPr>
                        <m:t> </m:t>
                      </m:r>
                      <m:r>
                        <a:rPr lang="es-ES" sz="1400" b="0" i="1">
                          <a:latin typeface="Cambria Math" panose="02040503050406030204" pitchFamily="18" charset="0"/>
                        </a:rPr>
                        <m:t>𝑄𝑖𝑗</m:t>
                      </m:r>
                      <m:r>
                        <a:rPr lang="es-ES" sz="1400" b="0" i="1" baseline="-25000">
                          <a:latin typeface="Cambria Math" panose="02040503050406030204" pitchFamily="18" charset="0"/>
                        </a:rPr>
                        <m:t>  </m:t>
                      </m:r>
                    </m:num>
                    <m:den>
                      <m:eqArr>
                        <m:eqArrPr>
                          <m:ctrlPr>
                            <a:rPr lang="es-ES" sz="1400" b="0" i="1">
                              <a:solidFill>
                                <a:schemeClr val="tx1"/>
                              </a:solidFill>
                              <a:effectLst/>
                              <a:latin typeface="Cambria Math" panose="02040503050406030204" pitchFamily="18" charset="0"/>
                              <a:ea typeface="+mn-ea"/>
                              <a:cs typeface="+mn-cs"/>
                            </a:rPr>
                          </m:ctrlPr>
                        </m:eqArrPr>
                        <m:e>
                          <m:r>
                            <a:rPr lang="es-ES" sz="1400" b="0" i="1">
                              <a:solidFill>
                                <a:schemeClr val="tx1"/>
                              </a:solidFill>
                              <a:effectLst/>
                              <a:latin typeface="Cambria Math" panose="02040503050406030204" pitchFamily="18" charset="0"/>
                              <a:ea typeface="+mn-ea"/>
                              <a:cs typeface="+mn-cs"/>
                            </a:rPr>
                            <m:t>𝐶𝐼</m:t>
                          </m:r>
                          <m:r>
                            <a:rPr lang="es-ES" sz="1400" b="0" i="1" baseline="-25000">
                              <a:solidFill>
                                <a:schemeClr val="tx1"/>
                              </a:solidFill>
                              <a:effectLst/>
                              <a:latin typeface="Cambria Math" panose="02040503050406030204" pitchFamily="18" charset="0"/>
                              <a:ea typeface="+mn-ea"/>
                              <a:cs typeface="+mn-cs"/>
                            </a:rPr>
                            <m:t>𝑖𝑗</m:t>
                          </m:r>
                          <m:r>
                            <a:rPr lang="es-ES" sz="1400" b="0" i="1">
                              <a:solidFill>
                                <a:schemeClr val="tx1"/>
                              </a:solidFill>
                              <a:effectLst/>
                              <a:latin typeface="Cambria Math" panose="02040503050406030204" pitchFamily="18" charset="0"/>
                              <a:ea typeface="+mn-ea"/>
                              <a:cs typeface="+mn-cs"/>
                            </a:rPr>
                            <m:t>+</m:t>
                          </m:r>
                          <m:r>
                            <a:rPr lang="es-ES" sz="1400" b="0" i="1">
                              <a:solidFill>
                                <a:schemeClr val="tx1"/>
                              </a:solidFill>
                              <a:effectLst/>
                              <a:latin typeface="Cambria Math" panose="02040503050406030204" pitchFamily="18" charset="0"/>
                              <a:ea typeface="+mn-ea"/>
                              <a:cs typeface="+mn-cs"/>
                            </a:rPr>
                            <m:t>𝐶𝐹𝑖𝑗</m:t>
                          </m:r>
                          <m:r>
                            <a:rPr lang="es-ES" sz="1400" b="0" i="1">
                              <a:solidFill>
                                <a:schemeClr val="tx1"/>
                              </a:solidFill>
                              <a:effectLst/>
                              <a:latin typeface="Cambria Math" panose="02040503050406030204" pitchFamily="18" charset="0"/>
                              <a:ea typeface="+mn-ea"/>
                              <a:cs typeface="+mn-cs"/>
                            </a:rPr>
                            <m:t>+</m:t>
                          </m:r>
                          <m:r>
                            <a:rPr lang="es-ES" sz="1400" b="0" i="1">
                              <a:solidFill>
                                <a:schemeClr val="tx1"/>
                              </a:solidFill>
                              <a:effectLst/>
                              <a:latin typeface="Cambria Math" panose="02040503050406030204" pitchFamily="18" charset="0"/>
                              <a:ea typeface="+mn-ea"/>
                              <a:cs typeface="+mn-cs"/>
                            </a:rPr>
                            <m:t>𝐹𝐵𝐾𝐹𝑖𝑗</m:t>
                          </m:r>
                          <m:r>
                            <a:rPr lang="es-ES" sz="1400" b="0" i="1">
                              <a:solidFill>
                                <a:schemeClr val="tx1"/>
                              </a:solidFill>
                              <a:effectLst/>
                              <a:latin typeface="Cambria Math" panose="02040503050406030204" pitchFamily="18" charset="0"/>
                              <a:ea typeface="+mn-ea"/>
                              <a:cs typeface="+mn-cs"/>
                            </a:rPr>
                            <m:t> ±</m:t>
                          </m:r>
                          <m:r>
                            <a:rPr lang="es-ES" sz="1400" b="0" i="1">
                              <a:solidFill>
                                <a:schemeClr val="tx1"/>
                              </a:solidFill>
                              <a:effectLst/>
                              <a:latin typeface="Cambria Math" panose="02040503050406030204" pitchFamily="18" charset="0"/>
                              <a:ea typeface="+mn-ea"/>
                              <a:cs typeface="+mn-cs"/>
                            </a:rPr>
                            <m:t>𝑉𝐸𝑖𝑗</m:t>
                          </m:r>
                        </m:e>
                        <m:e>
                          <m:r>
                            <a:rPr lang="es-ES" sz="1400" b="0" i="1">
                              <a:solidFill>
                                <a:schemeClr val="tx1"/>
                              </a:solidFill>
                              <a:effectLst/>
                              <a:latin typeface="Cambria Math" panose="02040503050406030204" pitchFamily="18" charset="0"/>
                              <a:ea typeface="+mn-ea"/>
                              <a:cs typeface="+mn-cs"/>
                            </a:rPr>
                            <m:t> </m:t>
                          </m:r>
                        </m:e>
                      </m:eqArr>
                    </m:den>
                  </m:f>
                </m:oMath>
              </a14:m>
              <a:r>
                <a:rPr lang="es-ES" sz="1400" i="1">
                  <a:latin typeface="+mn-lt"/>
                  <a:cs typeface="Arial" panose="020B0604020202020204" pitchFamily="34" charset="0"/>
                </a:rPr>
                <a:t> x</a:t>
              </a:r>
              <a:r>
                <a:rPr lang="es-ES" sz="1400" i="1" baseline="0">
                  <a:latin typeface="+mn-lt"/>
                  <a:cs typeface="Arial" panose="020B0604020202020204" pitchFamily="34" charset="0"/>
                </a:rPr>
                <a:t> 100</a:t>
              </a:r>
              <a:endParaRPr lang="es-ES" sz="1400" i="1">
                <a:latin typeface="+mn-lt"/>
                <a:cs typeface="Arial" panose="020B0604020202020204" pitchFamily="34" charset="0"/>
              </a:endParaRPr>
            </a:p>
          </xdr:txBody>
        </xdr:sp>
      </mc:Choice>
      <mc:Fallback xmlns="">
        <xdr:sp macro="" textlink="">
          <xdr:nvSpPr>
            <xdr:cNvPr id="101" name="CuadroTexto 100">
              <a:extLst>
                <a:ext uri="{FF2B5EF4-FFF2-40B4-BE49-F238E27FC236}">
                  <a16:creationId xmlns:a16="http://schemas.microsoft.com/office/drawing/2014/main" xmlns="" xmlns:a14="http://schemas.microsoft.com/office/drawing/2010/main" id="{00000000-0008-0000-0100-000015000000}"/>
                </a:ext>
              </a:extLst>
            </xdr:cNvPr>
            <xdr:cNvSpPr txBox="1"/>
          </xdr:nvSpPr>
          <xdr:spPr>
            <a:xfrm>
              <a:off x="31284332" y="50796825"/>
              <a:ext cx="2495720" cy="49356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ctr">
              <a:noAutofit/>
            </a:bodyPr>
            <a:lstStyle/>
            <a:p>
              <a:pPr algn="ctr"/>
              <a:r>
                <a:rPr lang="es-ES" sz="1400" i="1">
                  <a:latin typeface="+mn-lt"/>
                  <a:cs typeface="Arial" panose="020B0604020202020204" pitchFamily="34" charset="0"/>
                </a:rPr>
                <a:t>PMI</a:t>
              </a:r>
              <a:r>
                <a:rPr lang="es-ES" sz="1400" i="1" baseline="-25000">
                  <a:latin typeface="+mn-lt"/>
                  <a:cs typeface="Arial" panose="020B0604020202020204" pitchFamily="34" charset="0"/>
                </a:rPr>
                <a:t>ij</a:t>
              </a:r>
              <a:r>
                <a:rPr lang="es-ES" sz="1400" i="0">
                  <a:latin typeface="Cambria Math" panose="02040503050406030204" pitchFamily="18" charset="0"/>
                </a:rPr>
                <a:t>=(</a:t>
              </a:r>
              <a:r>
                <a:rPr lang="es-ES" sz="1400" b="0" i="0">
                  <a:latin typeface="Cambria Math" panose="02040503050406030204" pitchFamily="18" charset="0"/>
                </a:rPr>
                <a:t> 𝑄𝑖𝑗</a:t>
              </a:r>
              <a:r>
                <a:rPr lang="es-ES" sz="1400" b="0" i="0" baseline="-25000">
                  <a:latin typeface="Cambria Math" panose="02040503050406030204" pitchFamily="18" charset="0"/>
                </a:rPr>
                <a:t>  )/</a:t>
              </a:r>
              <a:r>
                <a:rPr lang="es-ES" sz="1400" b="0" i="0" baseline="-25000">
                  <a:solidFill>
                    <a:schemeClr val="tx1"/>
                  </a:solidFill>
                  <a:effectLst/>
                  <a:latin typeface="Cambria Math" panose="02040503050406030204" pitchFamily="18" charset="0"/>
                  <a:ea typeface="+mn-ea"/>
                  <a:cs typeface="+mn-cs"/>
                </a:rPr>
                <a:t>█(</a:t>
              </a:r>
              <a:r>
                <a:rPr lang="es-ES" sz="1400" b="0" i="0">
                  <a:solidFill>
                    <a:schemeClr val="tx1"/>
                  </a:solidFill>
                  <a:effectLst/>
                  <a:latin typeface="Cambria Math" panose="02040503050406030204" pitchFamily="18" charset="0"/>
                  <a:ea typeface="+mn-ea"/>
                  <a:cs typeface="+mn-cs"/>
                </a:rPr>
                <a:t>𝐶𝐼</a:t>
              </a:r>
              <a:r>
                <a:rPr lang="es-ES" sz="1400" b="0" i="0" baseline="-25000">
                  <a:solidFill>
                    <a:schemeClr val="tx1"/>
                  </a:solidFill>
                  <a:effectLst/>
                  <a:latin typeface="Cambria Math" panose="02040503050406030204" pitchFamily="18" charset="0"/>
                  <a:ea typeface="+mn-ea"/>
                  <a:cs typeface="+mn-cs"/>
                </a:rPr>
                <a:t>𝑖𝑗</a:t>
              </a:r>
              <a:r>
                <a:rPr lang="es-ES" sz="1400" b="0" i="0">
                  <a:solidFill>
                    <a:schemeClr val="tx1"/>
                  </a:solidFill>
                  <a:effectLst/>
                  <a:latin typeface="Cambria Math" panose="02040503050406030204" pitchFamily="18" charset="0"/>
                  <a:ea typeface="+mn-ea"/>
                  <a:cs typeface="+mn-cs"/>
                </a:rPr>
                <a:t>+𝐶𝐹𝑖𝑗+𝐹𝐵𝐾𝐹𝑖𝑗 ±𝑉𝐸𝑖𝑗@ )</a:t>
              </a:r>
              <a:r>
                <a:rPr lang="es-ES" sz="1400" i="1">
                  <a:latin typeface="+mn-lt"/>
                  <a:cs typeface="Arial" panose="020B0604020202020204" pitchFamily="34" charset="0"/>
                </a:rPr>
                <a:t> x</a:t>
              </a:r>
              <a:r>
                <a:rPr lang="es-ES" sz="1400" i="1" baseline="0">
                  <a:latin typeface="+mn-lt"/>
                  <a:cs typeface="Arial" panose="020B0604020202020204" pitchFamily="34" charset="0"/>
                </a:rPr>
                <a:t> 100</a:t>
              </a:r>
              <a:endParaRPr lang="es-ES" sz="1400" i="1">
                <a:latin typeface="+mn-lt"/>
                <a:cs typeface="Arial" panose="020B0604020202020204" pitchFamily="34" charset="0"/>
              </a:endParaRPr>
            </a:p>
          </xdr:txBody>
        </xdr:sp>
      </mc:Fallback>
    </mc:AlternateContent>
    <xdr:clientData/>
  </xdr:oneCellAnchor>
  <xdr:oneCellAnchor>
    <xdr:from>
      <xdr:col>42</xdr:col>
      <xdr:colOff>31749</xdr:colOff>
      <xdr:row>167</xdr:row>
      <xdr:rowOff>0</xdr:rowOff>
    </xdr:from>
    <xdr:ext cx="2495720" cy="493569"/>
    <mc:AlternateContent xmlns:mc="http://schemas.openxmlformats.org/markup-compatibility/2006" xmlns:a14="http://schemas.microsoft.com/office/drawing/2010/main">
      <mc:Choice Requires="a14">
        <xdr:sp macro="" textlink="">
          <xdr:nvSpPr>
            <xdr:cNvPr id="102" name="CuadroTexto 101">
              <a:extLst>
                <a:ext uri="{FF2B5EF4-FFF2-40B4-BE49-F238E27FC236}">
                  <a16:creationId xmlns:a16="http://schemas.microsoft.com/office/drawing/2014/main" id="{00000000-0008-0000-0400-000066000000}"/>
                </a:ext>
              </a:extLst>
            </xdr:cNvPr>
            <xdr:cNvSpPr txBox="1"/>
          </xdr:nvSpPr>
          <xdr:spPr>
            <a:xfrm>
              <a:off x="31273749" y="50796825"/>
              <a:ext cx="2495720" cy="49356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ctr">
              <a:noAutofit/>
            </a:bodyPr>
            <a:lstStyle/>
            <a:p>
              <a:pPr algn="ctr"/>
              <a:r>
                <a:rPr lang="es-ES" sz="1400" i="1">
                  <a:latin typeface="+mn-lt"/>
                  <a:cs typeface="Arial" panose="020B0604020202020204" pitchFamily="34" charset="0"/>
                </a:rPr>
                <a:t>PMI</a:t>
              </a:r>
              <a:r>
                <a:rPr lang="es-ES" sz="1400" i="1" baseline="-25000">
                  <a:latin typeface="+mn-lt"/>
                  <a:cs typeface="Arial" panose="020B0604020202020204" pitchFamily="34" charset="0"/>
                </a:rPr>
                <a:t>ij</a:t>
              </a:r>
              <a14:m>
                <m:oMath xmlns:m="http://schemas.openxmlformats.org/officeDocument/2006/math">
                  <m:r>
                    <a:rPr lang="es-ES" sz="1400" i="1">
                      <a:latin typeface="Cambria Math" panose="02040503050406030204" pitchFamily="18" charset="0"/>
                    </a:rPr>
                    <m:t>=</m:t>
                  </m:r>
                  <m:f>
                    <m:fPr>
                      <m:ctrlPr>
                        <a:rPr lang="es-ES" sz="1400" i="1">
                          <a:latin typeface="Cambria Math" panose="02040503050406030204" pitchFamily="18" charset="0"/>
                        </a:rPr>
                      </m:ctrlPr>
                    </m:fPr>
                    <m:num>
                      <m:r>
                        <a:rPr lang="es-ES" sz="1400" b="0" i="1">
                          <a:latin typeface="Cambria Math" panose="02040503050406030204" pitchFamily="18" charset="0"/>
                        </a:rPr>
                        <m:t> </m:t>
                      </m:r>
                      <m:r>
                        <a:rPr lang="es-ES" sz="1400" b="0" i="1">
                          <a:latin typeface="Cambria Math" panose="02040503050406030204" pitchFamily="18" charset="0"/>
                        </a:rPr>
                        <m:t>𝑄𝑖𝑗</m:t>
                      </m:r>
                      <m:r>
                        <a:rPr lang="es-ES" sz="1400" b="0" i="1" baseline="-25000">
                          <a:latin typeface="Cambria Math" panose="02040503050406030204" pitchFamily="18" charset="0"/>
                        </a:rPr>
                        <m:t>  </m:t>
                      </m:r>
                    </m:num>
                    <m:den>
                      <m:eqArr>
                        <m:eqArrPr>
                          <m:ctrlPr>
                            <a:rPr lang="es-ES" sz="1400" b="0" i="1">
                              <a:solidFill>
                                <a:schemeClr val="tx1"/>
                              </a:solidFill>
                              <a:effectLst/>
                              <a:latin typeface="Cambria Math" panose="02040503050406030204" pitchFamily="18" charset="0"/>
                              <a:ea typeface="+mn-ea"/>
                              <a:cs typeface="+mn-cs"/>
                            </a:rPr>
                          </m:ctrlPr>
                        </m:eqArrPr>
                        <m:e>
                          <m:r>
                            <a:rPr lang="es-ES" sz="1400" b="0" i="1">
                              <a:solidFill>
                                <a:schemeClr val="tx1"/>
                              </a:solidFill>
                              <a:effectLst/>
                              <a:latin typeface="Cambria Math" panose="02040503050406030204" pitchFamily="18" charset="0"/>
                              <a:ea typeface="+mn-ea"/>
                              <a:cs typeface="+mn-cs"/>
                            </a:rPr>
                            <m:t>𝐶𝐼</m:t>
                          </m:r>
                          <m:r>
                            <a:rPr lang="es-ES" sz="1400" b="0" i="1" baseline="-25000">
                              <a:solidFill>
                                <a:schemeClr val="tx1"/>
                              </a:solidFill>
                              <a:effectLst/>
                              <a:latin typeface="Cambria Math" panose="02040503050406030204" pitchFamily="18" charset="0"/>
                              <a:ea typeface="+mn-ea"/>
                              <a:cs typeface="+mn-cs"/>
                            </a:rPr>
                            <m:t>𝑖𝑗</m:t>
                          </m:r>
                          <m:r>
                            <a:rPr lang="es-ES" sz="1400" b="0" i="1">
                              <a:solidFill>
                                <a:schemeClr val="tx1"/>
                              </a:solidFill>
                              <a:effectLst/>
                              <a:latin typeface="Cambria Math" panose="02040503050406030204" pitchFamily="18" charset="0"/>
                              <a:ea typeface="+mn-ea"/>
                              <a:cs typeface="+mn-cs"/>
                            </a:rPr>
                            <m:t>+</m:t>
                          </m:r>
                          <m:r>
                            <a:rPr lang="es-ES" sz="1400" b="0" i="1">
                              <a:solidFill>
                                <a:schemeClr val="tx1"/>
                              </a:solidFill>
                              <a:effectLst/>
                              <a:latin typeface="Cambria Math" panose="02040503050406030204" pitchFamily="18" charset="0"/>
                              <a:ea typeface="+mn-ea"/>
                              <a:cs typeface="+mn-cs"/>
                            </a:rPr>
                            <m:t>𝐶𝐹𝑖𝑗</m:t>
                          </m:r>
                          <m:r>
                            <a:rPr lang="es-ES" sz="1400" b="0" i="1">
                              <a:solidFill>
                                <a:schemeClr val="tx1"/>
                              </a:solidFill>
                              <a:effectLst/>
                              <a:latin typeface="Cambria Math" panose="02040503050406030204" pitchFamily="18" charset="0"/>
                              <a:ea typeface="+mn-ea"/>
                              <a:cs typeface="+mn-cs"/>
                            </a:rPr>
                            <m:t>+</m:t>
                          </m:r>
                          <m:r>
                            <a:rPr lang="es-ES" sz="1400" b="0" i="1">
                              <a:solidFill>
                                <a:schemeClr val="tx1"/>
                              </a:solidFill>
                              <a:effectLst/>
                              <a:latin typeface="Cambria Math" panose="02040503050406030204" pitchFamily="18" charset="0"/>
                              <a:ea typeface="+mn-ea"/>
                              <a:cs typeface="+mn-cs"/>
                            </a:rPr>
                            <m:t>𝐹𝐵𝐾𝐹𝑖𝑗</m:t>
                          </m:r>
                          <m:r>
                            <a:rPr lang="es-ES" sz="1400" b="0" i="1">
                              <a:solidFill>
                                <a:schemeClr val="tx1"/>
                              </a:solidFill>
                              <a:effectLst/>
                              <a:latin typeface="Cambria Math" panose="02040503050406030204" pitchFamily="18" charset="0"/>
                              <a:ea typeface="+mn-ea"/>
                              <a:cs typeface="+mn-cs"/>
                            </a:rPr>
                            <m:t> ±</m:t>
                          </m:r>
                          <m:r>
                            <a:rPr lang="es-ES" sz="1400" b="0" i="1">
                              <a:solidFill>
                                <a:schemeClr val="tx1"/>
                              </a:solidFill>
                              <a:effectLst/>
                              <a:latin typeface="Cambria Math" panose="02040503050406030204" pitchFamily="18" charset="0"/>
                              <a:ea typeface="+mn-ea"/>
                              <a:cs typeface="+mn-cs"/>
                            </a:rPr>
                            <m:t>𝑉𝐸𝑖𝑗</m:t>
                          </m:r>
                        </m:e>
                        <m:e>
                          <m:r>
                            <a:rPr lang="es-ES" sz="1400" b="0" i="1">
                              <a:solidFill>
                                <a:schemeClr val="tx1"/>
                              </a:solidFill>
                              <a:effectLst/>
                              <a:latin typeface="Cambria Math" panose="02040503050406030204" pitchFamily="18" charset="0"/>
                              <a:ea typeface="+mn-ea"/>
                              <a:cs typeface="+mn-cs"/>
                            </a:rPr>
                            <m:t> </m:t>
                          </m:r>
                        </m:e>
                      </m:eqArr>
                    </m:den>
                  </m:f>
                </m:oMath>
              </a14:m>
              <a:r>
                <a:rPr lang="es-ES" sz="1400" i="1">
                  <a:latin typeface="+mn-lt"/>
                  <a:cs typeface="Arial" panose="020B0604020202020204" pitchFamily="34" charset="0"/>
                </a:rPr>
                <a:t> x</a:t>
              </a:r>
              <a:r>
                <a:rPr lang="es-ES" sz="1400" i="1" baseline="0">
                  <a:latin typeface="+mn-lt"/>
                  <a:cs typeface="Arial" panose="020B0604020202020204" pitchFamily="34" charset="0"/>
                </a:rPr>
                <a:t> 100</a:t>
              </a:r>
              <a:endParaRPr lang="es-ES" sz="1400" i="1">
                <a:latin typeface="+mn-lt"/>
                <a:cs typeface="Arial" panose="020B0604020202020204" pitchFamily="34" charset="0"/>
              </a:endParaRPr>
            </a:p>
          </xdr:txBody>
        </xdr:sp>
      </mc:Choice>
      <mc:Fallback xmlns="">
        <xdr:sp macro="" textlink="">
          <xdr:nvSpPr>
            <xdr:cNvPr id="102" name="CuadroTexto 101">
              <a:extLst>
                <a:ext uri="{FF2B5EF4-FFF2-40B4-BE49-F238E27FC236}">
                  <a16:creationId xmlns:a16="http://schemas.microsoft.com/office/drawing/2014/main" xmlns="" xmlns:a14="http://schemas.microsoft.com/office/drawing/2010/main" id="{00000000-0008-0000-0100-000016000000}"/>
                </a:ext>
              </a:extLst>
            </xdr:cNvPr>
            <xdr:cNvSpPr txBox="1"/>
          </xdr:nvSpPr>
          <xdr:spPr>
            <a:xfrm>
              <a:off x="31273749" y="50796825"/>
              <a:ext cx="2495720" cy="49356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ctr">
              <a:noAutofit/>
            </a:bodyPr>
            <a:lstStyle/>
            <a:p>
              <a:pPr algn="ctr"/>
              <a:r>
                <a:rPr lang="es-ES" sz="1400" i="1">
                  <a:latin typeface="+mn-lt"/>
                  <a:cs typeface="Arial" panose="020B0604020202020204" pitchFamily="34" charset="0"/>
                </a:rPr>
                <a:t>PMI</a:t>
              </a:r>
              <a:r>
                <a:rPr lang="es-ES" sz="1400" i="1" baseline="-25000">
                  <a:latin typeface="+mn-lt"/>
                  <a:cs typeface="Arial" panose="020B0604020202020204" pitchFamily="34" charset="0"/>
                </a:rPr>
                <a:t>ij</a:t>
              </a:r>
              <a:r>
                <a:rPr lang="es-ES" sz="1400" i="0">
                  <a:latin typeface="Cambria Math" panose="02040503050406030204" pitchFamily="18" charset="0"/>
                </a:rPr>
                <a:t>=(</a:t>
              </a:r>
              <a:r>
                <a:rPr lang="es-ES" sz="1400" b="0" i="0">
                  <a:latin typeface="Cambria Math" panose="02040503050406030204" pitchFamily="18" charset="0"/>
                </a:rPr>
                <a:t> 𝑄𝑖𝑗</a:t>
              </a:r>
              <a:r>
                <a:rPr lang="es-ES" sz="1400" b="0" i="0" baseline="-25000">
                  <a:latin typeface="Cambria Math" panose="02040503050406030204" pitchFamily="18" charset="0"/>
                </a:rPr>
                <a:t>  )/</a:t>
              </a:r>
              <a:r>
                <a:rPr lang="es-ES" sz="1400" b="0" i="0" baseline="-25000">
                  <a:solidFill>
                    <a:schemeClr val="tx1"/>
                  </a:solidFill>
                  <a:effectLst/>
                  <a:latin typeface="Cambria Math" panose="02040503050406030204" pitchFamily="18" charset="0"/>
                  <a:ea typeface="+mn-ea"/>
                  <a:cs typeface="+mn-cs"/>
                </a:rPr>
                <a:t>█(</a:t>
              </a:r>
              <a:r>
                <a:rPr lang="es-ES" sz="1400" b="0" i="0">
                  <a:solidFill>
                    <a:schemeClr val="tx1"/>
                  </a:solidFill>
                  <a:effectLst/>
                  <a:latin typeface="Cambria Math" panose="02040503050406030204" pitchFamily="18" charset="0"/>
                  <a:ea typeface="+mn-ea"/>
                  <a:cs typeface="+mn-cs"/>
                </a:rPr>
                <a:t>𝐶𝐼</a:t>
              </a:r>
              <a:r>
                <a:rPr lang="es-ES" sz="1400" b="0" i="0" baseline="-25000">
                  <a:solidFill>
                    <a:schemeClr val="tx1"/>
                  </a:solidFill>
                  <a:effectLst/>
                  <a:latin typeface="Cambria Math" panose="02040503050406030204" pitchFamily="18" charset="0"/>
                  <a:ea typeface="+mn-ea"/>
                  <a:cs typeface="+mn-cs"/>
                </a:rPr>
                <a:t>𝑖𝑗</a:t>
              </a:r>
              <a:r>
                <a:rPr lang="es-ES" sz="1400" b="0" i="0">
                  <a:solidFill>
                    <a:schemeClr val="tx1"/>
                  </a:solidFill>
                  <a:effectLst/>
                  <a:latin typeface="Cambria Math" panose="02040503050406030204" pitchFamily="18" charset="0"/>
                  <a:ea typeface="+mn-ea"/>
                  <a:cs typeface="+mn-cs"/>
                </a:rPr>
                <a:t>+𝐶𝐹𝑖𝑗+𝐹𝐵𝐾𝐹𝑖𝑗 ±𝑉𝐸𝑖𝑗@ )</a:t>
              </a:r>
              <a:r>
                <a:rPr lang="es-ES" sz="1400" i="1">
                  <a:latin typeface="+mn-lt"/>
                  <a:cs typeface="Arial" panose="020B0604020202020204" pitchFamily="34" charset="0"/>
                </a:rPr>
                <a:t> x</a:t>
              </a:r>
              <a:r>
                <a:rPr lang="es-ES" sz="1400" i="1" baseline="0">
                  <a:latin typeface="+mn-lt"/>
                  <a:cs typeface="Arial" panose="020B0604020202020204" pitchFamily="34" charset="0"/>
                </a:rPr>
                <a:t> 100</a:t>
              </a:r>
              <a:endParaRPr lang="es-ES" sz="1400" i="1">
                <a:latin typeface="+mn-lt"/>
                <a:cs typeface="Arial" panose="020B0604020202020204" pitchFamily="34" charset="0"/>
              </a:endParaRPr>
            </a:p>
          </xdr:txBody>
        </xdr:sp>
      </mc:Fallback>
    </mc:AlternateContent>
    <xdr:clientData/>
  </xdr:oneCellAnchor>
  <xdr:oneCellAnchor>
    <xdr:from>
      <xdr:col>42</xdr:col>
      <xdr:colOff>42332</xdr:colOff>
      <xdr:row>167</xdr:row>
      <xdr:rowOff>0</xdr:rowOff>
    </xdr:from>
    <xdr:ext cx="2495720" cy="493569"/>
    <mc:AlternateContent xmlns:mc="http://schemas.openxmlformats.org/markup-compatibility/2006" xmlns:a14="http://schemas.microsoft.com/office/drawing/2010/main">
      <mc:Choice Requires="a14">
        <xdr:sp macro="" textlink="">
          <xdr:nvSpPr>
            <xdr:cNvPr id="103" name="CuadroTexto 102">
              <a:extLst>
                <a:ext uri="{FF2B5EF4-FFF2-40B4-BE49-F238E27FC236}">
                  <a16:creationId xmlns:a16="http://schemas.microsoft.com/office/drawing/2014/main" id="{00000000-0008-0000-0400-000067000000}"/>
                </a:ext>
              </a:extLst>
            </xdr:cNvPr>
            <xdr:cNvSpPr txBox="1"/>
          </xdr:nvSpPr>
          <xdr:spPr>
            <a:xfrm>
              <a:off x="31284332" y="50796825"/>
              <a:ext cx="2495720" cy="49356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ctr">
              <a:noAutofit/>
            </a:bodyPr>
            <a:lstStyle/>
            <a:p>
              <a:pPr algn="ctr"/>
              <a:r>
                <a:rPr lang="es-ES" sz="1400" i="1">
                  <a:latin typeface="+mn-lt"/>
                  <a:cs typeface="Arial" panose="020B0604020202020204" pitchFamily="34" charset="0"/>
                </a:rPr>
                <a:t>PMI</a:t>
              </a:r>
              <a:r>
                <a:rPr lang="es-ES" sz="1400" i="1" baseline="-25000">
                  <a:latin typeface="+mn-lt"/>
                  <a:cs typeface="Arial" panose="020B0604020202020204" pitchFamily="34" charset="0"/>
                </a:rPr>
                <a:t>ij</a:t>
              </a:r>
              <a14:m>
                <m:oMath xmlns:m="http://schemas.openxmlformats.org/officeDocument/2006/math">
                  <m:r>
                    <a:rPr lang="es-ES" sz="1400" i="1">
                      <a:latin typeface="Cambria Math" panose="02040503050406030204" pitchFamily="18" charset="0"/>
                    </a:rPr>
                    <m:t>=</m:t>
                  </m:r>
                  <m:f>
                    <m:fPr>
                      <m:ctrlPr>
                        <a:rPr lang="es-ES" sz="1400" i="1">
                          <a:latin typeface="Cambria Math" panose="02040503050406030204" pitchFamily="18" charset="0"/>
                        </a:rPr>
                      </m:ctrlPr>
                    </m:fPr>
                    <m:num>
                      <m:r>
                        <a:rPr lang="es-ES" sz="1400" b="0" i="1">
                          <a:latin typeface="Cambria Math" panose="02040503050406030204" pitchFamily="18" charset="0"/>
                        </a:rPr>
                        <m:t> </m:t>
                      </m:r>
                      <m:r>
                        <a:rPr lang="es-ES" sz="1400" b="0" i="1">
                          <a:latin typeface="Cambria Math" panose="02040503050406030204" pitchFamily="18" charset="0"/>
                        </a:rPr>
                        <m:t>𝑄𝑖𝑗</m:t>
                      </m:r>
                      <m:r>
                        <a:rPr lang="es-ES" sz="1400" b="0" i="1" baseline="-25000">
                          <a:latin typeface="Cambria Math" panose="02040503050406030204" pitchFamily="18" charset="0"/>
                        </a:rPr>
                        <m:t>  </m:t>
                      </m:r>
                    </m:num>
                    <m:den>
                      <m:eqArr>
                        <m:eqArrPr>
                          <m:ctrlPr>
                            <a:rPr lang="es-ES" sz="1400" b="0" i="1">
                              <a:solidFill>
                                <a:schemeClr val="tx1"/>
                              </a:solidFill>
                              <a:effectLst/>
                              <a:latin typeface="Cambria Math" panose="02040503050406030204" pitchFamily="18" charset="0"/>
                              <a:ea typeface="+mn-ea"/>
                              <a:cs typeface="+mn-cs"/>
                            </a:rPr>
                          </m:ctrlPr>
                        </m:eqArrPr>
                        <m:e>
                          <m:r>
                            <a:rPr lang="es-ES" sz="1400" b="0" i="1">
                              <a:solidFill>
                                <a:schemeClr val="tx1"/>
                              </a:solidFill>
                              <a:effectLst/>
                              <a:latin typeface="Cambria Math" panose="02040503050406030204" pitchFamily="18" charset="0"/>
                              <a:ea typeface="+mn-ea"/>
                              <a:cs typeface="+mn-cs"/>
                            </a:rPr>
                            <m:t>𝐶𝐼</m:t>
                          </m:r>
                          <m:r>
                            <a:rPr lang="es-ES" sz="1400" b="0" i="1" baseline="-25000">
                              <a:solidFill>
                                <a:schemeClr val="tx1"/>
                              </a:solidFill>
                              <a:effectLst/>
                              <a:latin typeface="Cambria Math" panose="02040503050406030204" pitchFamily="18" charset="0"/>
                              <a:ea typeface="+mn-ea"/>
                              <a:cs typeface="+mn-cs"/>
                            </a:rPr>
                            <m:t>𝑖𝑗</m:t>
                          </m:r>
                          <m:r>
                            <a:rPr lang="es-ES" sz="1400" b="0" i="1">
                              <a:solidFill>
                                <a:schemeClr val="tx1"/>
                              </a:solidFill>
                              <a:effectLst/>
                              <a:latin typeface="Cambria Math" panose="02040503050406030204" pitchFamily="18" charset="0"/>
                              <a:ea typeface="+mn-ea"/>
                              <a:cs typeface="+mn-cs"/>
                            </a:rPr>
                            <m:t>+</m:t>
                          </m:r>
                          <m:r>
                            <a:rPr lang="es-ES" sz="1400" b="0" i="1">
                              <a:solidFill>
                                <a:schemeClr val="tx1"/>
                              </a:solidFill>
                              <a:effectLst/>
                              <a:latin typeface="Cambria Math" panose="02040503050406030204" pitchFamily="18" charset="0"/>
                              <a:ea typeface="+mn-ea"/>
                              <a:cs typeface="+mn-cs"/>
                            </a:rPr>
                            <m:t>𝐶𝐹𝑖𝑗</m:t>
                          </m:r>
                          <m:r>
                            <a:rPr lang="es-ES" sz="1400" b="0" i="1">
                              <a:solidFill>
                                <a:schemeClr val="tx1"/>
                              </a:solidFill>
                              <a:effectLst/>
                              <a:latin typeface="Cambria Math" panose="02040503050406030204" pitchFamily="18" charset="0"/>
                              <a:ea typeface="+mn-ea"/>
                              <a:cs typeface="+mn-cs"/>
                            </a:rPr>
                            <m:t>+</m:t>
                          </m:r>
                          <m:r>
                            <a:rPr lang="es-ES" sz="1400" b="0" i="1">
                              <a:solidFill>
                                <a:schemeClr val="tx1"/>
                              </a:solidFill>
                              <a:effectLst/>
                              <a:latin typeface="Cambria Math" panose="02040503050406030204" pitchFamily="18" charset="0"/>
                              <a:ea typeface="+mn-ea"/>
                              <a:cs typeface="+mn-cs"/>
                            </a:rPr>
                            <m:t>𝐹𝐵𝐾𝐹𝑖𝑗</m:t>
                          </m:r>
                          <m:r>
                            <a:rPr lang="es-ES" sz="1400" b="0" i="1">
                              <a:solidFill>
                                <a:schemeClr val="tx1"/>
                              </a:solidFill>
                              <a:effectLst/>
                              <a:latin typeface="Cambria Math" panose="02040503050406030204" pitchFamily="18" charset="0"/>
                              <a:ea typeface="+mn-ea"/>
                              <a:cs typeface="+mn-cs"/>
                            </a:rPr>
                            <m:t> ±</m:t>
                          </m:r>
                          <m:r>
                            <a:rPr lang="es-ES" sz="1400" b="0" i="1">
                              <a:solidFill>
                                <a:schemeClr val="tx1"/>
                              </a:solidFill>
                              <a:effectLst/>
                              <a:latin typeface="Cambria Math" panose="02040503050406030204" pitchFamily="18" charset="0"/>
                              <a:ea typeface="+mn-ea"/>
                              <a:cs typeface="+mn-cs"/>
                            </a:rPr>
                            <m:t>𝑉𝐸𝑖𝑗</m:t>
                          </m:r>
                        </m:e>
                        <m:e>
                          <m:r>
                            <a:rPr lang="es-ES" sz="1400" b="0" i="1">
                              <a:solidFill>
                                <a:schemeClr val="tx1"/>
                              </a:solidFill>
                              <a:effectLst/>
                              <a:latin typeface="Cambria Math" panose="02040503050406030204" pitchFamily="18" charset="0"/>
                              <a:ea typeface="+mn-ea"/>
                              <a:cs typeface="+mn-cs"/>
                            </a:rPr>
                            <m:t> </m:t>
                          </m:r>
                        </m:e>
                      </m:eqArr>
                    </m:den>
                  </m:f>
                </m:oMath>
              </a14:m>
              <a:r>
                <a:rPr lang="es-ES" sz="1400" i="1">
                  <a:latin typeface="+mn-lt"/>
                  <a:cs typeface="Arial" panose="020B0604020202020204" pitchFamily="34" charset="0"/>
                </a:rPr>
                <a:t> x</a:t>
              </a:r>
              <a:r>
                <a:rPr lang="es-ES" sz="1400" i="1" baseline="0">
                  <a:latin typeface="+mn-lt"/>
                  <a:cs typeface="Arial" panose="020B0604020202020204" pitchFamily="34" charset="0"/>
                </a:rPr>
                <a:t> 100</a:t>
              </a:r>
              <a:endParaRPr lang="es-ES" sz="1400" i="1">
                <a:latin typeface="+mn-lt"/>
                <a:cs typeface="Arial" panose="020B0604020202020204" pitchFamily="34" charset="0"/>
              </a:endParaRPr>
            </a:p>
          </xdr:txBody>
        </xdr:sp>
      </mc:Choice>
      <mc:Fallback xmlns="">
        <xdr:sp macro="" textlink="">
          <xdr:nvSpPr>
            <xdr:cNvPr id="103" name="CuadroTexto 102">
              <a:extLst>
                <a:ext uri="{FF2B5EF4-FFF2-40B4-BE49-F238E27FC236}">
                  <a16:creationId xmlns:a16="http://schemas.microsoft.com/office/drawing/2014/main" xmlns="" xmlns:a14="http://schemas.microsoft.com/office/drawing/2010/main" id="{00000000-0008-0000-0100-000017000000}"/>
                </a:ext>
              </a:extLst>
            </xdr:cNvPr>
            <xdr:cNvSpPr txBox="1"/>
          </xdr:nvSpPr>
          <xdr:spPr>
            <a:xfrm>
              <a:off x="31284332" y="50796825"/>
              <a:ext cx="2495720" cy="49356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ctr">
              <a:noAutofit/>
            </a:bodyPr>
            <a:lstStyle/>
            <a:p>
              <a:pPr algn="ctr"/>
              <a:r>
                <a:rPr lang="es-ES" sz="1400" i="1">
                  <a:latin typeface="+mn-lt"/>
                  <a:cs typeface="Arial" panose="020B0604020202020204" pitchFamily="34" charset="0"/>
                </a:rPr>
                <a:t>PMI</a:t>
              </a:r>
              <a:r>
                <a:rPr lang="es-ES" sz="1400" i="1" baseline="-25000">
                  <a:latin typeface="+mn-lt"/>
                  <a:cs typeface="Arial" panose="020B0604020202020204" pitchFamily="34" charset="0"/>
                </a:rPr>
                <a:t>ij</a:t>
              </a:r>
              <a:r>
                <a:rPr lang="es-ES" sz="1400" i="0">
                  <a:latin typeface="Cambria Math" panose="02040503050406030204" pitchFamily="18" charset="0"/>
                </a:rPr>
                <a:t>=(</a:t>
              </a:r>
              <a:r>
                <a:rPr lang="es-ES" sz="1400" b="0" i="0">
                  <a:latin typeface="Cambria Math" panose="02040503050406030204" pitchFamily="18" charset="0"/>
                </a:rPr>
                <a:t> 𝑄𝑖𝑗</a:t>
              </a:r>
              <a:r>
                <a:rPr lang="es-ES" sz="1400" b="0" i="0" baseline="-25000">
                  <a:latin typeface="Cambria Math" panose="02040503050406030204" pitchFamily="18" charset="0"/>
                </a:rPr>
                <a:t>  )/</a:t>
              </a:r>
              <a:r>
                <a:rPr lang="es-ES" sz="1400" b="0" i="0" baseline="-25000">
                  <a:solidFill>
                    <a:schemeClr val="tx1"/>
                  </a:solidFill>
                  <a:effectLst/>
                  <a:latin typeface="Cambria Math" panose="02040503050406030204" pitchFamily="18" charset="0"/>
                  <a:ea typeface="+mn-ea"/>
                  <a:cs typeface="+mn-cs"/>
                </a:rPr>
                <a:t>█(</a:t>
              </a:r>
              <a:r>
                <a:rPr lang="es-ES" sz="1400" b="0" i="0">
                  <a:solidFill>
                    <a:schemeClr val="tx1"/>
                  </a:solidFill>
                  <a:effectLst/>
                  <a:latin typeface="Cambria Math" panose="02040503050406030204" pitchFamily="18" charset="0"/>
                  <a:ea typeface="+mn-ea"/>
                  <a:cs typeface="+mn-cs"/>
                </a:rPr>
                <a:t>𝐶𝐼</a:t>
              </a:r>
              <a:r>
                <a:rPr lang="es-ES" sz="1400" b="0" i="0" baseline="-25000">
                  <a:solidFill>
                    <a:schemeClr val="tx1"/>
                  </a:solidFill>
                  <a:effectLst/>
                  <a:latin typeface="Cambria Math" panose="02040503050406030204" pitchFamily="18" charset="0"/>
                  <a:ea typeface="+mn-ea"/>
                  <a:cs typeface="+mn-cs"/>
                </a:rPr>
                <a:t>𝑖𝑗</a:t>
              </a:r>
              <a:r>
                <a:rPr lang="es-ES" sz="1400" b="0" i="0">
                  <a:solidFill>
                    <a:schemeClr val="tx1"/>
                  </a:solidFill>
                  <a:effectLst/>
                  <a:latin typeface="Cambria Math" panose="02040503050406030204" pitchFamily="18" charset="0"/>
                  <a:ea typeface="+mn-ea"/>
                  <a:cs typeface="+mn-cs"/>
                </a:rPr>
                <a:t>+𝐶𝐹𝑖𝑗+𝐹𝐵𝐾𝐹𝑖𝑗 ±𝑉𝐸𝑖𝑗@ )</a:t>
              </a:r>
              <a:r>
                <a:rPr lang="es-ES" sz="1400" i="1">
                  <a:latin typeface="+mn-lt"/>
                  <a:cs typeface="Arial" panose="020B0604020202020204" pitchFamily="34" charset="0"/>
                </a:rPr>
                <a:t> x</a:t>
              </a:r>
              <a:r>
                <a:rPr lang="es-ES" sz="1400" i="1" baseline="0">
                  <a:latin typeface="+mn-lt"/>
                  <a:cs typeface="Arial" panose="020B0604020202020204" pitchFamily="34" charset="0"/>
                </a:rPr>
                <a:t> 100</a:t>
              </a:r>
              <a:endParaRPr lang="es-ES" sz="1400" i="1">
                <a:latin typeface="+mn-lt"/>
                <a:cs typeface="Arial" panose="020B0604020202020204" pitchFamily="34" charset="0"/>
              </a:endParaRPr>
            </a:p>
          </xdr:txBody>
        </xdr:sp>
      </mc:Fallback>
    </mc:AlternateContent>
    <xdr:clientData/>
  </xdr:oneCellAnchor>
  <xdr:oneCellAnchor>
    <xdr:from>
      <xdr:col>42</xdr:col>
      <xdr:colOff>31750</xdr:colOff>
      <xdr:row>167</xdr:row>
      <xdr:rowOff>0</xdr:rowOff>
    </xdr:from>
    <xdr:ext cx="2495720" cy="493569"/>
    <mc:AlternateContent xmlns:mc="http://schemas.openxmlformats.org/markup-compatibility/2006" xmlns:a14="http://schemas.microsoft.com/office/drawing/2010/main">
      <mc:Choice Requires="a14">
        <xdr:sp macro="" textlink="">
          <xdr:nvSpPr>
            <xdr:cNvPr id="104" name="CuadroTexto 103">
              <a:extLst>
                <a:ext uri="{FF2B5EF4-FFF2-40B4-BE49-F238E27FC236}">
                  <a16:creationId xmlns:a16="http://schemas.microsoft.com/office/drawing/2014/main" id="{00000000-0008-0000-0400-000068000000}"/>
                </a:ext>
              </a:extLst>
            </xdr:cNvPr>
            <xdr:cNvSpPr txBox="1"/>
          </xdr:nvSpPr>
          <xdr:spPr>
            <a:xfrm>
              <a:off x="31273750" y="50796825"/>
              <a:ext cx="2495720" cy="49356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ctr">
              <a:noAutofit/>
            </a:bodyPr>
            <a:lstStyle/>
            <a:p>
              <a:pPr algn="ctr"/>
              <a:r>
                <a:rPr lang="es-ES" sz="1400" i="1">
                  <a:latin typeface="+mn-lt"/>
                  <a:cs typeface="Arial" panose="020B0604020202020204" pitchFamily="34" charset="0"/>
                </a:rPr>
                <a:t>PMI</a:t>
              </a:r>
              <a:r>
                <a:rPr lang="es-ES" sz="1400" i="1" baseline="-25000">
                  <a:latin typeface="+mn-lt"/>
                  <a:cs typeface="Arial" panose="020B0604020202020204" pitchFamily="34" charset="0"/>
                </a:rPr>
                <a:t>ij</a:t>
              </a:r>
              <a14:m>
                <m:oMath xmlns:m="http://schemas.openxmlformats.org/officeDocument/2006/math">
                  <m:r>
                    <a:rPr lang="es-ES" sz="1400" i="1">
                      <a:latin typeface="Cambria Math" panose="02040503050406030204" pitchFamily="18" charset="0"/>
                    </a:rPr>
                    <m:t>=</m:t>
                  </m:r>
                  <m:f>
                    <m:fPr>
                      <m:ctrlPr>
                        <a:rPr lang="es-ES" sz="1400" i="1">
                          <a:latin typeface="Cambria Math" panose="02040503050406030204" pitchFamily="18" charset="0"/>
                        </a:rPr>
                      </m:ctrlPr>
                    </m:fPr>
                    <m:num>
                      <m:r>
                        <a:rPr lang="es-ES" sz="1400" b="0" i="1">
                          <a:latin typeface="Cambria Math" panose="02040503050406030204" pitchFamily="18" charset="0"/>
                        </a:rPr>
                        <m:t> </m:t>
                      </m:r>
                      <m:r>
                        <a:rPr lang="es-ES" sz="1400" b="0" i="1">
                          <a:latin typeface="Cambria Math" panose="02040503050406030204" pitchFamily="18" charset="0"/>
                        </a:rPr>
                        <m:t>𝑄𝑖𝑗</m:t>
                      </m:r>
                      <m:r>
                        <a:rPr lang="es-ES" sz="1400" b="0" i="1" baseline="-25000">
                          <a:latin typeface="Cambria Math" panose="02040503050406030204" pitchFamily="18" charset="0"/>
                        </a:rPr>
                        <m:t>  </m:t>
                      </m:r>
                    </m:num>
                    <m:den>
                      <m:eqArr>
                        <m:eqArrPr>
                          <m:ctrlPr>
                            <a:rPr lang="es-ES" sz="1400" b="0" i="1">
                              <a:solidFill>
                                <a:schemeClr val="tx1"/>
                              </a:solidFill>
                              <a:effectLst/>
                              <a:latin typeface="Cambria Math" panose="02040503050406030204" pitchFamily="18" charset="0"/>
                              <a:ea typeface="+mn-ea"/>
                              <a:cs typeface="+mn-cs"/>
                            </a:rPr>
                          </m:ctrlPr>
                        </m:eqArrPr>
                        <m:e>
                          <m:r>
                            <a:rPr lang="es-ES" sz="1400" b="0" i="1">
                              <a:solidFill>
                                <a:schemeClr val="tx1"/>
                              </a:solidFill>
                              <a:effectLst/>
                              <a:latin typeface="Cambria Math" panose="02040503050406030204" pitchFamily="18" charset="0"/>
                              <a:ea typeface="+mn-ea"/>
                              <a:cs typeface="+mn-cs"/>
                            </a:rPr>
                            <m:t>𝐶𝐼</m:t>
                          </m:r>
                          <m:r>
                            <a:rPr lang="es-ES" sz="1400" b="0" i="1" baseline="-25000">
                              <a:solidFill>
                                <a:schemeClr val="tx1"/>
                              </a:solidFill>
                              <a:effectLst/>
                              <a:latin typeface="Cambria Math" panose="02040503050406030204" pitchFamily="18" charset="0"/>
                              <a:ea typeface="+mn-ea"/>
                              <a:cs typeface="+mn-cs"/>
                            </a:rPr>
                            <m:t>𝑖𝑗</m:t>
                          </m:r>
                          <m:r>
                            <a:rPr lang="es-ES" sz="1400" b="0" i="1">
                              <a:solidFill>
                                <a:schemeClr val="tx1"/>
                              </a:solidFill>
                              <a:effectLst/>
                              <a:latin typeface="Cambria Math" panose="02040503050406030204" pitchFamily="18" charset="0"/>
                              <a:ea typeface="+mn-ea"/>
                              <a:cs typeface="+mn-cs"/>
                            </a:rPr>
                            <m:t>+</m:t>
                          </m:r>
                          <m:r>
                            <a:rPr lang="es-ES" sz="1400" b="0" i="1">
                              <a:solidFill>
                                <a:schemeClr val="tx1"/>
                              </a:solidFill>
                              <a:effectLst/>
                              <a:latin typeface="Cambria Math" panose="02040503050406030204" pitchFamily="18" charset="0"/>
                              <a:ea typeface="+mn-ea"/>
                              <a:cs typeface="+mn-cs"/>
                            </a:rPr>
                            <m:t>𝐶𝐹𝑖𝑗</m:t>
                          </m:r>
                          <m:r>
                            <a:rPr lang="es-ES" sz="1400" b="0" i="1">
                              <a:solidFill>
                                <a:schemeClr val="tx1"/>
                              </a:solidFill>
                              <a:effectLst/>
                              <a:latin typeface="Cambria Math" panose="02040503050406030204" pitchFamily="18" charset="0"/>
                              <a:ea typeface="+mn-ea"/>
                              <a:cs typeface="+mn-cs"/>
                            </a:rPr>
                            <m:t>+</m:t>
                          </m:r>
                          <m:r>
                            <a:rPr lang="es-ES" sz="1400" b="0" i="1">
                              <a:solidFill>
                                <a:schemeClr val="tx1"/>
                              </a:solidFill>
                              <a:effectLst/>
                              <a:latin typeface="Cambria Math" panose="02040503050406030204" pitchFamily="18" charset="0"/>
                              <a:ea typeface="+mn-ea"/>
                              <a:cs typeface="+mn-cs"/>
                            </a:rPr>
                            <m:t>𝐹𝐵𝐾𝐹𝑖𝑗</m:t>
                          </m:r>
                          <m:r>
                            <a:rPr lang="es-ES" sz="1400" b="0" i="1">
                              <a:solidFill>
                                <a:schemeClr val="tx1"/>
                              </a:solidFill>
                              <a:effectLst/>
                              <a:latin typeface="Cambria Math" panose="02040503050406030204" pitchFamily="18" charset="0"/>
                              <a:ea typeface="+mn-ea"/>
                              <a:cs typeface="+mn-cs"/>
                            </a:rPr>
                            <m:t> ±</m:t>
                          </m:r>
                          <m:r>
                            <a:rPr lang="es-ES" sz="1400" b="0" i="1">
                              <a:solidFill>
                                <a:schemeClr val="tx1"/>
                              </a:solidFill>
                              <a:effectLst/>
                              <a:latin typeface="Cambria Math" panose="02040503050406030204" pitchFamily="18" charset="0"/>
                              <a:ea typeface="+mn-ea"/>
                              <a:cs typeface="+mn-cs"/>
                            </a:rPr>
                            <m:t>𝑉𝐸𝑖𝑗</m:t>
                          </m:r>
                        </m:e>
                        <m:e>
                          <m:r>
                            <a:rPr lang="es-ES" sz="1400" b="0" i="1">
                              <a:solidFill>
                                <a:schemeClr val="tx1"/>
                              </a:solidFill>
                              <a:effectLst/>
                              <a:latin typeface="Cambria Math" panose="02040503050406030204" pitchFamily="18" charset="0"/>
                              <a:ea typeface="+mn-ea"/>
                              <a:cs typeface="+mn-cs"/>
                            </a:rPr>
                            <m:t> </m:t>
                          </m:r>
                        </m:e>
                      </m:eqArr>
                    </m:den>
                  </m:f>
                </m:oMath>
              </a14:m>
              <a:r>
                <a:rPr lang="es-ES" sz="1400" i="1">
                  <a:latin typeface="+mn-lt"/>
                  <a:cs typeface="Arial" panose="020B0604020202020204" pitchFamily="34" charset="0"/>
                </a:rPr>
                <a:t> x</a:t>
              </a:r>
              <a:r>
                <a:rPr lang="es-ES" sz="1400" i="1" baseline="0">
                  <a:latin typeface="+mn-lt"/>
                  <a:cs typeface="Arial" panose="020B0604020202020204" pitchFamily="34" charset="0"/>
                </a:rPr>
                <a:t> 100</a:t>
              </a:r>
              <a:endParaRPr lang="es-ES" sz="1400" i="1">
                <a:latin typeface="+mn-lt"/>
                <a:cs typeface="Arial" panose="020B0604020202020204" pitchFamily="34" charset="0"/>
              </a:endParaRPr>
            </a:p>
          </xdr:txBody>
        </xdr:sp>
      </mc:Choice>
      <mc:Fallback xmlns="">
        <xdr:sp macro="" textlink="">
          <xdr:nvSpPr>
            <xdr:cNvPr id="104" name="CuadroTexto 103">
              <a:extLst>
                <a:ext uri="{FF2B5EF4-FFF2-40B4-BE49-F238E27FC236}">
                  <a16:creationId xmlns:a16="http://schemas.microsoft.com/office/drawing/2014/main" xmlns="" xmlns:a14="http://schemas.microsoft.com/office/drawing/2010/main" id="{00000000-0008-0000-0100-000018000000}"/>
                </a:ext>
              </a:extLst>
            </xdr:cNvPr>
            <xdr:cNvSpPr txBox="1"/>
          </xdr:nvSpPr>
          <xdr:spPr>
            <a:xfrm>
              <a:off x="31273750" y="50796825"/>
              <a:ext cx="2495720" cy="49356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ctr">
              <a:noAutofit/>
            </a:bodyPr>
            <a:lstStyle/>
            <a:p>
              <a:pPr algn="ctr"/>
              <a:r>
                <a:rPr lang="es-ES" sz="1400" i="1">
                  <a:latin typeface="+mn-lt"/>
                  <a:cs typeface="Arial" panose="020B0604020202020204" pitchFamily="34" charset="0"/>
                </a:rPr>
                <a:t>PMI</a:t>
              </a:r>
              <a:r>
                <a:rPr lang="es-ES" sz="1400" i="1" baseline="-25000">
                  <a:latin typeface="+mn-lt"/>
                  <a:cs typeface="Arial" panose="020B0604020202020204" pitchFamily="34" charset="0"/>
                </a:rPr>
                <a:t>ij</a:t>
              </a:r>
              <a:r>
                <a:rPr lang="es-ES" sz="1400" i="0">
                  <a:latin typeface="Cambria Math" panose="02040503050406030204" pitchFamily="18" charset="0"/>
                </a:rPr>
                <a:t>=(</a:t>
              </a:r>
              <a:r>
                <a:rPr lang="es-ES" sz="1400" b="0" i="0">
                  <a:latin typeface="Cambria Math" panose="02040503050406030204" pitchFamily="18" charset="0"/>
                </a:rPr>
                <a:t> 𝑄𝑖𝑗</a:t>
              </a:r>
              <a:r>
                <a:rPr lang="es-ES" sz="1400" b="0" i="0" baseline="-25000">
                  <a:latin typeface="Cambria Math" panose="02040503050406030204" pitchFamily="18" charset="0"/>
                </a:rPr>
                <a:t>  )/</a:t>
              </a:r>
              <a:r>
                <a:rPr lang="es-ES" sz="1400" b="0" i="0" baseline="-25000">
                  <a:solidFill>
                    <a:schemeClr val="tx1"/>
                  </a:solidFill>
                  <a:effectLst/>
                  <a:latin typeface="Cambria Math" panose="02040503050406030204" pitchFamily="18" charset="0"/>
                  <a:ea typeface="+mn-ea"/>
                  <a:cs typeface="+mn-cs"/>
                </a:rPr>
                <a:t>█(</a:t>
              </a:r>
              <a:r>
                <a:rPr lang="es-ES" sz="1400" b="0" i="0">
                  <a:solidFill>
                    <a:schemeClr val="tx1"/>
                  </a:solidFill>
                  <a:effectLst/>
                  <a:latin typeface="Cambria Math" panose="02040503050406030204" pitchFamily="18" charset="0"/>
                  <a:ea typeface="+mn-ea"/>
                  <a:cs typeface="+mn-cs"/>
                </a:rPr>
                <a:t>𝐶𝐼</a:t>
              </a:r>
              <a:r>
                <a:rPr lang="es-ES" sz="1400" b="0" i="0" baseline="-25000">
                  <a:solidFill>
                    <a:schemeClr val="tx1"/>
                  </a:solidFill>
                  <a:effectLst/>
                  <a:latin typeface="Cambria Math" panose="02040503050406030204" pitchFamily="18" charset="0"/>
                  <a:ea typeface="+mn-ea"/>
                  <a:cs typeface="+mn-cs"/>
                </a:rPr>
                <a:t>𝑖𝑗</a:t>
              </a:r>
              <a:r>
                <a:rPr lang="es-ES" sz="1400" b="0" i="0">
                  <a:solidFill>
                    <a:schemeClr val="tx1"/>
                  </a:solidFill>
                  <a:effectLst/>
                  <a:latin typeface="Cambria Math" panose="02040503050406030204" pitchFamily="18" charset="0"/>
                  <a:ea typeface="+mn-ea"/>
                  <a:cs typeface="+mn-cs"/>
                </a:rPr>
                <a:t>+𝐶𝐹𝑖𝑗+𝐹𝐵𝐾𝐹𝑖𝑗 ±𝑉𝐸𝑖𝑗@ )</a:t>
              </a:r>
              <a:r>
                <a:rPr lang="es-ES" sz="1400" i="1">
                  <a:latin typeface="+mn-lt"/>
                  <a:cs typeface="Arial" panose="020B0604020202020204" pitchFamily="34" charset="0"/>
                </a:rPr>
                <a:t> x</a:t>
              </a:r>
              <a:r>
                <a:rPr lang="es-ES" sz="1400" i="1" baseline="0">
                  <a:latin typeface="+mn-lt"/>
                  <a:cs typeface="Arial" panose="020B0604020202020204" pitchFamily="34" charset="0"/>
                </a:rPr>
                <a:t> 100</a:t>
              </a:r>
              <a:endParaRPr lang="es-ES" sz="1400" i="1">
                <a:latin typeface="+mn-lt"/>
                <a:cs typeface="Arial" panose="020B0604020202020204" pitchFamily="34" charset="0"/>
              </a:endParaRPr>
            </a:p>
          </xdr:txBody>
        </xdr:sp>
      </mc:Fallback>
    </mc:AlternateContent>
    <xdr:clientData/>
  </xdr:oneCellAnchor>
  <xdr:oneCellAnchor>
    <xdr:from>
      <xdr:col>42</xdr:col>
      <xdr:colOff>116417</xdr:colOff>
      <xdr:row>167</xdr:row>
      <xdr:rowOff>836083</xdr:rowOff>
    </xdr:from>
    <xdr:ext cx="2495720" cy="493569"/>
    <mc:AlternateContent xmlns:mc="http://schemas.openxmlformats.org/markup-compatibility/2006" xmlns:a14="http://schemas.microsoft.com/office/drawing/2010/main">
      <mc:Choice Requires="a14">
        <xdr:sp macro="" textlink="">
          <xdr:nvSpPr>
            <xdr:cNvPr id="105" name="CuadroTexto 104">
              <a:extLst>
                <a:ext uri="{FF2B5EF4-FFF2-40B4-BE49-F238E27FC236}">
                  <a16:creationId xmlns:a16="http://schemas.microsoft.com/office/drawing/2014/main" id="{00000000-0008-0000-0400-000069000000}"/>
                </a:ext>
              </a:extLst>
            </xdr:cNvPr>
            <xdr:cNvSpPr txBox="1"/>
          </xdr:nvSpPr>
          <xdr:spPr>
            <a:xfrm>
              <a:off x="31358417" y="51632908"/>
              <a:ext cx="2495720" cy="49356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ctr">
              <a:noAutofit/>
            </a:bodyPr>
            <a:lstStyle/>
            <a:p>
              <a:pPr algn="ctr"/>
              <a:r>
                <a:rPr lang="es-ES" sz="1400" i="1">
                  <a:latin typeface="+mn-lt"/>
                  <a:cs typeface="Arial" panose="020B0604020202020204" pitchFamily="34" charset="0"/>
                </a:rPr>
                <a:t>PMI</a:t>
              </a:r>
              <a:r>
                <a:rPr lang="es-ES" sz="1400" i="1" baseline="-25000">
                  <a:latin typeface="+mn-lt"/>
                  <a:cs typeface="Arial" panose="020B0604020202020204" pitchFamily="34" charset="0"/>
                </a:rPr>
                <a:t>ij</a:t>
              </a:r>
              <a14:m>
                <m:oMath xmlns:m="http://schemas.openxmlformats.org/officeDocument/2006/math">
                  <m:r>
                    <a:rPr lang="es-ES" sz="1400" i="1">
                      <a:latin typeface="Cambria Math" panose="02040503050406030204" pitchFamily="18" charset="0"/>
                    </a:rPr>
                    <m:t>=</m:t>
                  </m:r>
                  <m:f>
                    <m:fPr>
                      <m:ctrlPr>
                        <a:rPr lang="es-ES" sz="1400" i="1">
                          <a:latin typeface="Cambria Math" panose="02040503050406030204" pitchFamily="18" charset="0"/>
                        </a:rPr>
                      </m:ctrlPr>
                    </m:fPr>
                    <m:num>
                      <m:r>
                        <a:rPr lang="es-ES" sz="1400" b="0" i="1">
                          <a:latin typeface="Cambria Math" panose="02040503050406030204" pitchFamily="18" charset="0"/>
                        </a:rPr>
                        <m:t> </m:t>
                      </m:r>
                      <m:r>
                        <a:rPr lang="es-ES" sz="1400" b="0" i="1">
                          <a:latin typeface="Cambria Math" panose="02040503050406030204" pitchFamily="18" charset="0"/>
                        </a:rPr>
                        <m:t>𝑄𝑖𝑗</m:t>
                      </m:r>
                      <m:r>
                        <a:rPr lang="es-ES" sz="1400" b="0" i="1" baseline="-25000">
                          <a:latin typeface="Cambria Math" panose="02040503050406030204" pitchFamily="18" charset="0"/>
                        </a:rPr>
                        <m:t>  </m:t>
                      </m:r>
                    </m:num>
                    <m:den>
                      <m:r>
                        <a:rPr lang="es-ES" sz="1400" b="0" i="1">
                          <a:solidFill>
                            <a:schemeClr val="tx1"/>
                          </a:solidFill>
                          <a:effectLst/>
                          <a:latin typeface="Cambria Math" panose="02040503050406030204" pitchFamily="18" charset="0"/>
                          <a:ea typeface="+mn-ea"/>
                          <a:cs typeface="+mn-cs"/>
                        </a:rPr>
                        <m:t>𝐶𝐼</m:t>
                      </m:r>
                      <m:r>
                        <a:rPr lang="es-ES" sz="1400" b="0" i="1" baseline="-25000">
                          <a:solidFill>
                            <a:schemeClr val="tx1"/>
                          </a:solidFill>
                          <a:effectLst/>
                          <a:latin typeface="Cambria Math" panose="02040503050406030204" pitchFamily="18" charset="0"/>
                          <a:ea typeface="+mn-ea"/>
                          <a:cs typeface="+mn-cs"/>
                        </a:rPr>
                        <m:t>𝑖𝑗</m:t>
                      </m:r>
                      <m:r>
                        <a:rPr lang="es-ES" sz="1400" b="0" i="1">
                          <a:solidFill>
                            <a:schemeClr val="tx1"/>
                          </a:solidFill>
                          <a:effectLst/>
                          <a:latin typeface="Cambria Math" panose="02040503050406030204" pitchFamily="18" charset="0"/>
                          <a:ea typeface="+mn-ea"/>
                          <a:cs typeface="+mn-cs"/>
                        </a:rPr>
                        <m:t>+</m:t>
                      </m:r>
                      <m:r>
                        <a:rPr lang="es-ES" sz="1400" b="0" i="1">
                          <a:solidFill>
                            <a:schemeClr val="tx1"/>
                          </a:solidFill>
                          <a:effectLst/>
                          <a:latin typeface="Cambria Math" panose="02040503050406030204" pitchFamily="18" charset="0"/>
                          <a:ea typeface="+mn-ea"/>
                          <a:cs typeface="+mn-cs"/>
                        </a:rPr>
                        <m:t>𝐶𝐹𝑖𝑗</m:t>
                      </m:r>
                      <m:r>
                        <a:rPr lang="es-ES" sz="1400" b="0" i="1">
                          <a:solidFill>
                            <a:schemeClr val="tx1"/>
                          </a:solidFill>
                          <a:effectLst/>
                          <a:latin typeface="Cambria Math" panose="02040503050406030204" pitchFamily="18" charset="0"/>
                          <a:ea typeface="+mn-ea"/>
                          <a:cs typeface="+mn-cs"/>
                        </a:rPr>
                        <m:t> ±</m:t>
                      </m:r>
                      <m:r>
                        <a:rPr lang="es-ES" sz="1400" b="0" i="1">
                          <a:solidFill>
                            <a:schemeClr val="tx1"/>
                          </a:solidFill>
                          <a:effectLst/>
                          <a:latin typeface="Cambria Math" panose="02040503050406030204" pitchFamily="18" charset="0"/>
                          <a:ea typeface="+mn-ea"/>
                          <a:cs typeface="+mn-cs"/>
                        </a:rPr>
                        <m:t>𝑉𝐸𝑖𝑗</m:t>
                      </m:r>
                      <m:r>
                        <a:rPr lang="es-ES" sz="1400" b="0" i="1">
                          <a:solidFill>
                            <a:schemeClr val="tx1"/>
                          </a:solidFill>
                          <a:effectLst/>
                          <a:latin typeface="Cambria Math" panose="02040503050406030204" pitchFamily="18" charset="0"/>
                          <a:ea typeface="+mn-ea"/>
                          <a:cs typeface="+mn-cs"/>
                        </a:rPr>
                        <m:t>+</m:t>
                      </m:r>
                      <m:r>
                        <a:rPr lang="es-ES" sz="1400" b="0" i="1">
                          <a:solidFill>
                            <a:schemeClr val="tx1"/>
                          </a:solidFill>
                          <a:effectLst/>
                          <a:latin typeface="Cambria Math" panose="02040503050406030204" pitchFamily="18" charset="0"/>
                          <a:ea typeface="+mn-ea"/>
                          <a:cs typeface="+mn-cs"/>
                        </a:rPr>
                        <m:t>𝑃𝑖𝑗</m:t>
                      </m:r>
                      <m:r>
                        <a:rPr lang="es-ES" sz="1400" b="0" i="1">
                          <a:solidFill>
                            <a:schemeClr val="tx1"/>
                          </a:solidFill>
                          <a:effectLst/>
                          <a:latin typeface="Cambria Math" panose="02040503050406030204" pitchFamily="18" charset="0"/>
                          <a:ea typeface="+mn-ea"/>
                          <a:cs typeface="+mn-cs"/>
                        </a:rPr>
                        <m:t> </m:t>
                      </m:r>
                    </m:den>
                  </m:f>
                </m:oMath>
              </a14:m>
              <a:r>
                <a:rPr lang="es-ES" sz="1400" i="1">
                  <a:latin typeface="+mn-lt"/>
                  <a:cs typeface="Arial" panose="020B0604020202020204" pitchFamily="34" charset="0"/>
                </a:rPr>
                <a:t> x</a:t>
              </a:r>
              <a:r>
                <a:rPr lang="es-ES" sz="1400" i="1" baseline="0">
                  <a:latin typeface="+mn-lt"/>
                  <a:cs typeface="Arial" panose="020B0604020202020204" pitchFamily="34" charset="0"/>
                </a:rPr>
                <a:t> 100</a:t>
              </a:r>
              <a:endParaRPr lang="es-ES" sz="1400" i="1">
                <a:latin typeface="+mn-lt"/>
                <a:cs typeface="Arial" panose="020B0604020202020204" pitchFamily="34" charset="0"/>
              </a:endParaRPr>
            </a:p>
          </xdr:txBody>
        </xdr:sp>
      </mc:Choice>
      <mc:Fallback xmlns="">
        <xdr:sp macro="" textlink="">
          <xdr:nvSpPr>
            <xdr:cNvPr id="105" name="CuadroTexto 104">
              <a:extLst>
                <a:ext uri="{FF2B5EF4-FFF2-40B4-BE49-F238E27FC236}">
                  <a16:creationId xmlns:a16="http://schemas.microsoft.com/office/drawing/2014/main" xmlns="" xmlns:a14="http://schemas.microsoft.com/office/drawing/2010/main" id="{00000000-0008-0000-0100-000019000000}"/>
                </a:ext>
              </a:extLst>
            </xdr:cNvPr>
            <xdr:cNvSpPr txBox="1"/>
          </xdr:nvSpPr>
          <xdr:spPr>
            <a:xfrm>
              <a:off x="31358417" y="51632908"/>
              <a:ext cx="2495720" cy="49356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ctr">
              <a:noAutofit/>
            </a:bodyPr>
            <a:lstStyle/>
            <a:p>
              <a:pPr algn="ctr"/>
              <a:r>
                <a:rPr lang="es-ES" sz="1400" i="1">
                  <a:latin typeface="+mn-lt"/>
                  <a:cs typeface="Arial" panose="020B0604020202020204" pitchFamily="34" charset="0"/>
                </a:rPr>
                <a:t>PMI</a:t>
              </a:r>
              <a:r>
                <a:rPr lang="es-ES" sz="1400" i="1" baseline="-25000">
                  <a:latin typeface="+mn-lt"/>
                  <a:cs typeface="Arial" panose="020B0604020202020204" pitchFamily="34" charset="0"/>
                </a:rPr>
                <a:t>ij</a:t>
              </a:r>
              <a:r>
                <a:rPr lang="es-ES" sz="1400" i="0">
                  <a:latin typeface="Cambria Math" panose="02040503050406030204" pitchFamily="18" charset="0"/>
                </a:rPr>
                <a:t>=(</a:t>
              </a:r>
              <a:r>
                <a:rPr lang="es-ES" sz="1400" b="0" i="0">
                  <a:latin typeface="Cambria Math" panose="02040503050406030204" pitchFamily="18" charset="0"/>
                </a:rPr>
                <a:t> 𝑄𝑖𝑗</a:t>
              </a:r>
              <a:r>
                <a:rPr lang="es-ES" sz="1400" b="0" i="0" baseline="-25000">
                  <a:latin typeface="Cambria Math" panose="02040503050406030204" pitchFamily="18" charset="0"/>
                </a:rPr>
                <a:t>  )/(</a:t>
              </a:r>
              <a:r>
                <a:rPr lang="es-ES" sz="1400" b="0" i="0">
                  <a:solidFill>
                    <a:schemeClr val="tx1"/>
                  </a:solidFill>
                  <a:effectLst/>
                  <a:latin typeface="Cambria Math" panose="02040503050406030204" pitchFamily="18" charset="0"/>
                  <a:ea typeface="+mn-ea"/>
                  <a:cs typeface="+mn-cs"/>
                </a:rPr>
                <a:t>𝐶𝐼</a:t>
              </a:r>
              <a:r>
                <a:rPr lang="es-ES" sz="1400" b="0" i="0" baseline="-25000">
                  <a:solidFill>
                    <a:schemeClr val="tx1"/>
                  </a:solidFill>
                  <a:effectLst/>
                  <a:latin typeface="Cambria Math" panose="02040503050406030204" pitchFamily="18" charset="0"/>
                  <a:ea typeface="+mn-ea"/>
                  <a:cs typeface="+mn-cs"/>
                </a:rPr>
                <a:t>𝑖𝑗</a:t>
              </a:r>
              <a:r>
                <a:rPr lang="es-ES" sz="1400" b="0" i="0">
                  <a:solidFill>
                    <a:schemeClr val="tx1"/>
                  </a:solidFill>
                  <a:effectLst/>
                  <a:latin typeface="Cambria Math" panose="02040503050406030204" pitchFamily="18" charset="0"/>
                  <a:ea typeface="+mn-ea"/>
                  <a:cs typeface="+mn-cs"/>
                </a:rPr>
                <a:t>+𝐶𝐹𝑖𝑗 ±𝑉𝐸𝑖𝑗+𝑃𝑖𝑗 )</a:t>
              </a:r>
              <a:r>
                <a:rPr lang="es-ES" sz="1400" i="1">
                  <a:latin typeface="+mn-lt"/>
                  <a:cs typeface="Arial" panose="020B0604020202020204" pitchFamily="34" charset="0"/>
                </a:rPr>
                <a:t> x</a:t>
              </a:r>
              <a:r>
                <a:rPr lang="es-ES" sz="1400" i="1" baseline="0">
                  <a:latin typeface="+mn-lt"/>
                  <a:cs typeface="Arial" panose="020B0604020202020204" pitchFamily="34" charset="0"/>
                </a:rPr>
                <a:t> 100</a:t>
              </a:r>
              <a:endParaRPr lang="es-ES" sz="1400" i="1">
                <a:latin typeface="+mn-lt"/>
                <a:cs typeface="Arial" panose="020B0604020202020204" pitchFamily="34" charset="0"/>
              </a:endParaRPr>
            </a:p>
          </xdr:txBody>
        </xdr:sp>
      </mc:Fallback>
    </mc:AlternateContent>
    <xdr:clientData/>
  </xdr:oneCellAnchor>
  <xdr:oneCellAnchor>
    <xdr:from>
      <xdr:col>42</xdr:col>
      <xdr:colOff>42334</xdr:colOff>
      <xdr:row>168</xdr:row>
      <xdr:rowOff>825499</xdr:rowOff>
    </xdr:from>
    <xdr:ext cx="2495720" cy="493569"/>
    <mc:AlternateContent xmlns:mc="http://schemas.openxmlformats.org/markup-compatibility/2006" xmlns:a14="http://schemas.microsoft.com/office/drawing/2010/main">
      <mc:Choice Requires="a14">
        <xdr:sp macro="" textlink="">
          <xdr:nvSpPr>
            <xdr:cNvPr id="106" name="CuadroTexto 105">
              <a:extLst>
                <a:ext uri="{FF2B5EF4-FFF2-40B4-BE49-F238E27FC236}">
                  <a16:creationId xmlns:a16="http://schemas.microsoft.com/office/drawing/2014/main" id="{00000000-0008-0000-0400-00006A000000}"/>
                </a:ext>
              </a:extLst>
            </xdr:cNvPr>
            <xdr:cNvSpPr txBox="1"/>
          </xdr:nvSpPr>
          <xdr:spPr>
            <a:xfrm>
              <a:off x="31284334" y="56194324"/>
              <a:ext cx="2495720" cy="49356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ctr">
              <a:noAutofit/>
            </a:bodyPr>
            <a:lstStyle/>
            <a:p>
              <a:pPr algn="ctr"/>
              <a:r>
                <a:rPr lang="es-ES" sz="1400" i="1">
                  <a:latin typeface="+mn-lt"/>
                  <a:cs typeface="Arial" panose="020B0604020202020204" pitchFamily="34" charset="0"/>
                </a:rPr>
                <a:t>PMI</a:t>
              </a:r>
              <a:r>
                <a:rPr lang="es-ES" sz="1400" i="1" baseline="-25000">
                  <a:latin typeface="+mn-lt"/>
                  <a:cs typeface="Arial" panose="020B0604020202020204" pitchFamily="34" charset="0"/>
                </a:rPr>
                <a:t>ij</a:t>
              </a:r>
              <a14:m>
                <m:oMath xmlns:m="http://schemas.openxmlformats.org/officeDocument/2006/math">
                  <m:r>
                    <a:rPr lang="es-ES" sz="1400" i="1">
                      <a:latin typeface="Cambria Math" panose="02040503050406030204" pitchFamily="18" charset="0"/>
                    </a:rPr>
                    <m:t>=</m:t>
                  </m:r>
                  <m:f>
                    <m:fPr>
                      <m:ctrlPr>
                        <a:rPr lang="es-ES" sz="1400" i="1">
                          <a:latin typeface="Cambria Math" panose="02040503050406030204" pitchFamily="18" charset="0"/>
                        </a:rPr>
                      </m:ctrlPr>
                    </m:fPr>
                    <m:num>
                      <m:r>
                        <a:rPr lang="es-ES" sz="1400" b="0" i="1">
                          <a:latin typeface="Cambria Math" panose="02040503050406030204" pitchFamily="18" charset="0"/>
                        </a:rPr>
                        <m:t> </m:t>
                      </m:r>
                      <m:r>
                        <a:rPr lang="es-ES" sz="1400" b="0" i="1">
                          <a:latin typeface="Cambria Math" panose="02040503050406030204" pitchFamily="18" charset="0"/>
                        </a:rPr>
                        <m:t>𝑄𝑖𝑗</m:t>
                      </m:r>
                      <m:r>
                        <a:rPr lang="es-ES" sz="1400" b="0" i="1" baseline="-25000">
                          <a:latin typeface="Cambria Math" panose="02040503050406030204" pitchFamily="18" charset="0"/>
                        </a:rPr>
                        <m:t>  </m:t>
                      </m:r>
                    </m:num>
                    <m:den>
                      <m:r>
                        <a:rPr lang="es-ES" sz="1400" b="0" i="1">
                          <a:solidFill>
                            <a:schemeClr val="tx1"/>
                          </a:solidFill>
                          <a:effectLst/>
                          <a:latin typeface="Cambria Math" panose="02040503050406030204" pitchFamily="18" charset="0"/>
                          <a:ea typeface="+mn-ea"/>
                          <a:cs typeface="+mn-cs"/>
                        </a:rPr>
                        <m:t>𝐶𝐼</m:t>
                      </m:r>
                      <m:r>
                        <a:rPr lang="es-ES" sz="1400" b="0" i="1" baseline="-25000">
                          <a:solidFill>
                            <a:schemeClr val="tx1"/>
                          </a:solidFill>
                          <a:effectLst/>
                          <a:latin typeface="Cambria Math" panose="02040503050406030204" pitchFamily="18" charset="0"/>
                          <a:ea typeface="+mn-ea"/>
                          <a:cs typeface="+mn-cs"/>
                        </a:rPr>
                        <m:t>𝑖𝑗</m:t>
                      </m:r>
                      <m:r>
                        <a:rPr lang="es-ES" sz="1400" b="0" i="1">
                          <a:solidFill>
                            <a:schemeClr val="tx1"/>
                          </a:solidFill>
                          <a:effectLst/>
                          <a:latin typeface="Cambria Math" panose="02040503050406030204" pitchFamily="18" charset="0"/>
                          <a:ea typeface="+mn-ea"/>
                          <a:cs typeface="+mn-cs"/>
                        </a:rPr>
                        <m:t>+</m:t>
                      </m:r>
                      <m:r>
                        <a:rPr lang="es-ES" sz="1400" b="0" i="1">
                          <a:solidFill>
                            <a:schemeClr val="tx1"/>
                          </a:solidFill>
                          <a:effectLst/>
                          <a:latin typeface="Cambria Math" panose="02040503050406030204" pitchFamily="18" charset="0"/>
                          <a:ea typeface="+mn-ea"/>
                          <a:cs typeface="+mn-cs"/>
                        </a:rPr>
                        <m:t>𝐶𝐹𝑖𝑗</m:t>
                      </m:r>
                      <m:r>
                        <a:rPr lang="es-ES" sz="1400" b="0" i="1">
                          <a:solidFill>
                            <a:schemeClr val="tx1"/>
                          </a:solidFill>
                          <a:effectLst/>
                          <a:latin typeface="Cambria Math" panose="02040503050406030204" pitchFamily="18" charset="0"/>
                          <a:ea typeface="+mn-ea"/>
                          <a:cs typeface="+mn-cs"/>
                        </a:rPr>
                        <m:t> ±</m:t>
                      </m:r>
                      <m:r>
                        <a:rPr lang="es-ES" sz="1400" b="0" i="1">
                          <a:solidFill>
                            <a:schemeClr val="tx1"/>
                          </a:solidFill>
                          <a:effectLst/>
                          <a:latin typeface="Cambria Math" panose="02040503050406030204" pitchFamily="18" charset="0"/>
                          <a:ea typeface="+mn-ea"/>
                          <a:cs typeface="+mn-cs"/>
                        </a:rPr>
                        <m:t>𝑉𝐸𝑖𝑗</m:t>
                      </m:r>
                      <m:r>
                        <a:rPr lang="es-ES" sz="1400" b="0" i="1">
                          <a:solidFill>
                            <a:schemeClr val="tx1"/>
                          </a:solidFill>
                          <a:effectLst/>
                          <a:latin typeface="Cambria Math" panose="02040503050406030204" pitchFamily="18" charset="0"/>
                          <a:ea typeface="+mn-ea"/>
                          <a:cs typeface="+mn-cs"/>
                        </a:rPr>
                        <m:t>+</m:t>
                      </m:r>
                      <m:r>
                        <a:rPr lang="es-ES" sz="1400" b="0" i="1">
                          <a:solidFill>
                            <a:schemeClr val="tx1"/>
                          </a:solidFill>
                          <a:effectLst/>
                          <a:latin typeface="Cambria Math" panose="02040503050406030204" pitchFamily="18" charset="0"/>
                          <a:ea typeface="+mn-ea"/>
                          <a:cs typeface="+mn-cs"/>
                        </a:rPr>
                        <m:t>𝑃𝑖𝑗</m:t>
                      </m:r>
                      <m:r>
                        <a:rPr lang="es-ES" sz="1400" b="0" i="1">
                          <a:solidFill>
                            <a:schemeClr val="tx1"/>
                          </a:solidFill>
                          <a:effectLst/>
                          <a:latin typeface="Cambria Math" panose="02040503050406030204" pitchFamily="18" charset="0"/>
                          <a:ea typeface="+mn-ea"/>
                          <a:cs typeface="+mn-cs"/>
                        </a:rPr>
                        <m:t> </m:t>
                      </m:r>
                    </m:den>
                  </m:f>
                </m:oMath>
              </a14:m>
              <a:r>
                <a:rPr lang="es-ES" sz="1400" i="1">
                  <a:latin typeface="+mn-lt"/>
                  <a:cs typeface="Arial" panose="020B0604020202020204" pitchFamily="34" charset="0"/>
                </a:rPr>
                <a:t> x</a:t>
              </a:r>
              <a:r>
                <a:rPr lang="es-ES" sz="1400" i="1" baseline="0">
                  <a:latin typeface="+mn-lt"/>
                  <a:cs typeface="Arial" panose="020B0604020202020204" pitchFamily="34" charset="0"/>
                </a:rPr>
                <a:t> 100</a:t>
              </a:r>
              <a:endParaRPr lang="es-ES" sz="1400" i="1">
                <a:latin typeface="+mn-lt"/>
                <a:cs typeface="Arial" panose="020B0604020202020204" pitchFamily="34" charset="0"/>
              </a:endParaRPr>
            </a:p>
          </xdr:txBody>
        </xdr:sp>
      </mc:Choice>
      <mc:Fallback xmlns="">
        <xdr:sp macro="" textlink="">
          <xdr:nvSpPr>
            <xdr:cNvPr id="106" name="CuadroTexto 105">
              <a:extLst>
                <a:ext uri="{FF2B5EF4-FFF2-40B4-BE49-F238E27FC236}">
                  <a16:creationId xmlns:a16="http://schemas.microsoft.com/office/drawing/2014/main" xmlns="" xmlns:a14="http://schemas.microsoft.com/office/drawing/2010/main" id="{00000000-0008-0000-0100-00001A000000}"/>
                </a:ext>
              </a:extLst>
            </xdr:cNvPr>
            <xdr:cNvSpPr txBox="1"/>
          </xdr:nvSpPr>
          <xdr:spPr>
            <a:xfrm>
              <a:off x="31284334" y="56194324"/>
              <a:ext cx="2495720" cy="49356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ctr">
              <a:noAutofit/>
            </a:bodyPr>
            <a:lstStyle/>
            <a:p>
              <a:pPr algn="ctr"/>
              <a:r>
                <a:rPr lang="es-ES" sz="1400" i="1">
                  <a:latin typeface="+mn-lt"/>
                  <a:cs typeface="Arial" panose="020B0604020202020204" pitchFamily="34" charset="0"/>
                </a:rPr>
                <a:t>PMI</a:t>
              </a:r>
              <a:r>
                <a:rPr lang="es-ES" sz="1400" i="1" baseline="-25000">
                  <a:latin typeface="+mn-lt"/>
                  <a:cs typeface="Arial" panose="020B0604020202020204" pitchFamily="34" charset="0"/>
                </a:rPr>
                <a:t>ij</a:t>
              </a:r>
              <a:r>
                <a:rPr lang="es-ES" sz="1400" i="0">
                  <a:latin typeface="Cambria Math" panose="02040503050406030204" pitchFamily="18" charset="0"/>
                </a:rPr>
                <a:t>=(</a:t>
              </a:r>
              <a:r>
                <a:rPr lang="es-ES" sz="1400" b="0" i="0">
                  <a:latin typeface="Cambria Math" panose="02040503050406030204" pitchFamily="18" charset="0"/>
                </a:rPr>
                <a:t> 𝑄𝑖𝑗</a:t>
              </a:r>
              <a:r>
                <a:rPr lang="es-ES" sz="1400" b="0" i="0" baseline="-25000">
                  <a:latin typeface="Cambria Math" panose="02040503050406030204" pitchFamily="18" charset="0"/>
                </a:rPr>
                <a:t>  )/(</a:t>
              </a:r>
              <a:r>
                <a:rPr lang="es-ES" sz="1400" b="0" i="0">
                  <a:solidFill>
                    <a:schemeClr val="tx1"/>
                  </a:solidFill>
                  <a:effectLst/>
                  <a:latin typeface="Cambria Math" panose="02040503050406030204" pitchFamily="18" charset="0"/>
                  <a:ea typeface="+mn-ea"/>
                  <a:cs typeface="+mn-cs"/>
                </a:rPr>
                <a:t>𝐶𝐼</a:t>
              </a:r>
              <a:r>
                <a:rPr lang="es-ES" sz="1400" b="0" i="0" baseline="-25000">
                  <a:solidFill>
                    <a:schemeClr val="tx1"/>
                  </a:solidFill>
                  <a:effectLst/>
                  <a:latin typeface="Cambria Math" panose="02040503050406030204" pitchFamily="18" charset="0"/>
                  <a:ea typeface="+mn-ea"/>
                  <a:cs typeface="+mn-cs"/>
                </a:rPr>
                <a:t>𝑖𝑗</a:t>
              </a:r>
              <a:r>
                <a:rPr lang="es-ES" sz="1400" b="0" i="0">
                  <a:solidFill>
                    <a:schemeClr val="tx1"/>
                  </a:solidFill>
                  <a:effectLst/>
                  <a:latin typeface="Cambria Math" panose="02040503050406030204" pitchFamily="18" charset="0"/>
                  <a:ea typeface="+mn-ea"/>
                  <a:cs typeface="+mn-cs"/>
                </a:rPr>
                <a:t>+𝐶𝐹𝑖𝑗 ±𝑉𝐸𝑖𝑗+𝑃𝑖𝑗 )</a:t>
              </a:r>
              <a:r>
                <a:rPr lang="es-ES" sz="1400" i="1">
                  <a:latin typeface="+mn-lt"/>
                  <a:cs typeface="Arial" panose="020B0604020202020204" pitchFamily="34" charset="0"/>
                </a:rPr>
                <a:t> x</a:t>
              </a:r>
              <a:r>
                <a:rPr lang="es-ES" sz="1400" i="1" baseline="0">
                  <a:latin typeface="+mn-lt"/>
                  <a:cs typeface="Arial" panose="020B0604020202020204" pitchFamily="34" charset="0"/>
                </a:rPr>
                <a:t> 100</a:t>
              </a:r>
              <a:endParaRPr lang="es-ES" sz="1400" i="1">
                <a:latin typeface="+mn-lt"/>
                <a:cs typeface="Arial" panose="020B0604020202020204" pitchFamily="34" charset="0"/>
              </a:endParaRPr>
            </a:p>
          </xdr:txBody>
        </xdr:sp>
      </mc:Fallback>
    </mc:AlternateContent>
    <xdr:clientData/>
  </xdr:oneCellAnchor>
  <xdr:oneCellAnchor>
    <xdr:from>
      <xdr:col>42</xdr:col>
      <xdr:colOff>42334</xdr:colOff>
      <xdr:row>169</xdr:row>
      <xdr:rowOff>592673</xdr:rowOff>
    </xdr:from>
    <xdr:ext cx="2495720" cy="493569"/>
    <mc:AlternateContent xmlns:mc="http://schemas.openxmlformats.org/markup-compatibility/2006" xmlns:a14="http://schemas.microsoft.com/office/drawing/2010/main">
      <mc:Choice Requires="a14">
        <xdr:sp macro="" textlink="">
          <xdr:nvSpPr>
            <xdr:cNvPr id="107" name="CuadroTexto 106">
              <a:extLst>
                <a:ext uri="{FF2B5EF4-FFF2-40B4-BE49-F238E27FC236}">
                  <a16:creationId xmlns:a16="http://schemas.microsoft.com/office/drawing/2014/main" id="{00000000-0008-0000-0400-00006B000000}"/>
                </a:ext>
              </a:extLst>
            </xdr:cNvPr>
            <xdr:cNvSpPr txBox="1"/>
          </xdr:nvSpPr>
          <xdr:spPr>
            <a:xfrm>
              <a:off x="31284334" y="60533498"/>
              <a:ext cx="2495720" cy="49356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ctr">
              <a:noAutofit/>
            </a:bodyPr>
            <a:lstStyle/>
            <a:p>
              <a:pPr algn="ctr"/>
              <a:r>
                <a:rPr lang="es-ES" sz="1400" i="1">
                  <a:latin typeface="+mn-lt"/>
                  <a:cs typeface="Arial" panose="020B0604020202020204" pitchFamily="34" charset="0"/>
                </a:rPr>
                <a:t>PMI</a:t>
              </a:r>
              <a:r>
                <a:rPr lang="es-ES" sz="1400" i="1" baseline="-25000">
                  <a:latin typeface="+mn-lt"/>
                  <a:cs typeface="Arial" panose="020B0604020202020204" pitchFamily="34" charset="0"/>
                </a:rPr>
                <a:t>ij</a:t>
              </a:r>
              <a14:m>
                <m:oMath xmlns:m="http://schemas.openxmlformats.org/officeDocument/2006/math">
                  <m:r>
                    <a:rPr lang="es-ES" sz="1400" i="1">
                      <a:latin typeface="Cambria Math" panose="02040503050406030204" pitchFamily="18" charset="0"/>
                    </a:rPr>
                    <m:t>=</m:t>
                  </m:r>
                  <m:f>
                    <m:fPr>
                      <m:ctrlPr>
                        <a:rPr lang="es-ES" sz="1400" i="1">
                          <a:latin typeface="Cambria Math" panose="02040503050406030204" pitchFamily="18" charset="0"/>
                        </a:rPr>
                      </m:ctrlPr>
                    </m:fPr>
                    <m:num>
                      <m:r>
                        <a:rPr lang="es-ES" sz="1400" b="0" i="1">
                          <a:latin typeface="Cambria Math" panose="02040503050406030204" pitchFamily="18" charset="0"/>
                        </a:rPr>
                        <m:t> </m:t>
                      </m:r>
                      <m:r>
                        <a:rPr lang="es-ES" sz="1400" b="0" i="1">
                          <a:latin typeface="Cambria Math" panose="02040503050406030204" pitchFamily="18" charset="0"/>
                        </a:rPr>
                        <m:t>𝑄𝑖𝑗</m:t>
                      </m:r>
                      <m:r>
                        <a:rPr lang="es-ES" sz="1400" b="0" i="1" baseline="-25000">
                          <a:latin typeface="Cambria Math" panose="02040503050406030204" pitchFamily="18" charset="0"/>
                        </a:rPr>
                        <m:t>  </m:t>
                      </m:r>
                    </m:num>
                    <m:den>
                      <m:r>
                        <a:rPr lang="es-ES" sz="1400" b="0" i="1">
                          <a:solidFill>
                            <a:schemeClr val="tx1"/>
                          </a:solidFill>
                          <a:effectLst/>
                          <a:latin typeface="Cambria Math" panose="02040503050406030204" pitchFamily="18" charset="0"/>
                          <a:ea typeface="+mn-ea"/>
                          <a:cs typeface="+mn-cs"/>
                        </a:rPr>
                        <m:t>𝐶𝐼</m:t>
                      </m:r>
                      <m:r>
                        <a:rPr lang="es-ES" sz="1400" b="0" i="1" baseline="-25000">
                          <a:solidFill>
                            <a:schemeClr val="tx1"/>
                          </a:solidFill>
                          <a:effectLst/>
                          <a:latin typeface="Cambria Math" panose="02040503050406030204" pitchFamily="18" charset="0"/>
                          <a:ea typeface="+mn-ea"/>
                          <a:cs typeface="+mn-cs"/>
                        </a:rPr>
                        <m:t>𝑖𝑗</m:t>
                      </m:r>
                      <m:r>
                        <a:rPr lang="es-ES" sz="1400" b="0" i="1">
                          <a:solidFill>
                            <a:schemeClr val="tx1"/>
                          </a:solidFill>
                          <a:effectLst/>
                          <a:latin typeface="Cambria Math" panose="02040503050406030204" pitchFamily="18" charset="0"/>
                          <a:ea typeface="+mn-ea"/>
                          <a:cs typeface="+mn-cs"/>
                        </a:rPr>
                        <m:t>+</m:t>
                      </m:r>
                      <m:r>
                        <a:rPr lang="es-ES" sz="1400" b="0" i="1">
                          <a:solidFill>
                            <a:schemeClr val="tx1"/>
                          </a:solidFill>
                          <a:effectLst/>
                          <a:latin typeface="Cambria Math" panose="02040503050406030204" pitchFamily="18" charset="0"/>
                          <a:ea typeface="+mn-ea"/>
                          <a:cs typeface="+mn-cs"/>
                        </a:rPr>
                        <m:t>𝐶𝐹𝑖𝑗</m:t>
                      </m:r>
                      <m:r>
                        <a:rPr lang="es-ES" sz="1400" b="0" i="1">
                          <a:solidFill>
                            <a:schemeClr val="tx1"/>
                          </a:solidFill>
                          <a:effectLst/>
                          <a:latin typeface="Cambria Math" panose="02040503050406030204" pitchFamily="18" charset="0"/>
                          <a:ea typeface="+mn-ea"/>
                          <a:cs typeface="+mn-cs"/>
                        </a:rPr>
                        <m:t> ±</m:t>
                      </m:r>
                      <m:r>
                        <a:rPr lang="es-ES" sz="1400" b="0" i="1">
                          <a:solidFill>
                            <a:schemeClr val="tx1"/>
                          </a:solidFill>
                          <a:effectLst/>
                          <a:latin typeface="Cambria Math" panose="02040503050406030204" pitchFamily="18" charset="0"/>
                          <a:ea typeface="+mn-ea"/>
                          <a:cs typeface="+mn-cs"/>
                        </a:rPr>
                        <m:t>𝑉𝐸𝑖𝑗</m:t>
                      </m:r>
                      <m:r>
                        <a:rPr lang="es-ES" sz="1400" b="0" i="1">
                          <a:solidFill>
                            <a:schemeClr val="tx1"/>
                          </a:solidFill>
                          <a:effectLst/>
                          <a:latin typeface="Cambria Math" panose="02040503050406030204" pitchFamily="18" charset="0"/>
                          <a:ea typeface="+mn-ea"/>
                          <a:cs typeface="+mn-cs"/>
                        </a:rPr>
                        <m:t>+</m:t>
                      </m:r>
                      <m:r>
                        <a:rPr lang="es-ES" sz="1400" b="0" i="1">
                          <a:solidFill>
                            <a:schemeClr val="tx1"/>
                          </a:solidFill>
                          <a:effectLst/>
                          <a:latin typeface="Cambria Math" panose="02040503050406030204" pitchFamily="18" charset="0"/>
                          <a:ea typeface="+mn-ea"/>
                          <a:cs typeface="+mn-cs"/>
                        </a:rPr>
                        <m:t>𝑃𝑖𝑗</m:t>
                      </m:r>
                      <m:r>
                        <a:rPr lang="es-ES" sz="1400" b="0" i="1">
                          <a:solidFill>
                            <a:schemeClr val="tx1"/>
                          </a:solidFill>
                          <a:effectLst/>
                          <a:latin typeface="Cambria Math" panose="02040503050406030204" pitchFamily="18" charset="0"/>
                          <a:ea typeface="+mn-ea"/>
                          <a:cs typeface="+mn-cs"/>
                        </a:rPr>
                        <m:t> </m:t>
                      </m:r>
                    </m:den>
                  </m:f>
                </m:oMath>
              </a14:m>
              <a:r>
                <a:rPr lang="es-ES" sz="1400" i="1">
                  <a:latin typeface="+mn-lt"/>
                  <a:cs typeface="Arial" panose="020B0604020202020204" pitchFamily="34" charset="0"/>
                </a:rPr>
                <a:t> x</a:t>
              </a:r>
              <a:r>
                <a:rPr lang="es-ES" sz="1400" i="1" baseline="0">
                  <a:latin typeface="+mn-lt"/>
                  <a:cs typeface="Arial" panose="020B0604020202020204" pitchFamily="34" charset="0"/>
                </a:rPr>
                <a:t> 100</a:t>
              </a:r>
              <a:endParaRPr lang="es-ES" sz="1400" i="1">
                <a:latin typeface="+mn-lt"/>
                <a:cs typeface="Arial" panose="020B0604020202020204" pitchFamily="34" charset="0"/>
              </a:endParaRPr>
            </a:p>
          </xdr:txBody>
        </xdr:sp>
      </mc:Choice>
      <mc:Fallback xmlns="">
        <xdr:sp macro="" textlink="">
          <xdr:nvSpPr>
            <xdr:cNvPr id="107" name="CuadroTexto 106">
              <a:extLst>
                <a:ext uri="{FF2B5EF4-FFF2-40B4-BE49-F238E27FC236}">
                  <a16:creationId xmlns:a16="http://schemas.microsoft.com/office/drawing/2014/main" xmlns="" xmlns:a14="http://schemas.microsoft.com/office/drawing/2010/main" id="{00000000-0008-0000-0100-00001B000000}"/>
                </a:ext>
              </a:extLst>
            </xdr:cNvPr>
            <xdr:cNvSpPr txBox="1"/>
          </xdr:nvSpPr>
          <xdr:spPr>
            <a:xfrm>
              <a:off x="31284334" y="60533498"/>
              <a:ext cx="2495720" cy="49356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ctr">
              <a:noAutofit/>
            </a:bodyPr>
            <a:lstStyle/>
            <a:p>
              <a:pPr algn="ctr"/>
              <a:r>
                <a:rPr lang="es-ES" sz="1400" i="1">
                  <a:latin typeface="+mn-lt"/>
                  <a:cs typeface="Arial" panose="020B0604020202020204" pitchFamily="34" charset="0"/>
                </a:rPr>
                <a:t>PMI</a:t>
              </a:r>
              <a:r>
                <a:rPr lang="es-ES" sz="1400" i="1" baseline="-25000">
                  <a:latin typeface="+mn-lt"/>
                  <a:cs typeface="Arial" panose="020B0604020202020204" pitchFamily="34" charset="0"/>
                </a:rPr>
                <a:t>ij</a:t>
              </a:r>
              <a:r>
                <a:rPr lang="es-ES" sz="1400" i="0">
                  <a:latin typeface="Cambria Math" panose="02040503050406030204" pitchFamily="18" charset="0"/>
                </a:rPr>
                <a:t>=(</a:t>
              </a:r>
              <a:r>
                <a:rPr lang="es-ES" sz="1400" b="0" i="0">
                  <a:latin typeface="Cambria Math" panose="02040503050406030204" pitchFamily="18" charset="0"/>
                </a:rPr>
                <a:t> 𝑄𝑖𝑗</a:t>
              </a:r>
              <a:r>
                <a:rPr lang="es-ES" sz="1400" b="0" i="0" baseline="-25000">
                  <a:latin typeface="Cambria Math" panose="02040503050406030204" pitchFamily="18" charset="0"/>
                </a:rPr>
                <a:t>  )/(</a:t>
              </a:r>
              <a:r>
                <a:rPr lang="es-ES" sz="1400" b="0" i="0">
                  <a:solidFill>
                    <a:schemeClr val="tx1"/>
                  </a:solidFill>
                  <a:effectLst/>
                  <a:latin typeface="Cambria Math" panose="02040503050406030204" pitchFamily="18" charset="0"/>
                  <a:ea typeface="+mn-ea"/>
                  <a:cs typeface="+mn-cs"/>
                </a:rPr>
                <a:t>𝐶𝐼</a:t>
              </a:r>
              <a:r>
                <a:rPr lang="es-ES" sz="1400" b="0" i="0" baseline="-25000">
                  <a:solidFill>
                    <a:schemeClr val="tx1"/>
                  </a:solidFill>
                  <a:effectLst/>
                  <a:latin typeface="Cambria Math" panose="02040503050406030204" pitchFamily="18" charset="0"/>
                  <a:ea typeface="+mn-ea"/>
                  <a:cs typeface="+mn-cs"/>
                </a:rPr>
                <a:t>𝑖𝑗</a:t>
              </a:r>
              <a:r>
                <a:rPr lang="es-ES" sz="1400" b="0" i="0">
                  <a:solidFill>
                    <a:schemeClr val="tx1"/>
                  </a:solidFill>
                  <a:effectLst/>
                  <a:latin typeface="Cambria Math" panose="02040503050406030204" pitchFamily="18" charset="0"/>
                  <a:ea typeface="+mn-ea"/>
                  <a:cs typeface="+mn-cs"/>
                </a:rPr>
                <a:t>+𝐶𝐹𝑖𝑗 ±𝑉𝐸𝑖𝑗+𝑃𝑖𝑗 )</a:t>
              </a:r>
              <a:r>
                <a:rPr lang="es-ES" sz="1400" i="1">
                  <a:latin typeface="+mn-lt"/>
                  <a:cs typeface="Arial" panose="020B0604020202020204" pitchFamily="34" charset="0"/>
                </a:rPr>
                <a:t> x</a:t>
              </a:r>
              <a:r>
                <a:rPr lang="es-ES" sz="1400" i="1" baseline="0">
                  <a:latin typeface="+mn-lt"/>
                  <a:cs typeface="Arial" panose="020B0604020202020204" pitchFamily="34" charset="0"/>
                </a:rPr>
                <a:t> 100</a:t>
              </a:r>
              <a:endParaRPr lang="es-ES" sz="1400" i="1">
                <a:latin typeface="+mn-lt"/>
                <a:cs typeface="Arial" panose="020B0604020202020204" pitchFamily="34" charset="0"/>
              </a:endParaRPr>
            </a:p>
          </xdr:txBody>
        </xdr:sp>
      </mc:Fallback>
    </mc:AlternateContent>
    <xdr:clientData/>
  </xdr:oneCellAnchor>
  <xdr:oneCellAnchor>
    <xdr:from>
      <xdr:col>42</xdr:col>
      <xdr:colOff>0</xdr:colOff>
      <xdr:row>170</xdr:row>
      <xdr:rowOff>497414</xdr:rowOff>
    </xdr:from>
    <xdr:ext cx="2495720" cy="493569"/>
    <mc:AlternateContent xmlns:mc="http://schemas.openxmlformats.org/markup-compatibility/2006" xmlns:a14="http://schemas.microsoft.com/office/drawing/2010/main">
      <mc:Choice Requires="a14">
        <xdr:sp macro="" textlink="">
          <xdr:nvSpPr>
            <xdr:cNvPr id="108" name="CuadroTexto 107">
              <a:extLst>
                <a:ext uri="{FF2B5EF4-FFF2-40B4-BE49-F238E27FC236}">
                  <a16:creationId xmlns:a16="http://schemas.microsoft.com/office/drawing/2014/main" id="{00000000-0008-0000-0400-00006C000000}"/>
                </a:ext>
              </a:extLst>
            </xdr:cNvPr>
            <xdr:cNvSpPr txBox="1"/>
          </xdr:nvSpPr>
          <xdr:spPr>
            <a:xfrm>
              <a:off x="31242000" y="65010239"/>
              <a:ext cx="2495720" cy="49356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ctr">
              <a:noAutofit/>
            </a:bodyPr>
            <a:lstStyle/>
            <a:p>
              <a:pPr algn="ctr"/>
              <a:r>
                <a:rPr lang="es-ES" sz="1400" i="1">
                  <a:latin typeface="+mn-lt"/>
                  <a:cs typeface="Arial" panose="020B0604020202020204" pitchFamily="34" charset="0"/>
                </a:rPr>
                <a:t>PMI</a:t>
              </a:r>
              <a:r>
                <a:rPr lang="es-ES" sz="1400" i="1" baseline="-25000">
                  <a:latin typeface="+mn-lt"/>
                  <a:cs typeface="Arial" panose="020B0604020202020204" pitchFamily="34" charset="0"/>
                </a:rPr>
                <a:t>ij</a:t>
              </a:r>
              <a14:m>
                <m:oMath xmlns:m="http://schemas.openxmlformats.org/officeDocument/2006/math">
                  <m:r>
                    <a:rPr lang="es-ES" sz="1400" i="1">
                      <a:latin typeface="Cambria Math" panose="02040503050406030204" pitchFamily="18" charset="0"/>
                    </a:rPr>
                    <m:t>=</m:t>
                  </m:r>
                  <m:f>
                    <m:fPr>
                      <m:ctrlPr>
                        <a:rPr lang="es-ES" sz="1400" i="1">
                          <a:latin typeface="Cambria Math" panose="02040503050406030204" pitchFamily="18" charset="0"/>
                        </a:rPr>
                      </m:ctrlPr>
                    </m:fPr>
                    <m:num>
                      <m:r>
                        <a:rPr lang="es-ES" sz="1400" b="0" i="1">
                          <a:latin typeface="Cambria Math" panose="02040503050406030204" pitchFamily="18" charset="0"/>
                        </a:rPr>
                        <m:t> </m:t>
                      </m:r>
                      <m:r>
                        <a:rPr lang="es-ES" sz="1400" b="0" i="1">
                          <a:latin typeface="Cambria Math" panose="02040503050406030204" pitchFamily="18" charset="0"/>
                        </a:rPr>
                        <m:t>𝑄𝑖𝑗</m:t>
                      </m:r>
                      <m:r>
                        <a:rPr lang="es-ES" sz="1400" b="0" i="1" baseline="-25000">
                          <a:latin typeface="Cambria Math" panose="02040503050406030204" pitchFamily="18" charset="0"/>
                        </a:rPr>
                        <m:t>  </m:t>
                      </m:r>
                    </m:num>
                    <m:den>
                      <m:r>
                        <a:rPr lang="es-ES" sz="1400" b="0" i="1">
                          <a:solidFill>
                            <a:schemeClr val="tx1"/>
                          </a:solidFill>
                          <a:effectLst/>
                          <a:latin typeface="Cambria Math" panose="02040503050406030204" pitchFamily="18" charset="0"/>
                          <a:ea typeface="+mn-ea"/>
                          <a:cs typeface="+mn-cs"/>
                        </a:rPr>
                        <m:t>𝐶𝐼</m:t>
                      </m:r>
                      <m:r>
                        <a:rPr lang="es-ES" sz="1400" b="0" i="1" baseline="-25000">
                          <a:solidFill>
                            <a:schemeClr val="tx1"/>
                          </a:solidFill>
                          <a:effectLst/>
                          <a:latin typeface="Cambria Math" panose="02040503050406030204" pitchFamily="18" charset="0"/>
                          <a:ea typeface="+mn-ea"/>
                          <a:cs typeface="+mn-cs"/>
                        </a:rPr>
                        <m:t>𝑖𝑗</m:t>
                      </m:r>
                      <m:r>
                        <a:rPr lang="es-ES" sz="1400" b="0" i="1">
                          <a:solidFill>
                            <a:schemeClr val="tx1"/>
                          </a:solidFill>
                          <a:effectLst/>
                          <a:latin typeface="Cambria Math" panose="02040503050406030204" pitchFamily="18" charset="0"/>
                          <a:ea typeface="+mn-ea"/>
                          <a:cs typeface="+mn-cs"/>
                        </a:rPr>
                        <m:t>+</m:t>
                      </m:r>
                      <m:r>
                        <a:rPr lang="es-ES" sz="1400" b="0" i="1">
                          <a:solidFill>
                            <a:schemeClr val="tx1"/>
                          </a:solidFill>
                          <a:effectLst/>
                          <a:latin typeface="Cambria Math" panose="02040503050406030204" pitchFamily="18" charset="0"/>
                          <a:ea typeface="+mn-ea"/>
                          <a:cs typeface="+mn-cs"/>
                        </a:rPr>
                        <m:t>𝐶𝐹𝑖𝑗</m:t>
                      </m:r>
                      <m:r>
                        <a:rPr lang="es-ES" sz="1400" b="0" i="1">
                          <a:solidFill>
                            <a:schemeClr val="tx1"/>
                          </a:solidFill>
                          <a:effectLst/>
                          <a:latin typeface="Cambria Math" panose="02040503050406030204" pitchFamily="18" charset="0"/>
                          <a:ea typeface="+mn-ea"/>
                          <a:cs typeface="+mn-cs"/>
                        </a:rPr>
                        <m:t> ±</m:t>
                      </m:r>
                      <m:r>
                        <a:rPr lang="es-ES" sz="1400" b="0" i="1">
                          <a:solidFill>
                            <a:schemeClr val="tx1"/>
                          </a:solidFill>
                          <a:effectLst/>
                          <a:latin typeface="Cambria Math" panose="02040503050406030204" pitchFamily="18" charset="0"/>
                          <a:ea typeface="+mn-ea"/>
                          <a:cs typeface="+mn-cs"/>
                        </a:rPr>
                        <m:t>𝑉𝐸𝑖𝑗</m:t>
                      </m:r>
                      <m:r>
                        <a:rPr lang="es-ES" sz="1400" b="0" i="1">
                          <a:solidFill>
                            <a:schemeClr val="tx1"/>
                          </a:solidFill>
                          <a:effectLst/>
                          <a:latin typeface="Cambria Math" panose="02040503050406030204" pitchFamily="18" charset="0"/>
                          <a:ea typeface="+mn-ea"/>
                          <a:cs typeface="+mn-cs"/>
                        </a:rPr>
                        <m:t>+</m:t>
                      </m:r>
                      <m:r>
                        <a:rPr lang="es-ES" sz="1400" b="0" i="1">
                          <a:solidFill>
                            <a:schemeClr val="tx1"/>
                          </a:solidFill>
                          <a:effectLst/>
                          <a:latin typeface="Cambria Math" panose="02040503050406030204" pitchFamily="18" charset="0"/>
                          <a:ea typeface="+mn-ea"/>
                          <a:cs typeface="+mn-cs"/>
                        </a:rPr>
                        <m:t>𝑃𝑖𝑗</m:t>
                      </m:r>
                    </m:den>
                  </m:f>
                </m:oMath>
              </a14:m>
              <a:r>
                <a:rPr lang="es-ES" sz="1400" i="1">
                  <a:latin typeface="+mn-lt"/>
                  <a:cs typeface="Arial" panose="020B0604020202020204" pitchFamily="34" charset="0"/>
                </a:rPr>
                <a:t> x</a:t>
              </a:r>
              <a:r>
                <a:rPr lang="es-ES" sz="1400" i="1" baseline="0">
                  <a:latin typeface="+mn-lt"/>
                  <a:cs typeface="Arial" panose="020B0604020202020204" pitchFamily="34" charset="0"/>
                </a:rPr>
                <a:t> 100</a:t>
              </a:r>
              <a:endParaRPr lang="es-ES" sz="1400" i="1">
                <a:latin typeface="+mn-lt"/>
                <a:cs typeface="Arial" panose="020B0604020202020204" pitchFamily="34" charset="0"/>
              </a:endParaRPr>
            </a:p>
          </xdr:txBody>
        </xdr:sp>
      </mc:Choice>
      <mc:Fallback xmlns="">
        <xdr:sp macro="" textlink="">
          <xdr:nvSpPr>
            <xdr:cNvPr id="108" name="CuadroTexto 107">
              <a:extLst>
                <a:ext uri="{FF2B5EF4-FFF2-40B4-BE49-F238E27FC236}">
                  <a16:creationId xmlns:a16="http://schemas.microsoft.com/office/drawing/2014/main" xmlns="" xmlns:a14="http://schemas.microsoft.com/office/drawing/2010/main" id="{00000000-0008-0000-0100-00001C000000}"/>
                </a:ext>
              </a:extLst>
            </xdr:cNvPr>
            <xdr:cNvSpPr txBox="1"/>
          </xdr:nvSpPr>
          <xdr:spPr>
            <a:xfrm>
              <a:off x="31242000" y="65010239"/>
              <a:ext cx="2495720" cy="49356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ctr">
              <a:noAutofit/>
            </a:bodyPr>
            <a:lstStyle/>
            <a:p>
              <a:pPr algn="ctr"/>
              <a:r>
                <a:rPr lang="es-ES" sz="1400" i="1">
                  <a:latin typeface="+mn-lt"/>
                  <a:cs typeface="Arial" panose="020B0604020202020204" pitchFamily="34" charset="0"/>
                </a:rPr>
                <a:t>PMI</a:t>
              </a:r>
              <a:r>
                <a:rPr lang="es-ES" sz="1400" i="1" baseline="-25000">
                  <a:latin typeface="+mn-lt"/>
                  <a:cs typeface="Arial" panose="020B0604020202020204" pitchFamily="34" charset="0"/>
                </a:rPr>
                <a:t>ij</a:t>
              </a:r>
              <a:r>
                <a:rPr lang="es-ES" sz="1400" i="0">
                  <a:latin typeface="Cambria Math" panose="02040503050406030204" pitchFamily="18" charset="0"/>
                </a:rPr>
                <a:t>=(</a:t>
              </a:r>
              <a:r>
                <a:rPr lang="es-ES" sz="1400" b="0" i="0">
                  <a:latin typeface="Cambria Math" panose="02040503050406030204" pitchFamily="18" charset="0"/>
                </a:rPr>
                <a:t> 𝑄𝑖𝑗</a:t>
              </a:r>
              <a:r>
                <a:rPr lang="es-ES" sz="1400" b="0" i="0" baseline="-25000">
                  <a:latin typeface="Cambria Math" panose="02040503050406030204" pitchFamily="18" charset="0"/>
                </a:rPr>
                <a:t>  )/(</a:t>
              </a:r>
              <a:r>
                <a:rPr lang="es-ES" sz="1400" b="0" i="0">
                  <a:solidFill>
                    <a:schemeClr val="tx1"/>
                  </a:solidFill>
                  <a:effectLst/>
                  <a:latin typeface="Cambria Math" panose="02040503050406030204" pitchFamily="18" charset="0"/>
                  <a:ea typeface="+mn-ea"/>
                  <a:cs typeface="+mn-cs"/>
                </a:rPr>
                <a:t>𝐶𝐼</a:t>
              </a:r>
              <a:r>
                <a:rPr lang="es-ES" sz="1400" b="0" i="0" baseline="-25000">
                  <a:solidFill>
                    <a:schemeClr val="tx1"/>
                  </a:solidFill>
                  <a:effectLst/>
                  <a:latin typeface="Cambria Math" panose="02040503050406030204" pitchFamily="18" charset="0"/>
                  <a:ea typeface="+mn-ea"/>
                  <a:cs typeface="+mn-cs"/>
                </a:rPr>
                <a:t>𝑖𝑗</a:t>
              </a:r>
              <a:r>
                <a:rPr lang="es-ES" sz="1400" b="0" i="0">
                  <a:solidFill>
                    <a:schemeClr val="tx1"/>
                  </a:solidFill>
                  <a:effectLst/>
                  <a:latin typeface="Cambria Math" panose="02040503050406030204" pitchFamily="18" charset="0"/>
                  <a:ea typeface="+mn-ea"/>
                  <a:cs typeface="+mn-cs"/>
                </a:rPr>
                <a:t>+𝐶𝐹𝑖𝑗 ±𝑉𝐸𝑖𝑗+𝑃𝑖𝑗)</a:t>
              </a:r>
              <a:r>
                <a:rPr lang="es-ES" sz="1400" i="1">
                  <a:latin typeface="+mn-lt"/>
                  <a:cs typeface="Arial" panose="020B0604020202020204" pitchFamily="34" charset="0"/>
                </a:rPr>
                <a:t> x</a:t>
              </a:r>
              <a:r>
                <a:rPr lang="es-ES" sz="1400" i="1" baseline="0">
                  <a:latin typeface="+mn-lt"/>
                  <a:cs typeface="Arial" panose="020B0604020202020204" pitchFamily="34" charset="0"/>
                </a:rPr>
                <a:t> 100</a:t>
              </a:r>
              <a:endParaRPr lang="es-ES" sz="1400" i="1">
                <a:latin typeface="+mn-lt"/>
                <a:cs typeface="Arial" panose="020B0604020202020204" pitchFamily="34" charset="0"/>
              </a:endParaRPr>
            </a:p>
          </xdr:txBody>
        </xdr:sp>
      </mc:Fallback>
    </mc:AlternateContent>
    <xdr:clientData/>
  </xdr:oneCellAnchor>
  <xdr:oneCellAnchor>
    <xdr:from>
      <xdr:col>42</xdr:col>
      <xdr:colOff>31749</xdr:colOff>
      <xdr:row>178</xdr:row>
      <xdr:rowOff>920740</xdr:rowOff>
    </xdr:from>
    <xdr:ext cx="2495720" cy="493569"/>
    <mc:AlternateContent xmlns:mc="http://schemas.openxmlformats.org/markup-compatibility/2006" xmlns:a14="http://schemas.microsoft.com/office/drawing/2010/main">
      <mc:Choice Requires="a14">
        <xdr:sp macro="" textlink="">
          <xdr:nvSpPr>
            <xdr:cNvPr id="109" name="CuadroTexto 108">
              <a:extLst>
                <a:ext uri="{FF2B5EF4-FFF2-40B4-BE49-F238E27FC236}">
                  <a16:creationId xmlns:a16="http://schemas.microsoft.com/office/drawing/2014/main" id="{00000000-0008-0000-0400-00006D000000}"/>
                </a:ext>
              </a:extLst>
            </xdr:cNvPr>
            <xdr:cNvSpPr txBox="1"/>
          </xdr:nvSpPr>
          <xdr:spPr>
            <a:xfrm>
              <a:off x="31273749" y="102009565"/>
              <a:ext cx="2495720" cy="49356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ctr">
              <a:noAutofit/>
            </a:bodyPr>
            <a:lstStyle/>
            <a:p>
              <a:pPr algn="ctr"/>
              <a:r>
                <a:rPr lang="es-ES" sz="1400" i="1">
                  <a:latin typeface="+mn-lt"/>
                  <a:cs typeface="Arial" panose="020B0604020202020204" pitchFamily="34" charset="0"/>
                </a:rPr>
                <a:t>PMI</a:t>
              </a:r>
              <a:r>
                <a:rPr lang="es-ES" sz="1400" i="1" baseline="-25000">
                  <a:latin typeface="+mn-lt"/>
                  <a:cs typeface="Arial" panose="020B0604020202020204" pitchFamily="34" charset="0"/>
                </a:rPr>
                <a:t>ij</a:t>
              </a:r>
              <a14:m>
                <m:oMath xmlns:m="http://schemas.openxmlformats.org/officeDocument/2006/math">
                  <m:r>
                    <a:rPr lang="es-ES" sz="1400" i="1">
                      <a:latin typeface="Cambria Math" panose="02040503050406030204" pitchFamily="18" charset="0"/>
                    </a:rPr>
                    <m:t>=</m:t>
                  </m:r>
                  <m:f>
                    <m:fPr>
                      <m:ctrlPr>
                        <a:rPr lang="es-ES" sz="1400" i="1">
                          <a:latin typeface="Cambria Math" panose="02040503050406030204" pitchFamily="18" charset="0"/>
                        </a:rPr>
                      </m:ctrlPr>
                    </m:fPr>
                    <m:num>
                      <m:r>
                        <a:rPr lang="es-ES" sz="1400" b="0" i="1">
                          <a:latin typeface="Cambria Math" panose="02040503050406030204" pitchFamily="18" charset="0"/>
                        </a:rPr>
                        <m:t> </m:t>
                      </m:r>
                      <m:r>
                        <a:rPr lang="es-ES" sz="1400" b="0" i="1">
                          <a:latin typeface="Cambria Math" panose="02040503050406030204" pitchFamily="18" charset="0"/>
                        </a:rPr>
                        <m:t>𝑄𝑖𝑗</m:t>
                      </m:r>
                      <m:r>
                        <a:rPr lang="es-ES" sz="1400" b="0" i="1" baseline="-25000">
                          <a:latin typeface="Cambria Math" panose="02040503050406030204" pitchFamily="18" charset="0"/>
                        </a:rPr>
                        <m:t>  </m:t>
                      </m:r>
                    </m:num>
                    <m:den>
                      <m:r>
                        <a:rPr lang="es-ES" sz="1400" b="0" i="1">
                          <a:solidFill>
                            <a:schemeClr val="tx1"/>
                          </a:solidFill>
                          <a:effectLst/>
                          <a:latin typeface="Cambria Math" panose="02040503050406030204" pitchFamily="18" charset="0"/>
                          <a:ea typeface="+mn-ea"/>
                          <a:cs typeface="+mn-cs"/>
                        </a:rPr>
                        <m:t>𝐶𝐼</m:t>
                      </m:r>
                      <m:r>
                        <a:rPr lang="es-ES" sz="1400" b="0" i="1" baseline="-25000">
                          <a:solidFill>
                            <a:schemeClr val="tx1"/>
                          </a:solidFill>
                          <a:effectLst/>
                          <a:latin typeface="Cambria Math" panose="02040503050406030204" pitchFamily="18" charset="0"/>
                          <a:ea typeface="+mn-ea"/>
                          <a:cs typeface="+mn-cs"/>
                        </a:rPr>
                        <m:t>𝑖𝑗</m:t>
                      </m:r>
                      <m:r>
                        <a:rPr lang="es-ES" sz="1400" b="0" i="1">
                          <a:solidFill>
                            <a:schemeClr val="tx1"/>
                          </a:solidFill>
                          <a:effectLst/>
                          <a:latin typeface="Cambria Math" panose="02040503050406030204" pitchFamily="18" charset="0"/>
                          <a:ea typeface="+mn-ea"/>
                          <a:cs typeface="+mn-cs"/>
                        </a:rPr>
                        <m:t>+</m:t>
                      </m:r>
                      <m:r>
                        <a:rPr lang="es-ES" sz="1400" b="0" i="1">
                          <a:solidFill>
                            <a:schemeClr val="tx1"/>
                          </a:solidFill>
                          <a:effectLst/>
                          <a:latin typeface="Cambria Math" panose="02040503050406030204" pitchFamily="18" charset="0"/>
                          <a:ea typeface="+mn-ea"/>
                          <a:cs typeface="+mn-cs"/>
                        </a:rPr>
                        <m:t>𝐶𝐹𝑖𝑗</m:t>
                      </m:r>
                      <m:r>
                        <a:rPr lang="es-ES" sz="1400" b="0" i="1">
                          <a:solidFill>
                            <a:schemeClr val="tx1"/>
                          </a:solidFill>
                          <a:effectLst/>
                          <a:latin typeface="Cambria Math" panose="02040503050406030204" pitchFamily="18" charset="0"/>
                          <a:ea typeface="+mn-ea"/>
                          <a:cs typeface="+mn-cs"/>
                        </a:rPr>
                        <m:t> ±</m:t>
                      </m:r>
                      <m:r>
                        <a:rPr lang="es-ES" sz="1400" b="0" i="1">
                          <a:solidFill>
                            <a:schemeClr val="tx1"/>
                          </a:solidFill>
                          <a:effectLst/>
                          <a:latin typeface="Cambria Math" panose="02040503050406030204" pitchFamily="18" charset="0"/>
                          <a:ea typeface="+mn-ea"/>
                          <a:cs typeface="+mn-cs"/>
                        </a:rPr>
                        <m:t>𝑉𝐸𝑖𝑗</m:t>
                      </m:r>
                      <m:r>
                        <a:rPr lang="es-ES" sz="1400" b="0" i="1">
                          <a:solidFill>
                            <a:schemeClr val="tx1"/>
                          </a:solidFill>
                          <a:effectLst/>
                          <a:latin typeface="Cambria Math" panose="02040503050406030204" pitchFamily="18" charset="0"/>
                          <a:ea typeface="+mn-ea"/>
                          <a:cs typeface="+mn-cs"/>
                        </a:rPr>
                        <m:t>+</m:t>
                      </m:r>
                      <m:r>
                        <a:rPr lang="es-ES" sz="1400" b="0" i="1">
                          <a:solidFill>
                            <a:schemeClr val="tx1"/>
                          </a:solidFill>
                          <a:effectLst/>
                          <a:latin typeface="Cambria Math" panose="02040503050406030204" pitchFamily="18" charset="0"/>
                          <a:ea typeface="+mn-ea"/>
                          <a:cs typeface="+mn-cs"/>
                        </a:rPr>
                        <m:t>𝑃𝑖𝑗</m:t>
                      </m:r>
                      <m:r>
                        <a:rPr lang="es-ES" sz="1400" b="0" i="1">
                          <a:solidFill>
                            <a:schemeClr val="tx1"/>
                          </a:solidFill>
                          <a:effectLst/>
                          <a:latin typeface="Cambria Math" panose="02040503050406030204" pitchFamily="18" charset="0"/>
                          <a:ea typeface="+mn-ea"/>
                          <a:cs typeface="+mn-cs"/>
                        </a:rPr>
                        <m:t> </m:t>
                      </m:r>
                    </m:den>
                  </m:f>
                </m:oMath>
              </a14:m>
              <a:r>
                <a:rPr lang="es-ES" sz="1400" i="1">
                  <a:latin typeface="+mn-lt"/>
                  <a:cs typeface="Arial" panose="020B0604020202020204" pitchFamily="34" charset="0"/>
                </a:rPr>
                <a:t> x</a:t>
              </a:r>
              <a:r>
                <a:rPr lang="es-ES" sz="1400" i="1" baseline="0">
                  <a:latin typeface="+mn-lt"/>
                  <a:cs typeface="Arial" panose="020B0604020202020204" pitchFamily="34" charset="0"/>
                </a:rPr>
                <a:t> 100</a:t>
              </a:r>
              <a:endParaRPr lang="es-ES" sz="1400" i="1">
                <a:latin typeface="+mn-lt"/>
                <a:cs typeface="Arial" panose="020B0604020202020204" pitchFamily="34" charset="0"/>
              </a:endParaRPr>
            </a:p>
          </xdr:txBody>
        </xdr:sp>
      </mc:Choice>
      <mc:Fallback xmlns="">
        <xdr:sp macro="" textlink="">
          <xdr:nvSpPr>
            <xdr:cNvPr id="109" name="CuadroTexto 108">
              <a:extLst>
                <a:ext uri="{FF2B5EF4-FFF2-40B4-BE49-F238E27FC236}">
                  <a16:creationId xmlns:a16="http://schemas.microsoft.com/office/drawing/2014/main" xmlns="" xmlns:a14="http://schemas.microsoft.com/office/drawing/2010/main" id="{00000000-0008-0000-0100-00001D000000}"/>
                </a:ext>
              </a:extLst>
            </xdr:cNvPr>
            <xdr:cNvSpPr txBox="1"/>
          </xdr:nvSpPr>
          <xdr:spPr>
            <a:xfrm>
              <a:off x="31273749" y="102009565"/>
              <a:ext cx="2495720" cy="49356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ctr">
              <a:noAutofit/>
            </a:bodyPr>
            <a:lstStyle/>
            <a:p>
              <a:pPr algn="ctr"/>
              <a:r>
                <a:rPr lang="es-ES" sz="1400" i="1">
                  <a:latin typeface="+mn-lt"/>
                  <a:cs typeface="Arial" panose="020B0604020202020204" pitchFamily="34" charset="0"/>
                </a:rPr>
                <a:t>PMI</a:t>
              </a:r>
              <a:r>
                <a:rPr lang="es-ES" sz="1400" i="1" baseline="-25000">
                  <a:latin typeface="+mn-lt"/>
                  <a:cs typeface="Arial" panose="020B0604020202020204" pitchFamily="34" charset="0"/>
                </a:rPr>
                <a:t>ij</a:t>
              </a:r>
              <a:r>
                <a:rPr lang="es-ES" sz="1400" i="0">
                  <a:latin typeface="Cambria Math" panose="02040503050406030204" pitchFamily="18" charset="0"/>
                </a:rPr>
                <a:t>=(</a:t>
              </a:r>
              <a:r>
                <a:rPr lang="es-ES" sz="1400" b="0" i="0">
                  <a:latin typeface="Cambria Math" panose="02040503050406030204" pitchFamily="18" charset="0"/>
                </a:rPr>
                <a:t> 𝑄𝑖𝑗</a:t>
              </a:r>
              <a:r>
                <a:rPr lang="es-ES" sz="1400" b="0" i="0" baseline="-25000">
                  <a:latin typeface="Cambria Math" panose="02040503050406030204" pitchFamily="18" charset="0"/>
                </a:rPr>
                <a:t>  )/(</a:t>
              </a:r>
              <a:r>
                <a:rPr lang="es-ES" sz="1400" b="0" i="0">
                  <a:solidFill>
                    <a:schemeClr val="tx1"/>
                  </a:solidFill>
                  <a:effectLst/>
                  <a:latin typeface="Cambria Math" panose="02040503050406030204" pitchFamily="18" charset="0"/>
                  <a:ea typeface="+mn-ea"/>
                  <a:cs typeface="+mn-cs"/>
                </a:rPr>
                <a:t>𝐶𝐼</a:t>
              </a:r>
              <a:r>
                <a:rPr lang="es-ES" sz="1400" b="0" i="0" baseline="-25000">
                  <a:solidFill>
                    <a:schemeClr val="tx1"/>
                  </a:solidFill>
                  <a:effectLst/>
                  <a:latin typeface="Cambria Math" panose="02040503050406030204" pitchFamily="18" charset="0"/>
                  <a:ea typeface="+mn-ea"/>
                  <a:cs typeface="+mn-cs"/>
                </a:rPr>
                <a:t>𝑖𝑗</a:t>
              </a:r>
              <a:r>
                <a:rPr lang="es-ES" sz="1400" b="0" i="0">
                  <a:solidFill>
                    <a:schemeClr val="tx1"/>
                  </a:solidFill>
                  <a:effectLst/>
                  <a:latin typeface="Cambria Math" panose="02040503050406030204" pitchFamily="18" charset="0"/>
                  <a:ea typeface="+mn-ea"/>
                  <a:cs typeface="+mn-cs"/>
                </a:rPr>
                <a:t>+𝐶𝐹𝑖𝑗 ±𝑉𝐸𝑖𝑗+𝑃𝑖𝑗 )</a:t>
              </a:r>
              <a:r>
                <a:rPr lang="es-ES" sz="1400" i="1">
                  <a:latin typeface="+mn-lt"/>
                  <a:cs typeface="Arial" panose="020B0604020202020204" pitchFamily="34" charset="0"/>
                </a:rPr>
                <a:t> x</a:t>
              </a:r>
              <a:r>
                <a:rPr lang="es-ES" sz="1400" i="1" baseline="0">
                  <a:latin typeface="+mn-lt"/>
                  <a:cs typeface="Arial" panose="020B0604020202020204" pitchFamily="34" charset="0"/>
                </a:rPr>
                <a:t> 100</a:t>
              </a:r>
              <a:endParaRPr lang="es-ES" sz="1400" i="1">
                <a:latin typeface="+mn-lt"/>
                <a:cs typeface="Arial" panose="020B0604020202020204" pitchFamily="34" charset="0"/>
              </a:endParaRPr>
            </a:p>
          </xdr:txBody>
        </xdr:sp>
      </mc:Fallback>
    </mc:AlternateContent>
    <xdr:clientData/>
  </xdr:oneCellAnchor>
  <xdr:oneCellAnchor>
    <xdr:from>
      <xdr:col>42</xdr:col>
      <xdr:colOff>31749</xdr:colOff>
      <xdr:row>171</xdr:row>
      <xdr:rowOff>359830</xdr:rowOff>
    </xdr:from>
    <xdr:ext cx="2495720" cy="493569"/>
    <mc:AlternateContent xmlns:mc="http://schemas.openxmlformats.org/markup-compatibility/2006" xmlns:a14="http://schemas.microsoft.com/office/drawing/2010/main">
      <mc:Choice Requires="a14">
        <xdr:sp macro="" textlink="">
          <xdr:nvSpPr>
            <xdr:cNvPr id="110" name="CuadroTexto 109">
              <a:extLst>
                <a:ext uri="{FF2B5EF4-FFF2-40B4-BE49-F238E27FC236}">
                  <a16:creationId xmlns:a16="http://schemas.microsoft.com/office/drawing/2014/main" id="{00000000-0008-0000-0400-00006E000000}"/>
                </a:ext>
              </a:extLst>
            </xdr:cNvPr>
            <xdr:cNvSpPr txBox="1"/>
          </xdr:nvSpPr>
          <xdr:spPr>
            <a:xfrm>
              <a:off x="31273749" y="69444655"/>
              <a:ext cx="2495720" cy="49356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ctr">
              <a:noAutofit/>
            </a:bodyPr>
            <a:lstStyle/>
            <a:p>
              <a:pPr algn="ctr"/>
              <a:r>
                <a:rPr lang="es-ES" sz="1400" i="1">
                  <a:latin typeface="+mn-lt"/>
                  <a:cs typeface="Arial" panose="020B0604020202020204" pitchFamily="34" charset="0"/>
                </a:rPr>
                <a:t>PMI</a:t>
              </a:r>
              <a:r>
                <a:rPr lang="es-ES" sz="1400" i="1" baseline="-25000">
                  <a:latin typeface="+mn-lt"/>
                  <a:cs typeface="Arial" panose="020B0604020202020204" pitchFamily="34" charset="0"/>
                </a:rPr>
                <a:t>ij</a:t>
              </a:r>
              <a14:m>
                <m:oMath xmlns:m="http://schemas.openxmlformats.org/officeDocument/2006/math">
                  <m:r>
                    <a:rPr lang="es-ES" sz="1400" i="1">
                      <a:latin typeface="Cambria Math" panose="02040503050406030204" pitchFamily="18" charset="0"/>
                    </a:rPr>
                    <m:t>=</m:t>
                  </m:r>
                  <m:f>
                    <m:fPr>
                      <m:ctrlPr>
                        <a:rPr lang="es-ES" sz="1400" i="1">
                          <a:latin typeface="Cambria Math" panose="02040503050406030204" pitchFamily="18" charset="0"/>
                        </a:rPr>
                      </m:ctrlPr>
                    </m:fPr>
                    <m:num>
                      <m:r>
                        <a:rPr lang="es-ES" sz="1400" b="0" i="1">
                          <a:latin typeface="Cambria Math" panose="02040503050406030204" pitchFamily="18" charset="0"/>
                        </a:rPr>
                        <m:t> </m:t>
                      </m:r>
                      <m:r>
                        <a:rPr lang="es-ES" sz="1400" b="0" i="1">
                          <a:latin typeface="Cambria Math" panose="02040503050406030204" pitchFamily="18" charset="0"/>
                        </a:rPr>
                        <m:t>𝑄𝑖𝑗</m:t>
                      </m:r>
                      <m:r>
                        <a:rPr lang="es-ES" sz="1400" b="0" i="1" baseline="-25000">
                          <a:latin typeface="Cambria Math" panose="02040503050406030204" pitchFamily="18" charset="0"/>
                        </a:rPr>
                        <m:t>  </m:t>
                      </m:r>
                    </m:num>
                    <m:den>
                      <m:r>
                        <a:rPr lang="es-ES" sz="1400" b="0" i="1">
                          <a:solidFill>
                            <a:schemeClr val="tx1"/>
                          </a:solidFill>
                          <a:effectLst/>
                          <a:latin typeface="Cambria Math" panose="02040503050406030204" pitchFamily="18" charset="0"/>
                          <a:ea typeface="+mn-ea"/>
                          <a:cs typeface="+mn-cs"/>
                        </a:rPr>
                        <m:t>𝐶𝐼</m:t>
                      </m:r>
                      <m:r>
                        <a:rPr lang="es-ES" sz="1400" b="0" i="1" baseline="-25000">
                          <a:solidFill>
                            <a:schemeClr val="tx1"/>
                          </a:solidFill>
                          <a:effectLst/>
                          <a:latin typeface="Cambria Math" panose="02040503050406030204" pitchFamily="18" charset="0"/>
                          <a:ea typeface="+mn-ea"/>
                          <a:cs typeface="+mn-cs"/>
                        </a:rPr>
                        <m:t>𝑖𝑗</m:t>
                      </m:r>
                      <m:r>
                        <a:rPr lang="es-ES" sz="1400" b="0" i="1">
                          <a:solidFill>
                            <a:schemeClr val="tx1"/>
                          </a:solidFill>
                          <a:effectLst/>
                          <a:latin typeface="Cambria Math" panose="02040503050406030204" pitchFamily="18" charset="0"/>
                          <a:ea typeface="+mn-ea"/>
                          <a:cs typeface="+mn-cs"/>
                        </a:rPr>
                        <m:t>+</m:t>
                      </m:r>
                      <m:r>
                        <a:rPr lang="es-ES" sz="1400" b="0" i="1">
                          <a:solidFill>
                            <a:schemeClr val="tx1"/>
                          </a:solidFill>
                          <a:effectLst/>
                          <a:latin typeface="Cambria Math" panose="02040503050406030204" pitchFamily="18" charset="0"/>
                          <a:ea typeface="+mn-ea"/>
                          <a:cs typeface="+mn-cs"/>
                        </a:rPr>
                        <m:t>𝐶𝐹𝑖𝑗</m:t>
                      </m:r>
                      <m:r>
                        <a:rPr lang="es-ES" sz="1400" b="0" i="1">
                          <a:solidFill>
                            <a:schemeClr val="tx1"/>
                          </a:solidFill>
                          <a:effectLst/>
                          <a:latin typeface="Cambria Math" panose="02040503050406030204" pitchFamily="18" charset="0"/>
                          <a:ea typeface="+mn-ea"/>
                          <a:cs typeface="+mn-cs"/>
                        </a:rPr>
                        <m:t> ±</m:t>
                      </m:r>
                      <m:r>
                        <a:rPr lang="es-ES" sz="1400" b="0" i="1">
                          <a:solidFill>
                            <a:schemeClr val="tx1"/>
                          </a:solidFill>
                          <a:effectLst/>
                          <a:latin typeface="Cambria Math" panose="02040503050406030204" pitchFamily="18" charset="0"/>
                          <a:ea typeface="+mn-ea"/>
                          <a:cs typeface="+mn-cs"/>
                        </a:rPr>
                        <m:t>𝑉𝐸𝑖𝑗</m:t>
                      </m:r>
                      <m:r>
                        <a:rPr lang="es-ES" sz="1400" b="0" i="1">
                          <a:solidFill>
                            <a:schemeClr val="tx1"/>
                          </a:solidFill>
                          <a:effectLst/>
                          <a:latin typeface="Cambria Math" panose="02040503050406030204" pitchFamily="18" charset="0"/>
                          <a:ea typeface="+mn-ea"/>
                          <a:cs typeface="+mn-cs"/>
                        </a:rPr>
                        <m:t>+</m:t>
                      </m:r>
                      <m:r>
                        <a:rPr lang="es-ES" sz="1400" b="0" i="1">
                          <a:solidFill>
                            <a:schemeClr val="tx1"/>
                          </a:solidFill>
                          <a:effectLst/>
                          <a:latin typeface="Cambria Math" panose="02040503050406030204" pitchFamily="18" charset="0"/>
                          <a:ea typeface="+mn-ea"/>
                          <a:cs typeface="+mn-cs"/>
                        </a:rPr>
                        <m:t>𝑃𝑖𝑗</m:t>
                      </m:r>
                      <m:r>
                        <a:rPr lang="es-ES" sz="1400" b="0" i="1">
                          <a:solidFill>
                            <a:schemeClr val="tx1"/>
                          </a:solidFill>
                          <a:effectLst/>
                          <a:latin typeface="Cambria Math" panose="02040503050406030204" pitchFamily="18" charset="0"/>
                          <a:ea typeface="+mn-ea"/>
                          <a:cs typeface="+mn-cs"/>
                        </a:rPr>
                        <m:t> </m:t>
                      </m:r>
                    </m:den>
                  </m:f>
                </m:oMath>
              </a14:m>
              <a:r>
                <a:rPr lang="es-ES" sz="1400" i="1">
                  <a:latin typeface="+mn-lt"/>
                  <a:cs typeface="Arial" panose="020B0604020202020204" pitchFamily="34" charset="0"/>
                </a:rPr>
                <a:t> x</a:t>
              </a:r>
              <a:r>
                <a:rPr lang="es-ES" sz="1400" i="1" baseline="0">
                  <a:latin typeface="+mn-lt"/>
                  <a:cs typeface="Arial" panose="020B0604020202020204" pitchFamily="34" charset="0"/>
                </a:rPr>
                <a:t> 100</a:t>
              </a:r>
              <a:endParaRPr lang="es-ES" sz="1400" i="1">
                <a:latin typeface="+mn-lt"/>
                <a:cs typeface="Arial" panose="020B0604020202020204" pitchFamily="34" charset="0"/>
              </a:endParaRPr>
            </a:p>
          </xdr:txBody>
        </xdr:sp>
      </mc:Choice>
      <mc:Fallback xmlns="">
        <xdr:sp macro="" textlink="">
          <xdr:nvSpPr>
            <xdr:cNvPr id="110" name="CuadroTexto 109">
              <a:extLst>
                <a:ext uri="{FF2B5EF4-FFF2-40B4-BE49-F238E27FC236}">
                  <a16:creationId xmlns:a16="http://schemas.microsoft.com/office/drawing/2014/main" xmlns="" xmlns:a14="http://schemas.microsoft.com/office/drawing/2010/main" id="{00000000-0008-0000-0100-00001E000000}"/>
                </a:ext>
              </a:extLst>
            </xdr:cNvPr>
            <xdr:cNvSpPr txBox="1"/>
          </xdr:nvSpPr>
          <xdr:spPr>
            <a:xfrm>
              <a:off x="31273749" y="69444655"/>
              <a:ext cx="2495720" cy="49356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ctr">
              <a:noAutofit/>
            </a:bodyPr>
            <a:lstStyle/>
            <a:p>
              <a:pPr algn="ctr"/>
              <a:r>
                <a:rPr lang="es-ES" sz="1400" i="1">
                  <a:latin typeface="+mn-lt"/>
                  <a:cs typeface="Arial" panose="020B0604020202020204" pitchFamily="34" charset="0"/>
                </a:rPr>
                <a:t>PMI</a:t>
              </a:r>
              <a:r>
                <a:rPr lang="es-ES" sz="1400" i="1" baseline="-25000">
                  <a:latin typeface="+mn-lt"/>
                  <a:cs typeface="Arial" panose="020B0604020202020204" pitchFamily="34" charset="0"/>
                </a:rPr>
                <a:t>ij</a:t>
              </a:r>
              <a:r>
                <a:rPr lang="es-ES" sz="1400" i="0">
                  <a:latin typeface="Cambria Math" panose="02040503050406030204" pitchFamily="18" charset="0"/>
                </a:rPr>
                <a:t>=(</a:t>
              </a:r>
              <a:r>
                <a:rPr lang="es-ES" sz="1400" b="0" i="0">
                  <a:latin typeface="Cambria Math" panose="02040503050406030204" pitchFamily="18" charset="0"/>
                </a:rPr>
                <a:t> 𝑄𝑖𝑗</a:t>
              </a:r>
              <a:r>
                <a:rPr lang="es-ES" sz="1400" b="0" i="0" baseline="-25000">
                  <a:latin typeface="Cambria Math" panose="02040503050406030204" pitchFamily="18" charset="0"/>
                </a:rPr>
                <a:t>  )/(</a:t>
              </a:r>
              <a:r>
                <a:rPr lang="es-ES" sz="1400" b="0" i="0">
                  <a:solidFill>
                    <a:schemeClr val="tx1"/>
                  </a:solidFill>
                  <a:effectLst/>
                  <a:latin typeface="Cambria Math" panose="02040503050406030204" pitchFamily="18" charset="0"/>
                  <a:ea typeface="+mn-ea"/>
                  <a:cs typeface="+mn-cs"/>
                </a:rPr>
                <a:t>𝐶𝐼</a:t>
              </a:r>
              <a:r>
                <a:rPr lang="es-ES" sz="1400" b="0" i="0" baseline="-25000">
                  <a:solidFill>
                    <a:schemeClr val="tx1"/>
                  </a:solidFill>
                  <a:effectLst/>
                  <a:latin typeface="Cambria Math" panose="02040503050406030204" pitchFamily="18" charset="0"/>
                  <a:ea typeface="+mn-ea"/>
                  <a:cs typeface="+mn-cs"/>
                </a:rPr>
                <a:t>𝑖𝑗</a:t>
              </a:r>
              <a:r>
                <a:rPr lang="es-ES" sz="1400" b="0" i="0">
                  <a:solidFill>
                    <a:schemeClr val="tx1"/>
                  </a:solidFill>
                  <a:effectLst/>
                  <a:latin typeface="Cambria Math" panose="02040503050406030204" pitchFamily="18" charset="0"/>
                  <a:ea typeface="+mn-ea"/>
                  <a:cs typeface="+mn-cs"/>
                </a:rPr>
                <a:t>+𝐶𝐹𝑖𝑗 ±𝑉𝐸𝑖𝑗+𝑃𝑖𝑗 )</a:t>
              </a:r>
              <a:r>
                <a:rPr lang="es-ES" sz="1400" i="1">
                  <a:latin typeface="+mn-lt"/>
                  <a:cs typeface="Arial" panose="020B0604020202020204" pitchFamily="34" charset="0"/>
                </a:rPr>
                <a:t> x</a:t>
              </a:r>
              <a:r>
                <a:rPr lang="es-ES" sz="1400" i="1" baseline="0">
                  <a:latin typeface="+mn-lt"/>
                  <a:cs typeface="Arial" panose="020B0604020202020204" pitchFamily="34" charset="0"/>
                </a:rPr>
                <a:t> 100</a:t>
              </a:r>
              <a:endParaRPr lang="es-ES" sz="1400" i="1">
                <a:latin typeface="+mn-lt"/>
                <a:cs typeface="Arial" panose="020B0604020202020204" pitchFamily="34" charset="0"/>
              </a:endParaRPr>
            </a:p>
          </xdr:txBody>
        </xdr:sp>
      </mc:Fallback>
    </mc:AlternateContent>
    <xdr:clientData/>
  </xdr:oneCellAnchor>
  <xdr:oneCellAnchor>
    <xdr:from>
      <xdr:col>42</xdr:col>
      <xdr:colOff>31749</xdr:colOff>
      <xdr:row>172</xdr:row>
      <xdr:rowOff>359831</xdr:rowOff>
    </xdr:from>
    <xdr:ext cx="2495720" cy="493569"/>
    <mc:AlternateContent xmlns:mc="http://schemas.openxmlformats.org/markup-compatibility/2006" xmlns:a14="http://schemas.microsoft.com/office/drawing/2010/main">
      <mc:Choice Requires="a14">
        <xdr:sp macro="" textlink="">
          <xdr:nvSpPr>
            <xdr:cNvPr id="111" name="CuadroTexto 110">
              <a:extLst>
                <a:ext uri="{FF2B5EF4-FFF2-40B4-BE49-F238E27FC236}">
                  <a16:creationId xmlns:a16="http://schemas.microsoft.com/office/drawing/2014/main" id="{00000000-0008-0000-0400-00006F000000}"/>
                </a:ext>
              </a:extLst>
            </xdr:cNvPr>
            <xdr:cNvSpPr txBox="1"/>
          </xdr:nvSpPr>
          <xdr:spPr>
            <a:xfrm>
              <a:off x="31273749" y="74016656"/>
              <a:ext cx="2495720" cy="49356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ctr">
              <a:noAutofit/>
            </a:bodyPr>
            <a:lstStyle/>
            <a:p>
              <a:pPr algn="ctr"/>
              <a:r>
                <a:rPr lang="es-ES" sz="1400" i="1">
                  <a:latin typeface="+mn-lt"/>
                  <a:cs typeface="Arial" panose="020B0604020202020204" pitchFamily="34" charset="0"/>
                </a:rPr>
                <a:t>PMI</a:t>
              </a:r>
              <a:r>
                <a:rPr lang="es-ES" sz="1400" i="1" baseline="-25000">
                  <a:latin typeface="+mn-lt"/>
                  <a:cs typeface="Arial" panose="020B0604020202020204" pitchFamily="34" charset="0"/>
                </a:rPr>
                <a:t>ij</a:t>
              </a:r>
              <a14:m>
                <m:oMath xmlns:m="http://schemas.openxmlformats.org/officeDocument/2006/math">
                  <m:r>
                    <a:rPr lang="es-ES" sz="1400" i="1">
                      <a:latin typeface="Cambria Math" panose="02040503050406030204" pitchFamily="18" charset="0"/>
                    </a:rPr>
                    <m:t>=</m:t>
                  </m:r>
                  <m:f>
                    <m:fPr>
                      <m:ctrlPr>
                        <a:rPr lang="es-ES" sz="1400" i="1">
                          <a:latin typeface="Cambria Math" panose="02040503050406030204" pitchFamily="18" charset="0"/>
                        </a:rPr>
                      </m:ctrlPr>
                    </m:fPr>
                    <m:num>
                      <m:r>
                        <a:rPr lang="es-ES" sz="1400" b="0" i="1">
                          <a:latin typeface="Cambria Math" panose="02040503050406030204" pitchFamily="18" charset="0"/>
                        </a:rPr>
                        <m:t> </m:t>
                      </m:r>
                      <m:r>
                        <a:rPr lang="es-ES" sz="1400" b="0" i="1">
                          <a:latin typeface="Cambria Math" panose="02040503050406030204" pitchFamily="18" charset="0"/>
                        </a:rPr>
                        <m:t>𝑄𝑖𝑗</m:t>
                      </m:r>
                      <m:r>
                        <a:rPr lang="es-ES" sz="1400" b="0" i="1" baseline="-25000">
                          <a:latin typeface="Cambria Math" panose="02040503050406030204" pitchFamily="18" charset="0"/>
                        </a:rPr>
                        <m:t>  </m:t>
                      </m:r>
                    </m:num>
                    <m:den>
                      <m:r>
                        <a:rPr lang="es-ES" sz="1400" b="0" i="1">
                          <a:solidFill>
                            <a:schemeClr val="tx1"/>
                          </a:solidFill>
                          <a:effectLst/>
                          <a:latin typeface="Cambria Math" panose="02040503050406030204" pitchFamily="18" charset="0"/>
                          <a:ea typeface="+mn-ea"/>
                          <a:cs typeface="+mn-cs"/>
                        </a:rPr>
                        <m:t>𝐶𝐼</m:t>
                      </m:r>
                      <m:r>
                        <a:rPr lang="es-ES" sz="1400" b="0" i="1" baseline="-25000">
                          <a:solidFill>
                            <a:schemeClr val="tx1"/>
                          </a:solidFill>
                          <a:effectLst/>
                          <a:latin typeface="Cambria Math" panose="02040503050406030204" pitchFamily="18" charset="0"/>
                          <a:ea typeface="+mn-ea"/>
                          <a:cs typeface="+mn-cs"/>
                        </a:rPr>
                        <m:t>𝑖𝑗</m:t>
                      </m:r>
                      <m:r>
                        <a:rPr lang="es-ES" sz="1400" b="0" i="1">
                          <a:solidFill>
                            <a:schemeClr val="tx1"/>
                          </a:solidFill>
                          <a:effectLst/>
                          <a:latin typeface="Cambria Math" panose="02040503050406030204" pitchFamily="18" charset="0"/>
                          <a:ea typeface="+mn-ea"/>
                          <a:cs typeface="+mn-cs"/>
                        </a:rPr>
                        <m:t>+</m:t>
                      </m:r>
                      <m:r>
                        <a:rPr lang="es-ES" sz="1400" b="0" i="1">
                          <a:solidFill>
                            <a:schemeClr val="tx1"/>
                          </a:solidFill>
                          <a:effectLst/>
                          <a:latin typeface="Cambria Math" panose="02040503050406030204" pitchFamily="18" charset="0"/>
                          <a:ea typeface="+mn-ea"/>
                          <a:cs typeface="+mn-cs"/>
                        </a:rPr>
                        <m:t>𝐶𝐹𝑖𝑗</m:t>
                      </m:r>
                      <m:r>
                        <a:rPr lang="es-ES" sz="1400" b="0" i="1">
                          <a:solidFill>
                            <a:schemeClr val="tx1"/>
                          </a:solidFill>
                          <a:effectLst/>
                          <a:latin typeface="Cambria Math" panose="02040503050406030204" pitchFamily="18" charset="0"/>
                          <a:ea typeface="+mn-ea"/>
                          <a:cs typeface="+mn-cs"/>
                        </a:rPr>
                        <m:t> ±</m:t>
                      </m:r>
                      <m:r>
                        <a:rPr lang="es-ES" sz="1400" b="0" i="1">
                          <a:solidFill>
                            <a:schemeClr val="tx1"/>
                          </a:solidFill>
                          <a:effectLst/>
                          <a:latin typeface="Cambria Math" panose="02040503050406030204" pitchFamily="18" charset="0"/>
                          <a:ea typeface="+mn-ea"/>
                          <a:cs typeface="+mn-cs"/>
                        </a:rPr>
                        <m:t>𝑉𝐸𝑖𝑗</m:t>
                      </m:r>
                      <m:r>
                        <a:rPr lang="es-ES" sz="1400" b="0" i="1">
                          <a:solidFill>
                            <a:schemeClr val="tx1"/>
                          </a:solidFill>
                          <a:effectLst/>
                          <a:latin typeface="Cambria Math" panose="02040503050406030204" pitchFamily="18" charset="0"/>
                          <a:ea typeface="+mn-ea"/>
                          <a:cs typeface="+mn-cs"/>
                        </a:rPr>
                        <m:t>+</m:t>
                      </m:r>
                      <m:r>
                        <a:rPr lang="es-ES" sz="1400" b="0" i="1">
                          <a:solidFill>
                            <a:schemeClr val="tx1"/>
                          </a:solidFill>
                          <a:effectLst/>
                          <a:latin typeface="Cambria Math" panose="02040503050406030204" pitchFamily="18" charset="0"/>
                          <a:ea typeface="+mn-ea"/>
                          <a:cs typeface="+mn-cs"/>
                        </a:rPr>
                        <m:t>𝑃𝑖𝑗</m:t>
                      </m:r>
                      <m:r>
                        <a:rPr lang="es-ES" sz="1400" b="0" i="1">
                          <a:solidFill>
                            <a:schemeClr val="tx1"/>
                          </a:solidFill>
                          <a:effectLst/>
                          <a:latin typeface="Cambria Math" panose="02040503050406030204" pitchFamily="18" charset="0"/>
                          <a:ea typeface="+mn-ea"/>
                          <a:cs typeface="+mn-cs"/>
                        </a:rPr>
                        <m:t> </m:t>
                      </m:r>
                    </m:den>
                  </m:f>
                </m:oMath>
              </a14:m>
              <a:r>
                <a:rPr lang="es-ES" sz="1400" i="1">
                  <a:latin typeface="+mn-lt"/>
                  <a:cs typeface="Arial" panose="020B0604020202020204" pitchFamily="34" charset="0"/>
                </a:rPr>
                <a:t> x</a:t>
              </a:r>
              <a:r>
                <a:rPr lang="es-ES" sz="1400" i="1" baseline="0">
                  <a:latin typeface="+mn-lt"/>
                  <a:cs typeface="Arial" panose="020B0604020202020204" pitchFamily="34" charset="0"/>
                </a:rPr>
                <a:t> 100</a:t>
              </a:r>
              <a:endParaRPr lang="es-ES" sz="1400" i="1">
                <a:latin typeface="+mn-lt"/>
                <a:cs typeface="Arial" panose="020B0604020202020204" pitchFamily="34" charset="0"/>
              </a:endParaRPr>
            </a:p>
          </xdr:txBody>
        </xdr:sp>
      </mc:Choice>
      <mc:Fallback xmlns="">
        <xdr:sp macro="" textlink="">
          <xdr:nvSpPr>
            <xdr:cNvPr id="111" name="CuadroTexto 110">
              <a:extLst>
                <a:ext uri="{FF2B5EF4-FFF2-40B4-BE49-F238E27FC236}">
                  <a16:creationId xmlns:a16="http://schemas.microsoft.com/office/drawing/2014/main" xmlns="" xmlns:a14="http://schemas.microsoft.com/office/drawing/2010/main" id="{00000000-0008-0000-0100-00001F000000}"/>
                </a:ext>
              </a:extLst>
            </xdr:cNvPr>
            <xdr:cNvSpPr txBox="1"/>
          </xdr:nvSpPr>
          <xdr:spPr>
            <a:xfrm>
              <a:off x="31273749" y="74016656"/>
              <a:ext cx="2495720" cy="49356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ctr">
              <a:noAutofit/>
            </a:bodyPr>
            <a:lstStyle/>
            <a:p>
              <a:pPr algn="ctr"/>
              <a:r>
                <a:rPr lang="es-ES" sz="1400" i="1">
                  <a:latin typeface="+mn-lt"/>
                  <a:cs typeface="Arial" panose="020B0604020202020204" pitchFamily="34" charset="0"/>
                </a:rPr>
                <a:t>PMI</a:t>
              </a:r>
              <a:r>
                <a:rPr lang="es-ES" sz="1400" i="1" baseline="-25000">
                  <a:latin typeface="+mn-lt"/>
                  <a:cs typeface="Arial" panose="020B0604020202020204" pitchFamily="34" charset="0"/>
                </a:rPr>
                <a:t>ij</a:t>
              </a:r>
              <a:r>
                <a:rPr lang="es-ES" sz="1400" i="0">
                  <a:latin typeface="Cambria Math" panose="02040503050406030204" pitchFamily="18" charset="0"/>
                </a:rPr>
                <a:t>=(</a:t>
              </a:r>
              <a:r>
                <a:rPr lang="es-ES" sz="1400" b="0" i="0">
                  <a:latin typeface="Cambria Math" panose="02040503050406030204" pitchFamily="18" charset="0"/>
                </a:rPr>
                <a:t> 𝑄𝑖𝑗</a:t>
              </a:r>
              <a:r>
                <a:rPr lang="es-ES" sz="1400" b="0" i="0" baseline="-25000">
                  <a:latin typeface="Cambria Math" panose="02040503050406030204" pitchFamily="18" charset="0"/>
                </a:rPr>
                <a:t>  )/(</a:t>
              </a:r>
              <a:r>
                <a:rPr lang="es-ES" sz="1400" b="0" i="0">
                  <a:solidFill>
                    <a:schemeClr val="tx1"/>
                  </a:solidFill>
                  <a:effectLst/>
                  <a:latin typeface="Cambria Math" panose="02040503050406030204" pitchFamily="18" charset="0"/>
                  <a:ea typeface="+mn-ea"/>
                  <a:cs typeface="+mn-cs"/>
                </a:rPr>
                <a:t>𝐶𝐼</a:t>
              </a:r>
              <a:r>
                <a:rPr lang="es-ES" sz="1400" b="0" i="0" baseline="-25000">
                  <a:solidFill>
                    <a:schemeClr val="tx1"/>
                  </a:solidFill>
                  <a:effectLst/>
                  <a:latin typeface="Cambria Math" panose="02040503050406030204" pitchFamily="18" charset="0"/>
                  <a:ea typeface="+mn-ea"/>
                  <a:cs typeface="+mn-cs"/>
                </a:rPr>
                <a:t>𝑖𝑗</a:t>
              </a:r>
              <a:r>
                <a:rPr lang="es-ES" sz="1400" b="0" i="0">
                  <a:solidFill>
                    <a:schemeClr val="tx1"/>
                  </a:solidFill>
                  <a:effectLst/>
                  <a:latin typeface="Cambria Math" panose="02040503050406030204" pitchFamily="18" charset="0"/>
                  <a:ea typeface="+mn-ea"/>
                  <a:cs typeface="+mn-cs"/>
                </a:rPr>
                <a:t>+𝐶𝐹𝑖𝑗 ±𝑉𝐸𝑖𝑗+𝑃𝑖𝑗 )</a:t>
              </a:r>
              <a:r>
                <a:rPr lang="es-ES" sz="1400" i="1">
                  <a:latin typeface="+mn-lt"/>
                  <a:cs typeface="Arial" panose="020B0604020202020204" pitchFamily="34" charset="0"/>
                </a:rPr>
                <a:t> x</a:t>
              </a:r>
              <a:r>
                <a:rPr lang="es-ES" sz="1400" i="1" baseline="0">
                  <a:latin typeface="+mn-lt"/>
                  <a:cs typeface="Arial" panose="020B0604020202020204" pitchFamily="34" charset="0"/>
                </a:rPr>
                <a:t> 100</a:t>
              </a:r>
              <a:endParaRPr lang="es-ES" sz="1400" i="1">
                <a:latin typeface="+mn-lt"/>
                <a:cs typeface="Arial" panose="020B0604020202020204" pitchFamily="34" charset="0"/>
              </a:endParaRPr>
            </a:p>
          </xdr:txBody>
        </xdr:sp>
      </mc:Fallback>
    </mc:AlternateContent>
    <xdr:clientData/>
  </xdr:oneCellAnchor>
  <xdr:oneCellAnchor>
    <xdr:from>
      <xdr:col>42</xdr:col>
      <xdr:colOff>21166</xdr:colOff>
      <xdr:row>173</xdr:row>
      <xdr:rowOff>783162</xdr:rowOff>
    </xdr:from>
    <xdr:ext cx="2495720" cy="493569"/>
    <mc:AlternateContent xmlns:mc="http://schemas.openxmlformats.org/markup-compatibility/2006" xmlns:a14="http://schemas.microsoft.com/office/drawing/2010/main">
      <mc:Choice Requires="a14">
        <xdr:sp macro="" textlink="">
          <xdr:nvSpPr>
            <xdr:cNvPr id="112" name="CuadroTexto 111">
              <a:extLst>
                <a:ext uri="{FF2B5EF4-FFF2-40B4-BE49-F238E27FC236}">
                  <a16:creationId xmlns:a16="http://schemas.microsoft.com/office/drawing/2014/main" id="{00000000-0008-0000-0400-000070000000}"/>
                </a:ext>
              </a:extLst>
            </xdr:cNvPr>
            <xdr:cNvSpPr txBox="1"/>
          </xdr:nvSpPr>
          <xdr:spPr>
            <a:xfrm>
              <a:off x="31263166" y="79011987"/>
              <a:ext cx="2495720" cy="49356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ctr">
              <a:noAutofit/>
            </a:bodyPr>
            <a:lstStyle/>
            <a:p>
              <a:pPr algn="ctr"/>
              <a:r>
                <a:rPr lang="es-ES" sz="1400" i="1">
                  <a:latin typeface="+mn-lt"/>
                  <a:cs typeface="Arial" panose="020B0604020202020204" pitchFamily="34" charset="0"/>
                </a:rPr>
                <a:t>PMI</a:t>
              </a:r>
              <a:r>
                <a:rPr lang="es-ES" sz="1400" i="1" baseline="-25000">
                  <a:latin typeface="+mn-lt"/>
                  <a:cs typeface="Arial" panose="020B0604020202020204" pitchFamily="34" charset="0"/>
                </a:rPr>
                <a:t>ij</a:t>
              </a:r>
              <a14:m>
                <m:oMath xmlns:m="http://schemas.openxmlformats.org/officeDocument/2006/math">
                  <m:r>
                    <a:rPr lang="es-ES" sz="1400" i="1">
                      <a:latin typeface="Cambria Math" panose="02040503050406030204" pitchFamily="18" charset="0"/>
                    </a:rPr>
                    <m:t>=</m:t>
                  </m:r>
                  <m:f>
                    <m:fPr>
                      <m:ctrlPr>
                        <a:rPr lang="es-ES" sz="1400" i="1">
                          <a:latin typeface="Cambria Math" panose="02040503050406030204" pitchFamily="18" charset="0"/>
                        </a:rPr>
                      </m:ctrlPr>
                    </m:fPr>
                    <m:num>
                      <m:r>
                        <a:rPr lang="es-ES" sz="1400" b="0" i="1">
                          <a:latin typeface="Cambria Math" panose="02040503050406030204" pitchFamily="18" charset="0"/>
                        </a:rPr>
                        <m:t> </m:t>
                      </m:r>
                      <m:r>
                        <a:rPr lang="es-ES" sz="1400" b="0" i="1">
                          <a:latin typeface="Cambria Math" panose="02040503050406030204" pitchFamily="18" charset="0"/>
                        </a:rPr>
                        <m:t>𝑄𝑖𝑗</m:t>
                      </m:r>
                      <m:r>
                        <a:rPr lang="es-ES" sz="1400" b="0" i="1" baseline="-25000">
                          <a:latin typeface="Cambria Math" panose="02040503050406030204" pitchFamily="18" charset="0"/>
                        </a:rPr>
                        <m:t>  </m:t>
                      </m:r>
                    </m:num>
                    <m:den>
                      <m:r>
                        <a:rPr lang="es-ES" sz="1400" b="0" i="1">
                          <a:solidFill>
                            <a:schemeClr val="tx1"/>
                          </a:solidFill>
                          <a:effectLst/>
                          <a:latin typeface="Cambria Math" panose="02040503050406030204" pitchFamily="18" charset="0"/>
                          <a:ea typeface="+mn-ea"/>
                          <a:cs typeface="+mn-cs"/>
                        </a:rPr>
                        <m:t>𝐶𝐼</m:t>
                      </m:r>
                      <m:r>
                        <a:rPr lang="es-ES" sz="1400" b="0" i="1" baseline="-25000">
                          <a:solidFill>
                            <a:schemeClr val="tx1"/>
                          </a:solidFill>
                          <a:effectLst/>
                          <a:latin typeface="Cambria Math" panose="02040503050406030204" pitchFamily="18" charset="0"/>
                          <a:ea typeface="+mn-ea"/>
                          <a:cs typeface="+mn-cs"/>
                        </a:rPr>
                        <m:t>𝑖𝑗</m:t>
                      </m:r>
                      <m:r>
                        <a:rPr lang="es-ES" sz="1400" b="0" i="1">
                          <a:solidFill>
                            <a:schemeClr val="tx1"/>
                          </a:solidFill>
                          <a:effectLst/>
                          <a:latin typeface="Cambria Math" panose="02040503050406030204" pitchFamily="18" charset="0"/>
                          <a:ea typeface="+mn-ea"/>
                          <a:cs typeface="+mn-cs"/>
                        </a:rPr>
                        <m:t>+</m:t>
                      </m:r>
                      <m:r>
                        <a:rPr lang="es-ES" sz="1400" b="0" i="1">
                          <a:solidFill>
                            <a:schemeClr val="tx1"/>
                          </a:solidFill>
                          <a:effectLst/>
                          <a:latin typeface="Cambria Math" panose="02040503050406030204" pitchFamily="18" charset="0"/>
                          <a:ea typeface="+mn-ea"/>
                          <a:cs typeface="+mn-cs"/>
                        </a:rPr>
                        <m:t>𝐶𝐹𝑖𝑗</m:t>
                      </m:r>
                      <m:r>
                        <a:rPr lang="es-ES" sz="1400" b="0" i="1">
                          <a:solidFill>
                            <a:schemeClr val="tx1"/>
                          </a:solidFill>
                          <a:effectLst/>
                          <a:latin typeface="Cambria Math" panose="02040503050406030204" pitchFamily="18" charset="0"/>
                          <a:ea typeface="+mn-ea"/>
                          <a:cs typeface="+mn-cs"/>
                        </a:rPr>
                        <m:t> ±</m:t>
                      </m:r>
                      <m:r>
                        <a:rPr lang="es-ES" sz="1400" b="0" i="1">
                          <a:solidFill>
                            <a:schemeClr val="tx1"/>
                          </a:solidFill>
                          <a:effectLst/>
                          <a:latin typeface="Cambria Math" panose="02040503050406030204" pitchFamily="18" charset="0"/>
                          <a:ea typeface="+mn-ea"/>
                          <a:cs typeface="+mn-cs"/>
                        </a:rPr>
                        <m:t>𝑉𝐸𝑖𝑗</m:t>
                      </m:r>
                      <m:r>
                        <a:rPr lang="es-ES" sz="1400" b="0" i="1">
                          <a:solidFill>
                            <a:schemeClr val="tx1"/>
                          </a:solidFill>
                          <a:effectLst/>
                          <a:latin typeface="Cambria Math" panose="02040503050406030204" pitchFamily="18" charset="0"/>
                          <a:ea typeface="+mn-ea"/>
                          <a:cs typeface="+mn-cs"/>
                        </a:rPr>
                        <m:t>+</m:t>
                      </m:r>
                      <m:r>
                        <a:rPr lang="es-ES" sz="1400" b="0" i="1">
                          <a:solidFill>
                            <a:schemeClr val="tx1"/>
                          </a:solidFill>
                          <a:effectLst/>
                          <a:latin typeface="Cambria Math" panose="02040503050406030204" pitchFamily="18" charset="0"/>
                          <a:ea typeface="+mn-ea"/>
                          <a:cs typeface="+mn-cs"/>
                        </a:rPr>
                        <m:t>𝑃𝑖𝑗</m:t>
                      </m:r>
                      <m:r>
                        <a:rPr lang="es-ES" sz="1400" b="0" i="1">
                          <a:solidFill>
                            <a:schemeClr val="tx1"/>
                          </a:solidFill>
                          <a:effectLst/>
                          <a:latin typeface="Cambria Math" panose="02040503050406030204" pitchFamily="18" charset="0"/>
                          <a:ea typeface="+mn-ea"/>
                          <a:cs typeface="+mn-cs"/>
                        </a:rPr>
                        <m:t> </m:t>
                      </m:r>
                    </m:den>
                  </m:f>
                </m:oMath>
              </a14:m>
              <a:r>
                <a:rPr lang="es-ES" sz="1400" i="1">
                  <a:latin typeface="+mn-lt"/>
                  <a:cs typeface="Arial" panose="020B0604020202020204" pitchFamily="34" charset="0"/>
                </a:rPr>
                <a:t> x</a:t>
              </a:r>
              <a:r>
                <a:rPr lang="es-ES" sz="1400" i="1" baseline="0">
                  <a:latin typeface="+mn-lt"/>
                  <a:cs typeface="Arial" panose="020B0604020202020204" pitchFamily="34" charset="0"/>
                </a:rPr>
                <a:t> 100</a:t>
              </a:r>
              <a:endParaRPr lang="es-ES" sz="1400" i="1">
                <a:latin typeface="+mn-lt"/>
                <a:cs typeface="Arial" panose="020B0604020202020204" pitchFamily="34" charset="0"/>
              </a:endParaRPr>
            </a:p>
          </xdr:txBody>
        </xdr:sp>
      </mc:Choice>
      <mc:Fallback xmlns="">
        <xdr:sp macro="" textlink="">
          <xdr:nvSpPr>
            <xdr:cNvPr id="112" name="CuadroTexto 111">
              <a:extLst>
                <a:ext uri="{FF2B5EF4-FFF2-40B4-BE49-F238E27FC236}">
                  <a16:creationId xmlns:a16="http://schemas.microsoft.com/office/drawing/2014/main" xmlns="" xmlns:a14="http://schemas.microsoft.com/office/drawing/2010/main" id="{00000000-0008-0000-0100-000020000000}"/>
                </a:ext>
              </a:extLst>
            </xdr:cNvPr>
            <xdr:cNvSpPr txBox="1"/>
          </xdr:nvSpPr>
          <xdr:spPr>
            <a:xfrm>
              <a:off x="31263166" y="79011987"/>
              <a:ext cx="2495720" cy="49356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ctr">
              <a:noAutofit/>
            </a:bodyPr>
            <a:lstStyle/>
            <a:p>
              <a:pPr algn="ctr"/>
              <a:r>
                <a:rPr lang="es-ES" sz="1400" i="1">
                  <a:latin typeface="+mn-lt"/>
                  <a:cs typeface="Arial" panose="020B0604020202020204" pitchFamily="34" charset="0"/>
                </a:rPr>
                <a:t>PMI</a:t>
              </a:r>
              <a:r>
                <a:rPr lang="es-ES" sz="1400" i="1" baseline="-25000">
                  <a:latin typeface="+mn-lt"/>
                  <a:cs typeface="Arial" panose="020B0604020202020204" pitchFamily="34" charset="0"/>
                </a:rPr>
                <a:t>ij</a:t>
              </a:r>
              <a:r>
                <a:rPr lang="es-ES" sz="1400" i="0">
                  <a:latin typeface="Cambria Math" panose="02040503050406030204" pitchFamily="18" charset="0"/>
                </a:rPr>
                <a:t>=(</a:t>
              </a:r>
              <a:r>
                <a:rPr lang="es-ES" sz="1400" b="0" i="0">
                  <a:latin typeface="Cambria Math" panose="02040503050406030204" pitchFamily="18" charset="0"/>
                </a:rPr>
                <a:t> 𝑄𝑖𝑗</a:t>
              </a:r>
              <a:r>
                <a:rPr lang="es-ES" sz="1400" b="0" i="0" baseline="-25000">
                  <a:latin typeface="Cambria Math" panose="02040503050406030204" pitchFamily="18" charset="0"/>
                </a:rPr>
                <a:t>  )/(</a:t>
              </a:r>
              <a:r>
                <a:rPr lang="es-ES" sz="1400" b="0" i="0">
                  <a:solidFill>
                    <a:schemeClr val="tx1"/>
                  </a:solidFill>
                  <a:effectLst/>
                  <a:latin typeface="Cambria Math" panose="02040503050406030204" pitchFamily="18" charset="0"/>
                  <a:ea typeface="+mn-ea"/>
                  <a:cs typeface="+mn-cs"/>
                </a:rPr>
                <a:t>𝐶𝐼</a:t>
              </a:r>
              <a:r>
                <a:rPr lang="es-ES" sz="1400" b="0" i="0" baseline="-25000">
                  <a:solidFill>
                    <a:schemeClr val="tx1"/>
                  </a:solidFill>
                  <a:effectLst/>
                  <a:latin typeface="Cambria Math" panose="02040503050406030204" pitchFamily="18" charset="0"/>
                  <a:ea typeface="+mn-ea"/>
                  <a:cs typeface="+mn-cs"/>
                </a:rPr>
                <a:t>𝑖𝑗</a:t>
              </a:r>
              <a:r>
                <a:rPr lang="es-ES" sz="1400" b="0" i="0">
                  <a:solidFill>
                    <a:schemeClr val="tx1"/>
                  </a:solidFill>
                  <a:effectLst/>
                  <a:latin typeface="Cambria Math" panose="02040503050406030204" pitchFamily="18" charset="0"/>
                  <a:ea typeface="+mn-ea"/>
                  <a:cs typeface="+mn-cs"/>
                </a:rPr>
                <a:t>+𝐶𝐹𝑖𝑗 ±𝑉𝐸𝑖𝑗+𝑃𝑖𝑗 )</a:t>
              </a:r>
              <a:r>
                <a:rPr lang="es-ES" sz="1400" i="1">
                  <a:latin typeface="+mn-lt"/>
                  <a:cs typeface="Arial" panose="020B0604020202020204" pitchFamily="34" charset="0"/>
                </a:rPr>
                <a:t> x</a:t>
              </a:r>
              <a:r>
                <a:rPr lang="es-ES" sz="1400" i="1" baseline="0">
                  <a:latin typeface="+mn-lt"/>
                  <a:cs typeface="Arial" panose="020B0604020202020204" pitchFamily="34" charset="0"/>
                </a:rPr>
                <a:t> 100</a:t>
              </a:r>
              <a:endParaRPr lang="es-ES" sz="1400" i="1">
                <a:latin typeface="+mn-lt"/>
                <a:cs typeface="Arial" panose="020B0604020202020204" pitchFamily="34" charset="0"/>
              </a:endParaRPr>
            </a:p>
          </xdr:txBody>
        </xdr:sp>
      </mc:Fallback>
    </mc:AlternateContent>
    <xdr:clientData/>
  </xdr:oneCellAnchor>
  <xdr:oneCellAnchor>
    <xdr:from>
      <xdr:col>42</xdr:col>
      <xdr:colOff>10583</xdr:colOff>
      <xdr:row>174</xdr:row>
      <xdr:rowOff>836077</xdr:rowOff>
    </xdr:from>
    <xdr:ext cx="2495720" cy="493569"/>
    <mc:AlternateContent xmlns:mc="http://schemas.openxmlformats.org/markup-compatibility/2006" xmlns:a14="http://schemas.microsoft.com/office/drawing/2010/main">
      <mc:Choice Requires="a14">
        <xdr:sp macro="" textlink="">
          <xdr:nvSpPr>
            <xdr:cNvPr id="113" name="CuadroTexto 112">
              <a:extLst>
                <a:ext uri="{FF2B5EF4-FFF2-40B4-BE49-F238E27FC236}">
                  <a16:creationId xmlns:a16="http://schemas.microsoft.com/office/drawing/2014/main" id="{00000000-0008-0000-0400-000071000000}"/>
                </a:ext>
              </a:extLst>
            </xdr:cNvPr>
            <xdr:cNvSpPr txBox="1"/>
          </xdr:nvSpPr>
          <xdr:spPr>
            <a:xfrm>
              <a:off x="31252583" y="83636902"/>
              <a:ext cx="2495720" cy="49356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ctr">
              <a:noAutofit/>
            </a:bodyPr>
            <a:lstStyle/>
            <a:p>
              <a:pPr algn="ctr"/>
              <a:r>
                <a:rPr lang="es-ES" sz="1400" i="1">
                  <a:latin typeface="+mn-lt"/>
                  <a:cs typeface="Arial" panose="020B0604020202020204" pitchFamily="34" charset="0"/>
                </a:rPr>
                <a:t>PMI</a:t>
              </a:r>
              <a:r>
                <a:rPr lang="es-ES" sz="1400" i="1" baseline="-25000">
                  <a:latin typeface="+mn-lt"/>
                  <a:cs typeface="Arial" panose="020B0604020202020204" pitchFamily="34" charset="0"/>
                </a:rPr>
                <a:t>ij</a:t>
              </a:r>
              <a14:m>
                <m:oMath xmlns:m="http://schemas.openxmlformats.org/officeDocument/2006/math">
                  <m:r>
                    <a:rPr lang="es-ES" sz="1400" i="1">
                      <a:latin typeface="Cambria Math" panose="02040503050406030204" pitchFamily="18" charset="0"/>
                    </a:rPr>
                    <m:t>=</m:t>
                  </m:r>
                  <m:f>
                    <m:fPr>
                      <m:ctrlPr>
                        <a:rPr lang="es-ES" sz="1400" i="1">
                          <a:latin typeface="Cambria Math" panose="02040503050406030204" pitchFamily="18" charset="0"/>
                        </a:rPr>
                      </m:ctrlPr>
                    </m:fPr>
                    <m:num>
                      <m:r>
                        <a:rPr lang="es-ES" sz="1400" b="0" i="1">
                          <a:latin typeface="Cambria Math" panose="02040503050406030204" pitchFamily="18" charset="0"/>
                        </a:rPr>
                        <m:t> </m:t>
                      </m:r>
                      <m:r>
                        <a:rPr lang="es-ES" sz="1400" b="0" i="1">
                          <a:latin typeface="Cambria Math" panose="02040503050406030204" pitchFamily="18" charset="0"/>
                        </a:rPr>
                        <m:t>𝑄𝑖𝑗</m:t>
                      </m:r>
                      <m:r>
                        <a:rPr lang="es-ES" sz="1400" b="0" i="1" baseline="-25000">
                          <a:latin typeface="Cambria Math" panose="02040503050406030204" pitchFamily="18" charset="0"/>
                        </a:rPr>
                        <m:t>  </m:t>
                      </m:r>
                    </m:num>
                    <m:den>
                      <m:r>
                        <a:rPr lang="es-ES" sz="1400" b="0" i="1">
                          <a:solidFill>
                            <a:schemeClr val="tx1"/>
                          </a:solidFill>
                          <a:effectLst/>
                          <a:latin typeface="Cambria Math" panose="02040503050406030204" pitchFamily="18" charset="0"/>
                          <a:ea typeface="+mn-ea"/>
                          <a:cs typeface="+mn-cs"/>
                        </a:rPr>
                        <m:t>𝐶𝐼</m:t>
                      </m:r>
                      <m:r>
                        <a:rPr lang="es-ES" sz="1400" b="0" i="1" baseline="-25000">
                          <a:solidFill>
                            <a:schemeClr val="tx1"/>
                          </a:solidFill>
                          <a:effectLst/>
                          <a:latin typeface="Cambria Math" panose="02040503050406030204" pitchFamily="18" charset="0"/>
                          <a:ea typeface="+mn-ea"/>
                          <a:cs typeface="+mn-cs"/>
                        </a:rPr>
                        <m:t>𝑖𝑗</m:t>
                      </m:r>
                      <m:r>
                        <a:rPr lang="es-ES" sz="1400" b="0" i="1">
                          <a:solidFill>
                            <a:schemeClr val="tx1"/>
                          </a:solidFill>
                          <a:effectLst/>
                          <a:latin typeface="Cambria Math" panose="02040503050406030204" pitchFamily="18" charset="0"/>
                          <a:ea typeface="+mn-ea"/>
                          <a:cs typeface="+mn-cs"/>
                        </a:rPr>
                        <m:t>+</m:t>
                      </m:r>
                      <m:r>
                        <a:rPr lang="es-ES" sz="1400" b="0" i="1">
                          <a:solidFill>
                            <a:schemeClr val="tx1"/>
                          </a:solidFill>
                          <a:effectLst/>
                          <a:latin typeface="Cambria Math" panose="02040503050406030204" pitchFamily="18" charset="0"/>
                          <a:ea typeface="+mn-ea"/>
                          <a:cs typeface="+mn-cs"/>
                        </a:rPr>
                        <m:t>𝐶𝐹𝑖𝑗</m:t>
                      </m:r>
                      <m:r>
                        <a:rPr lang="es-ES" sz="1400" b="0" i="1">
                          <a:solidFill>
                            <a:schemeClr val="tx1"/>
                          </a:solidFill>
                          <a:effectLst/>
                          <a:latin typeface="Cambria Math" panose="02040503050406030204" pitchFamily="18" charset="0"/>
                          <a:ea typeface="+mn-ea"/>
                          <a:cs typeface="+mn-cs"/>
                        </a:rPr>
                        <m:t> ±</m:t>
                      </m:r>
                      <m:r>
                        <a:rPr lang="es-ES" sz="1400" b="0" i="1">
                          <a:solidFill>
                            <a:schemeClr val="tx1"/>
                          </a:solidFill>
                          <a:effectLst/>
                          <a:latin typeface="Cambria Math" panose="02040503050406030204" pitchFamily="18" charset="0"/>
                          <a:ea typeface="+mn-ea"/>
                          <a:cs typeface="+mn-cs"/>
                        </a:rPr>
                        <m:t>𝑉𝐸𝑖𝑗</m:t>
                      </m:r>
                      <m:r>
                        <a:rPr lang="es-ES" sz="1400" b="0" i="1">
                          <a:solidFill>
                            <a:schemeClr val="tx1"/>
                          </a:solidFill>
                          <a:effectLst/>
                          <a:latin typeface="Cambria Math" panose="02040503050406030204" pitchFamily="18" charset="0"/>
                          <a:ea typeface="+mn-ea"/>
                          <a:cs typeface="+mn-cs"/>
                        </a:rPr>
                        <m:t>+</m:t>
                      </m:r>
                      <m:r>
                        <a:rPr lang="es-ES" sz="1400" b="0" i="1">
                          <a:solidFill>
                            <a:schemeClr val="tx1"/>
                          </a:solidFill>
                          <a:effectLst/>
                          <a:latin typeface="Cambria Math" panose="02040503050406030204" pitchFamily="18" charset="0"/>
                          <a:ea typeface="+mn-ea"/>
                          <a:cs typeface="+mn-cs"/>
                        </a:rPr>
                        <m:t>𝑃𝑖𝑗</m:t>
                      </m:r>
                      <m:r>
                        <a:rPr lang="es-ES" sz="1400" b="0" i="1">
                          <a:solidFill>
                            <a:schemeClr val="tx1"/>
                          </a:solidFill>
                          <a:effectLst/>
                          <a:latin typeface="Cambria Math" panose="02040503050406030204" pitchFamily="18" charset="0"/>
                          <a:ea typeface="+mn-ea"/>
                          <a:cs typeface="+mn-cs"/>
                        </a:rPr>
                        <m:t> </m:t>
                      </m:r>
                    </m:den>
                  </m:f>
                </m:oMath>
              </a14:m>
              <a:r>
                <a:rPr lang="es-ES" sz="1400" i="1">
                  <a:latin typeface="+mn-lt"/>
                  <a:cs typeface="Arial" panose="020B0604020202020204" pitchFamily="34" charset="0"/>
                </a:rPr>
                <a:t> x</a:t>
              </a:r>
              <a:r>
                <a:rPr lang="es-ES" sz="1400" i="1" baseline="0">
                  <a:latin typeface="+mn-lt"/>
                  <a:cs typeface="Arial" panose="020B0604020202020204" pitchFamily="34" charset="0"/>
                </a:rPr>
                <a:t> 100</a:t>
              </a:r>
              <a:endParaRPr lang="es-ES" sz="1400" i="1">
                <a:latin typeface="+mn-lt"/>
                <a:cs typeface="Arial" panose="020B0604020202020204" pitchFamily="34" charset="0"/>
              </a:endParaRPr>
            </a:p>
          </xdr:txBody>
        </xdr:sp>
      </mc:Choice>
      <mc:Fallback xmlns="">
        <xdr:sp macro="" textlink="">
          <xdr:nvSpPr>
            <xdr:cNvPr id="113" name="CuadroTexto 112">
              <a:extLst>
                <a:ext uri="{FF2B5EF4-FFF2-40B4-BE49-F238E27FC236}">
                  <a16:creationId xmlns:a16="http://schemas.microsoft.com/office/drawing/2014/main" xmlns="" xmlns:a14="http://schemas.microsoft.com/office/drawing/2010/main" id="{00000000-0008-0000-0100-000021000000}"/>
                </a:ext>
              </a:extLst>
            </xdr:cNvPr>
            <xdr:cNvSpPr txBox="1"/>
          </xdr:nvSpPr>
          <xdr:spPr>
            <a:xfrm>
              <a:off x="31252583" y="83636902"/>
              <a:ext cx="2495720" cy="49356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ctr">
              <a:noAutofit/>
            </a:bodyPr>
            <a:lstStyle/>
            <a:p>
              <a:pPr algn="ctr"/>
              <a:r>
                <a:rPr lang="es-ES" sz="1400" i="1">
                  <a:latin typeface="+mn-lt"/>
                  <a:cs typeface="Arial" panose="020B0604020202020204" pitchFamily="34" charset="0"/>
                </a:rPr>
                <a:t>PMI</a:t>
              </a:r>
              <a:r>
                <a:rPr lang="es-ES" sz="1400" i="1" baseline="-25000">
                  <a:latin typeface="+mn-lt"/>
                  <a:cs typeface="Arial" panose="020B0604020202020204" pitchFamily="34" charset="0"/>
                </a:rPr>
                <a:t>ij</a:t>
              </a:r>
              <a:r>
                <a:rPr lang="es-ES" sz="1400" i="0">
                  <a:latin typeface="Cambria Math" panose="02040503050406030204" pitchFamily="18" charset="0"/>
                </a:rPr>
                <a:t>=(</a:t>
              </a:r>
              <a:r>
                <a:rPr lang="es-ES" sz="1400" b="0" i="0">
                  <a:latin typeface="Cambria Math" panose="02040503050406030204" pitchFamily="18" charset="0"/>
                </a:rPr>
                <a:t> 𝑄𝑖𝑗</a:t>
              </a:r>
              <a:r>
                <a:rPr lang="es-ES" sz="1400" b="0" i="0" baseline="-25000">
                  <a:latin typeface="Cambria Math" panose="02040503050406030204" pitchFamily="18" charset="0"/>
                </a:rPr>
                <a:t>  )/(</a:t>
              </a:r>
              <a:r>
                <a:rPr lang="es-ES" sz="1400" b="0" i="0">
                  <a:solidFill>
                    <a:schemeClr val="tx1"/>
                  </a:solidFill>
                  <a:effectLst/>
                  <a:latin typeface="Cambria Math" panose="02040503050406030204" pitchFamily="18" charset="0"/>
                  <a:ea typeface="+mn-ea"/>
                  <a:cs typeface="+mn-cs"/>
                </a:rPr>
                <a:t>𝐶𝐼</a:t>
              </a:r>
              <a:r>
                <a:rPr lang="es-ES" sz="1400" b="0" i="0" baseline="-25000">
                  <a:solidFill>
                    <a:schemeClr val="tx1"/>
                  </a:solidFill>
                  <a:effectLst/>
                  <a:latin typeface="Cambria Math" panose="02040503050406030204" pitchFamily="18" charset="0"/>
                  <a:ea typeface="+mn-ea"/>
                  <a:cs typeface="+mn-cs"/>
                </a:rPr>
                <a:t>𝑖𝑗</a:t>
              </a:r>
              <a:r>
                <a:rPr lang="es-ES" sz="1400" b="0" i="0">
                  <a:solidFill>
                    <a:schemeClr val="tx1"/>
                  </a:solidFill>
                  <a:effectLst/>
                  <a:latin typeface="Cambria Math" panose="02040503050406030204" pitchFamily="18" charset="0"/>
                  <a:ea typeface="+mn-ea"/>
                  <a:cs typeface="+mn-cs"/>
                </a:rPr>
                <a:t>+𝐶𝐹𝑖𝑗 ±𝑉𝐸𝑖𝑗+𝑃𝑖𝑗 )</a:t>
              </a:r>
              <a:r>
                <a:rPr lang="es-ES" sz="1400" i="1">
                  <a:latin typeface="+mn-lt"/>
                  <a:cs typeface="Arial" panose="020B0604020202020204" pitchFamily="34" charset="0"/>
                </a:rPr>
                <a:t> x</a:t>
              </a:r>
              <a:r>
                <a:rPr lang="es-ES" sz="1400" i="1" baseline="0">
                  <a:latin typeface="+mn-lt"/>
                  <a:cs typeface="Arial" panose="020B0604020202020204" pitchFamily="34" charset="0"/>
                </a:rPr>
                <a:t> 100</a:t>
              </a:r>
              <a:endParaRPr lang="es-ES" sz="1400" i="1">
                <a:latin typeface="+mn-lt"/>
                <a:cs typeface="Arial" panose="020B0604020202020204" pitchFamily="34" charset="0"/>
              </a:endParaRPr>
            </a:p>
          </xdr:txBody>
        </xdr:sp>
      </mc:Fallback>
    </mc:AlternateContent>
    <xdr:clientData/>
  </xdr:oneCellAnchor>
  <xdr:oneCellAnchor>
    <xdr:from>
      <xdr:col>42</xdr:col>
      <xdr:colOff>31749</xdr:colOff>
      <xdr:row>175</xdr:row>
      <xdr:rowOff>836078</xdr:rowOff>
    </xdr:from>
    <xdr:ext cx="2495720" cy="493569"/>
    <mc:AlternateContent xmlns:mc="http://schemas.openxmlformats.org/markup-compatibility/2006" xmlns:a14="http://schemas.microsoft.com/office/drawing/2010/main">
      <mc:Choice Requires="a14">
        <xdr:sp macro="" textlink="">
          <xdr:nvSpPr>
            <xdr:cNvPr id="114" name="CuadroTexto 113">
              <a:extLst>
                <a:ext uri="{FF2B5EF4-FFF2-40B4-BE49-F238E27FC236}">
                  <a16:creationId xmlns:a16="http://schemas.microsoft.com/office/drawing/2014/main" id="{00000000-0008-0000-0400-000072000000}"/>
                </a:ext>
              </a:extLst>
            </xdr:cNvPr>
            <xdr:cNvSpPr txBox="1"/>
          </xdr:nvSpPr>
          <xdr:spPr>
            <a:xfrm>
              <a:off x="31273749" y="88208903"/>
              <a:ext cx="2495720" cy="49356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ctr">
              <a:noAutofit/>
            </a:bodyPr>
            <a:lstStyle/>
            <a:p>
              <a:pPr algn="ctr"/>
              <a:r>
                <a:rPr lang="es-ES" sz="1400" i="1">
                  <a:latin typeface="+mn-lt"/>
                  <a:cs typeface="Arial" panose="020B0604020202020204" pitchFamily="34" charset="0"/>
                </a:rPr>
                <a:t>PMI</a:t>
              </a:r>
              <a:r>
                <a:rPr lang="es-ES" sz="1400" i="1" baseline="-25000">
                  <a:latin typeface="+mn-lt"/>
                  <a:cs typeface="Arial" panose="020B0604020202020204" pitchFamily="34" charset="0"/>
                </a:rPr>
                <a:t>ij</a:t>
              </a:r>
              <a14:m>
                <m:oMath xmlns:m="http://schemas.openxmlformats.org/officeDocument/2006/math">
                  <m:r>
                    <a:rPr lang="es-ES" sz="1400" i="1">
                      <a:latin typeface="Cambria Math" panose="02040503050406030204" pitchFamily="18" charset="0"/>
                    </a:rPr>
                    <m:t>=</m:t>
                  </m:r>
                  <m:f>
                    <m:fPr>
                      <m:ctrlPr>
                        <a:rPr lang="es-ES" sz="1400" i="1">
                          <a:latin typeface="Cambria Math" panose="02040503050406030204" pitchFamily="18" charset="0"/>
                        </a:rPr>
                      </m:ctrlPr>
                    </m:fPr>
                    <m:num>
                      <m:r>
                        <a:rPr lang="es-ES" sz="1400" b="0" i="1">
                          <a:latin typeface="Cambria Math" panose="02040503050406030204" pitchFamily="18" charset="0"/>
                        </a:rPr>
                        <m:t> </m:t>
                      </m:r>
                      <m:r>
                        <a:rPr lang="es-ES" sz="1400" b="0" i="1">
                          <a:latin typeface="Cambria Math" panose="02040503050406030204" pitchFamily="18" charset="0"/>
                        </a:rPr>
                        <m:t>𝑄𝑖𝑗</m:t>
                      </m:r>
                      <m:r>
                        <a:rPr lang="es-ES" sz="1400" b="0" i="1" baseline="-25000">
                          <a:latin typeface="Cambria Math" panose="02040503050406030204" pitchFamily="18" charset="0"/>
                        </a:rPr>
                        <m:t>  </m:t>
                      </m:r>
                    </m:num>
                    <m:den>
                      <m:r>
                        <a:rPr lang="es-ES" sz="1400" b="0" i="1">
                          <a:solidFill>
                            <a:schemeClr val="tx1"/>
                          </a:solidFill>
                          <a:effectLst/>
                          <a:latin typeface="Cambria Math" panose="02040503050406030204" pitchFamily="18" charset="0"/>
                          <a:ea typeface="+mn-ea"/>
                          <a:cs typeface="+mn-cs"/>
                        </a:rPr>
                        <m:t>𝐶𝐼</m:t>
                      </m:r>
                      <m:r>
                        <a:rPr lang="es-ES" sz="1400" b="0" i="1" baseline="-25000">
                          <a:solidFill>
                            <a:schemeClr val="tx1"/>
                          </a:solidFill>
                          <a:effectLst/>
                          <a:latin typeface="Cambria Math" panose="02040503050406030204" pitchFamily="18" charset="0"/>
                          <a:ea typeface="+mn-ea"/>
                          <a:cs typeface="+mn-cs"/>
                        </a:rPr>
                        <m:t>𝑖𝑗</m:t>
                      </m:r>
                      <m:r>
                        <a:rPr lang="es-ES" sz="1400" b="0" i="1">
                          <a:solidFill>
                            <a:schemeClr val="tx1"/>
                          </a:solidFill>
                          <a:effectLst/>
                          <a:latin typeface="Cambria Math" panose="02040503050406030204" pitchFamily="18" charset="0"/>
                          <a:ea typeface="+mn-ea"/>
                          <a:cs typeface="+mn-cs"/>
                        </a:rPr>
                        <m:t>+</m:t>
                      </m:r>
                      <m:r>
                        <a:rPr lang="es-ES" sz="1400" b="0" i="1">
                          <a:solidFill>
                            <a:schemeClr val="tx1"/>
                          </a:solidFill>
                          <a:effectLst/>
                          <a:latin typeface="Cambria Math" panose="02040503050406030204" pitchFamily="18" charset="0"/>
                          <a:ea typeface="+mn-ea"/>
                          <a:cs typeface="+mn-cs"/>
                        </a:rPr>
                        <m:t>𝐶𝐹𝑖𝑗</m:t>
                      </m:r>
                      <m:r>
                        <a:rPr lang="es-ES" sz="1400" b="0" i="1">
                          <a:solidFill>
                            <a:schemeClr val="tx1"/>
                          </a:solidFill>
                          <a:effectLst/>
                          <a:latin typeface="Cambria Math" panose="02040503050406030204" pitchFamily="18" charset="0"/>
                          <a:ea typeface="+mn-ea"/>
                          <a:cs typeface="+mn-cs"/>
                        </a:rPr>
                        <m:t> ±</m:t>
                      </m:r>
                      <m:r>
                        <a:rPr lang="es-ES" sz="1400" b="0" i="1">
                          <a:solidFill>
                            <a:schemeClr val="tx1"/>
                          </a:solidFill>
                          <a:effectLst/>
                          <a:latin typeface="Cambria Math" panose="02040503050406030204" pitchFamily="18" charset="0"/>
                          <a:ea typeface="+mn-ea"/>
                          <a:cs typeface="+mn-cs"/>
                        </a:rPr>
                        <m:t>𝑉𝐸𝑖𝑗</m:t>
                      </m:r>
                      <m:r>
                        <a:rPr lang="es-ES" sz="1400" b="0" i="1">
                          <a:solidFill>
                            <a:schemeClr val="tx1"/>
                          </a:solidFill>
                          <a:effectLst/>
                          <a:latin typeface="Cambria Math" panose="02040503050406030204" pitchFamily="18" charset="0"/>
                          <a:ea typeface="+mn-ea"/>
                          <a:cs typeface="+mn-cs"/>
                        </a:rPr>
                        <m:t>+</m:t>
                      </m:r>
                      <m:r>
                        <a:rPr lang="es-ES" sz="1400" b="0" i="1">
                          <a:solidFill>
                            <a:schemeClr val="tx1"/>
                          </a:solidFill>
                          <a:effectLst/>
                          <a:latin typeface="Cambria Math" panose="02040503050406030204" pitchFamily="18" charset="0"/>
                          <a:ea typeface="+mn-ea"/>
                          <a:cs typeface="+mn-cs"/>
                        </a:rPr>
                        <m:t>𝑃𝑖𝑗</m:t>
                      </m:r>
                      <m:r>
                        <a:rPr lang="es-ES" sz="1400" b="0" i="1">
                          <a:solidFill>
                            <a:schemeClr val="tx1"/>
                          </a:solidFill>
                          <a:effectLst/>
                          <a:latin typeface="Cambria Math" panose="02040503050406030204" pitchFamily="18" charset="0"/>
                          <a:ea typeface="+mn-ea"/>
                          <a:cs typeface="+mn-cs"/>
                        </a:rPr>
                        <m:t> </m:t>
                      </m:r>
                    </m:den>
                  </m:f>
                </m:oMath>
              </a14:m>
              <a:r>
                <a:rPr lang="es-ES" sz="1400" i="1">
                  <a:latin typeface="+mn-lt"/>
                  <a:cs typeface="Arial" panose="020B0604020202020204" pitchFamily="34" charset="0"/>
                </a:rPr>
                <a:t> x</a:t>
              </a:r>
              <a:r>
                <a:rPr lang="es-ES" sz="1400" i="1" baseline="0">
                  <a:latin typeface="+mn-lt"/>
                  <a:cs typeface="Arial" panose="020B0604020202020204" pitchFamily="34" charset="0"/>
                </a:rPr>
                <a:t> 100</a:t>
              </a:r>
              <a:endParaRPr lang="es-ES" sz="1400" i="1">
                <a:latin typeface="+mn-lt"/>
                <a:cs typeface="Arial" panose="020B0604020202020204" pitchFamily="34" charset="0"/>
              </a:endParaRPr>
            </a:p>
          </xdr:txBody>
        </xdr:sp>
      </mc:Choice>
      <mc:Fallback xmlns="">
        <xdr:sp macro="" textlink="">
          <xdr:nvSpPr>
            <xdr:cNvPr id="114" name="CuadroTexto 113">
              <a:extLst>
                <a:ext uri="{FF2B5EF4-FFF2-40B4-BE49-F238E27FC236}">
                  <a16:creationId xmlns:a16="http://schemas.microsoft.com/office/drawing/2014/main" xmlns="" xmlns:a14="http://schemas.microsoft.com/office/drawing/2010/main" id="{00000000-0008-0000-0100-000022000000}"/>
                </a:ext>
              </a:extLst>
            </xdr:cNvPr>
            <xdr:cNvSpPr txBox="1"/>
          </xdr:nvSpPr>
          <xdr:spPr>
            <a:xfrm>
              <a:off x="31273749" y="88208903"/>
              <a:ext cx="2495720" cy="49356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ctr">
              <a:noAutofit/>
            </a:bodyPr>
            <a:lstStyle/>
            <a:p>
              <a:pPr algn="ctr"/>
              <a:r>
                <a:rPr lang="es-ES" sz="1400" i="1">
                  <a:latin typeface="+mn-lt"/>
                  <a:cs typeface="Arial" panose="020B0604020202020204" pitchFamily="34" charset="0"/>
                </a:rPr>
                <a:t>PMI</a:t>
              </a:r>
              <a:r>
                <a:rPr lang="es-ES" sz="1400" i="1" baseline="-25000">
                  <a:latin typeface="+mn-lt"/>
                  <a:cs typeface="Arial" panose="020B0604020202020204" pitchFamily="34" charset="0"/>
                </a:rPr>
                <a:t>ij</a:t>
              </a:r>
              <a:r>
                <a:rPr lang="es-ES" sz="1400" i="0">
                  <a:latin typeface="Cambria Math" panose="02040503050406030204" pitchFamily="18" charset="0"/>
                </a:rPr>
                <a:t>=(</a:t>
              </a:r>
              <a:r>
                <a:rPr lang="es-ES" sz="1400" b="0" i="0">
                  <a:latin typeface="Cambria Math" panose="02040503050406030204" pitchFamily="18" charset="0"/>
                </a:rPr>
                <a:t> 𝑄𝑖𝑗</a:t>
              </a:r>
              <a:r>
                <a:rPr lang="es-ES" sz="1400" b="0" i="0" baseline="-25000">
                  <a:latin typeface="Cambria Math" panose="02040503050406030204" pitchFamily="18" charset="0"/>
                </a:rPr>
                <a:t>  )/(</a:t>
              </a:r>
              <a:r>
                <a:rPr lang="es-ES" sz="1400" b="0" i="0">
                  <a:solidFill>
                    <a:schemeClr val="tx1"/>
                  </a:solidFill>
                  <a:effectLst/>
                  <a:latin typeface="Cambria Math" panose="02040503050406030204" pitchFamily="18" charset="0"/>
                  <a:ea typeface="+mn-ea"/>
                  <a:cs typeface="+mn-cs"/>
                </a:rPr>
                <a:t>𝐶𝐼</a:t>
              </a:r>
              <a:r>
                <a:rPr lang="es-ES" sz="1400" b="0" i="0" baseline="-25000">
                  <a:solidFill>
                    <a:schemeClr val="tx1"/>
                  </a:solidFill>
                  <a:effectLst/>
                  <a:latin typeface="Cambria Math" panose="02040503050406030204" pitchFamily="18" charset="0"/>
                  <a:ea typeface="+mn-ea"/>
                  <a:cs typeface="+mn-cs"/>
                </a:rPr>
                <a:t>𝑖𝑗</a:t>
              </a:r>
              <a:r>
                <a:rPr lang="es-ES" sz="1400" b="0" i="0">
                  <a:solidFill>
                    <a:schemeClr val="tx1"/>
                  </a:solidFill>
                  <a:effectLst/>
                  <a:latin typeface="Cambria Math" panose="02040503050406030204" pitchFamily="18" charset="0"/>
                  <a:ea typeface="+mn-ea"/>
                  <a:cs typeface="+mn-cs"/>
                </a:rPr>
                <a:t>+𝐶𝐹𝑖𝑗 ±𝑉𝐸𝑖𝑗+𝑃𝑖𝑗 )</a:t>
              </a:r>
              <a:r>
                <a:rPr lang="es-ES" sz="1400" i="1">
                  <a:latin typeface="+mn-lt"/>
                  <a:cs typeface="Arial" panose="020B0604020202020204" pitchFamily="34" charset="0"/>
                </a:rPr>
                <a:t> x</a:t>
              </a:r>
              <a:r>
                <a:rPr lang="es-ES" sz="1400" i="1" baseline="0">
                  <a:latin typeface="+mn-lt"/>
                  <a:cs typeface="Arial" panose="020B0604020202020204" pitchFamily="34" charset="0"/>
                </a:rPr>
                <a:t> 100</a:t>
              </a:r>
              <a:endParaRPr lang="es-ES" sz="1400" i="1">
                <a:latin typeface="+mn-lt"/>
                <a:cs typeface="Arial" panose="020B0604020202020204" pitchFamily="34" charset="0"/>
              </a:endParaRPr>
            </a:p>
          </xdr:txBody>
        </xdr:sp>
      </mc:Fallback>
    </mc:AlternateContent>
    <xdr:clientData/>
  </xdr:oneCellAnchor>
  <xdr:oneCellAnchor>
    <xdr:from>
      <xdr:col>42</xdr:col>
      <xdr:colOff>63499</xdr:colOff>
      <xdr:row>176</xdr:row>
      <xdr:rowOff>783165</xdr:rowOff>
    </xdr:from>
    <xdr:ext cx="2495720" cy="493569"/>
    <mc:AlternateContent xmlns:mc="http://schemas.openxmlformats.org/markup-compatibility/2006" xmlns:a14="http://schemas.microsoft.com/office/drawing/2010/main">
      <mc:Choice Requires="a14">
        <xdr:sp macro="" textlink="">
          <xdr:nvSpPr>
            <xdr:cNvPr id="115" name="CuadroTexto 114">
              <a:extLst>
                <a:ext uri="{FF2B5EF4-FFF2-40B4-BE49-F238E27FC236}">
                  <a16:creationId xmlns:a16="http://schemas.microsoft.com/office/drawing/2014/main" id="{00000000-0008-0000-0400-000073000000}"/>
                </a:ext>
              </a:extLst>
            </xdr:cNvPr>
            <xdr:cNvSpPr txBox="1"/>
          </xdr:nvSpPr>
          <xdr:spPr>
            <a:xfrm>
              <a:off x="31305499" y="92727990"/>
              <a:ext cx="2495720" cy="49356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ctr">
              <a:noAutofit/>
            </a:bodyPr>
            <a:lstStyle/>
            <a:p>
              <a:pPr algn="ctr"/>
              <a:r>
                <a:rPr lang="es-ES" sz="1400" i="1">
                  <a:latin typeface="+mn-lt"/>
                  <a:cs typeface="Arial" panose="020B0604020202020204" pitchFamily="34" charset="0"/>
                </a:rPr>
                <a:t>PMI</a:t>
              </a:r>
              <a:r>
                <a:rPr lang="es-ES" sz="1400" i="1" baseline="-25000">
                  <a:latin typeface="+mn-lt"/>
                  <a:cs typeface="Arial" panose="020B0604020202020204" pitchFamily="34" charset="0"/>
                </a:rPr>
                <a:t>ij</a:t>
              </a:r>
              <a14:m>
                <m:oMath xmlns:m="http://schemas.openxmlformats.org/officeDocument/2006/math">
                  <m:r>
                    <a:rPr lang="es-ES" sz="1400" i="1">
                      <a:latin typeface="Cambria Math" panose="02040503050406030204" pitchFamily="18" charset="0"/>
                    </a:rPr>
                    <m:t>=</m:t>
                  </m:r>
                  <m:f>
                    <m:fPr>
                      <m:ctrlPr>
                        <a:rPr lang="es-ES" sz="1400" i="1">
                          <a:latin typeface="Cambria Math" panose="02040503050406030204" pitchFamily="18" charset="0"/>
                        </a:rPr>
                      </m:ctrlPr>
                    </m:fPr>
                    <m:num>
                      <m:r>
                        <a:rPr lang="es-ES" sz="1400" b="0" i="1">
                          <a:latin typeface="Cambria Math" panose="02040503050406030204" pitchFamily="18" charset="0"/>
                        </a:rPr>
                        <m:t> </m:t>
                      </m:r>
                      <m:r>
                        <a:rPr lang="es-ES" sz="1400" b="0" i="1">
                          <a:latin typeface="Cambria Math" panose="02040503050406030204" pitchFamily="18" charset="0"/>
                        </a:rPr>
                        <m:t>𝑄𝑖𝑗</m:t>
                      </m:r>
                      <m:r>
                        <a:rPr lang="es-ES" sz="1400" b="0" i="1" baseline="-25000">
                          <a:latin typeface="Cambria Math" panose="02040503050406030204" pitchFamily="18" charset="0"/>
                        </a:rPr>
                        <m:t>  </m:t>
                      </m:r>
                    </m:num>
                    <m:den>
                      <m:r>
                        <a:rPr lang="es-ES" sz="1400" b="0" i="1">
                          <a:solidFill>
                            <a:schemeClr val="tx1"/>
                          </a:solidFill>
                          <a:effectLst/>
                          <a:latin typeface="Cambria Math" panose="02040503050406030204" pitchFamily="18" charset="0"/>
                          <a:ea typeface="+mn-ea"/>
                          <a:cs typeface="+mn-cs"/>
                        </a:rPr>
                        <m:t>𝐶𝐼</m:t>
                      </m:r>
                      <m:r>
                        <a:rPr lang="es-ES" sz="1400" b="0" i="1" baseline="-25000">
                          <a:solidFill>
                            <a:schemeClr val="tx1"/>
                          </a:solidFill>
                          <a:effectLst/>
                          <a:latin typeface="Cambria Math" panose="02040503050406030204" pitchFamily="18" charset="0"/>
                          <a:ea typeface="+mn-ea"/>
                          <a:cs typeface="+mn-cs"/>
                        </a:rPr>
                        <m:t>𝑖𝑗</m:t>
                      </m:r>
                      <m:r>
                        <a:rPr lang="es-ES" sz="1400" b="0" i="1">
                          <a:solidFill>
                            <a:schemeClr val="tx1"/>
                          </a:solidFill>
                          <a:effectLst/>
                          <a:latin typeface="Cambria Math" panose="02040503050406030204" pitchFamily="18" charset="0"/>
                          <a:ea typeface="+mn-ea"/>
                          <a:cs typeface="+mn-cs"/>
                        </a:rPr>
                        <m:t>+</m:t>
                      </m:r>
                      <m:r>
                        <a:rPr lang="es-ES" sz="1400" b="0" i="1">
                          <a:solidFill>
                            <a:schemeClr val="tx1"/>
                          </a:solidFill>
                          <a:effectLst/>
                          <a:latin typeface="Cambria Math" panose="02040503050406030204" pitchFamily="18" charset="0"/>
                          <a:ea typeface="+mn-ea"/>
                          <a:cs typeface="+mn-cs"/>
                        </a:rPr>
                        <m:t>𝐶𝐹𝑖𝑗</m:t>
                      </m:r>
                      <m:r>
                        <a:rPr lang="es-ES" sz="1400" b="0" i="1">
                          <a:solidFill>
                            <a:schemeClr val="tx1"/>
                          </a:solidFill>
                          <a:effectLst/>
                          <a:latin typeface="Cambria Math" panose="02040503050406030204" pitchFamily="18" charset="0"/>
                          <a:ea typeface="+mn-ea"/>
                          <a:cs typeface="+mn-cs"/>
                        </a:rPr>
                        <m:t> ±</m:t>
                      </m:r>
                      <m:r>
                        <a:rPr lang="es-ES" sz="1400" b="0" i="1">
                          <a:solidFill>
                            <a:schemeClr val="tx1"/>
                          </a:solidFill>
                          <a:effectLst/>
                          <a:latin typeface="Cambria Math" panose="02040503050406030204" pitchFamily="18" charset="0"/>
                          <a:ea typeface="+mn-ea"/>
                          <a:cs typeface="+mn-cs"/>
                        </a:rPr>
                        <m:t>𝑉𝐸𝑖𝑗</m:t>
                      </m:r>
                      <m:r>
                        <a:rPr lang="es-ES" sz="1400" b="0" i="1">
                          <a:solidFill>
                            <a:schemeClr val="tx1"/>
                          </a:solidFill>
                          <a:effectLst/>
                          <a:latin typeface="Cambria Math" panose="02040503050406030204" pitchFamily="18" charset="0"/>
                          <a:ea typeface="+mn-ea"/>
                          <a:cs typeface="+mn-cs"/>
                        </a:rPr>
                        <m:t>+</m:t>
                      </m:r>
                      <m:r>
                        <a:rPr lang="es-ES" sz="1400" b="0" i="1">
                          <a:solidFill>
                            <a:schemeClr val="tx1"/>
                          </a:solidFill>
                          <a:effectLst/>
                          <a:latin typeface="Cambria Math" panose="02040503050406030204" pitchFamily="18" charset="0"/>
                          <a:ea typeface="+mn-ea"/>
                          <a:cs typeface="+mn-cs"/>
                        </a:rPr>
                        <m:t>𝑃𝑖𝑗</m:t>
                      </m:r>
                      <m:r>
                        <a:rPr lang="es-ES" sz="1400" b="0" i="1">
                          <a:solidFill>
                            <a:schemeClr val="tx1"/>
                          </a:solidFill>
                          <a:effectLst/>
                          <a:latin typeface="Cambria Math" panose="02040503050406030204" pitchFamily="18" charset="0"/>
                          <a:ea typeface="+mn-ea"/>
                          <a:cs typeface="+mn-cs"/>
                        </a:rPr>
                        <m:t> </m:t>
                      </m:r>
                    </m:den>
                  </m:f>
                </m:oMath>
              </a14:m>
              <a:r>
                <a:rPr lang="es-ES" sz="1400" i="1">
                  <a:latin typeface="+mn-lt"/>
                  <a:cs typeface="Arial" panose="020B0604020202020204" pitchFamily="34" charset="0"/>
                </a:rPr>
                <a:t> x</a:t>
              </a:r>
              <a:r>
                <a:rPr lang="es-ES" sz="1400" i="1" baseline="0">
                  <a:latin typeface="+mn-lt"/>
                  <a:cs typeface="Arial" panose="020B0604020202020204" pitchFamily="34" charset="0"/>
                </a:rPr>
                <a:t> 100</a:t>
              </a:r>
              <a:endParaRPr lang="es-ES" sz="1400" i="1">
                <a:latin typeface="+mn-lt"/>
                <a:cs typeface="Arial" panose="020B0604020202020204" pitchFamily="34" charset="0"/>
              </a:endParaRPr>
            </a:p>
          </xdr:txBody>
        </xdr:sp>
      </mc:Choice>
      <mc:Fallback xmlns="">
        <xdr:sp macro="" textlink="">
          <xdr:nvSpPr>
            <xdr:cNvPr id="115" name="CuadroTexto 114">
              <a:extLst>
                <a:ext uri="{FF2B5EF4-FFF2-40B4-BE49-F238E27FC236}">
                  <a16:creationId xmlns:a16="http://schemas.microsoft.com/office/drawing/2014/main" xmlns="" xmlns:a14="http://schemas.microsoft.com/office/drawing/2010/main" id="{00000000-0008-0000-0100-000023000000}"/>
                </a:ext>
              </a:extLst>
            </xdr:cNvPr>
            <xdr:cNvSpPr txBox="1"/>
          </xdr:nvSpPr>
          <xdr:spPr>
            <a:xfrm>
              <a:off x="31305499" y="92727990"/>
              <a:ext cx="2495720" cy="49356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ctr">
              <a:noAutofit/>
            </a:bodyPr>
            <a:lstStyle/>
            <a:p>
              <a:pPr algn="ctr"/>
              <a:r>
                <a:rPr lang="es-ES" sz="1400" i="1">
                  <a:latin typeface="+mn-lt"/>
                  <a:cs typeface="Arial" panose="020B0604020202020204" pitchFamily="34" charset="0"/>
                </a:rPr>
                <a:t>PMI</a:t>
              </a:r>
              <a:r>
                <a:rPr lang="es-ES" sz="1400" i="1" baseline="-25000">
                  <a:latin typeface="+mn-lt"/>
                  <a:cs typeface="Arial" panose="020B0604020202020204" pitchFamily="34" charset="0"/>
                </a:rPr>
                <a:t>ij</a:t>
              </a:r>
              <a:r>
                <a:rPr lang="es-ES" sz="1400" i="0">
                  <a:latin typeface="Cambria Math" panose="02040503050406030204" pitchFamily="18" charset="0"/>
                </a:rPr>
                <a:t>=(</a:t>
              </a:r>
              <a:r>
                <a:rPr lang="es-ES" sz="1400" b="0" i="0">
                  <a:latin typeface="Cambria Math" panose="02040503050406030204" pitchFamily="18" charset="0"/>
                </a:rPr>
                <a:t> 𝑄𝑖𝑗</a:t>
              </a:r>
              <a:r>
                <a:rPr lang="es-ES" sz="1400" b="0" i="0" baseline="-25000">
                  <a:latin typeface="Cambria Math" panose="02040503050406030204" pitchFamily="18" charset="0"/>
                </a:rPr>
                <a:t>  )/(</a:t>
              </a:r>
              <a:r>
                <a:rPr lang="es-ES" sz="1400" b="0" i="0">
                  <a:solidFill>
                    <a:schemeClr val="tx1"/>
                  </a:solidFill>
                  <a:effectLst/>
                  <a:latin typeface="Cambria Math" panose="02040503050406030204" pitchFamily="18" charset="0"/>
                  <a:ea typeface="+mn-ea"/>
                  <a:cs typeface="+mn-cs"/>
                </a:rPr>
                <a:t>𝐶𝐼</a:t>
              </a:r>
              <a:r>
                <a:rPr lang="es-ES" sz="1400" b="0" i="0" baseline="-25000">
                  <a:solidFill>
                    <a:schemeClr val="tx1"/>
                  </a:solidFill>
                  <a:effectLst/>
                  <a:latin typeface="Cambria Math" panose="02040503050406030204" pitchFamily="18" charset="0"/>
                  <a:ea typeface="+mn-ea"/>
                  <a:cs typeface="+mn-cs"/>
                </a:rPr>
                <a:t>𝑖𝑗</a:t>
              </a:r>
              <a:r>
                <a:rPr lang="es-ES" sz="1400" b="0" i="0">
                  <a:solidFill>
                    <a:schemeClr val="tx1"/>
                  </a:solidFill>
                  <a:effectLst/>
                  <a:latin typeface="Cambria Math" panose="02040503050406030204" pitchFamily="18" charset="0"/>
                  <a:ea typeface="+mn-ea"/>
                  <a:cs typeface="+mn-cs"/>
                </a:rPr>
                <a:t>+𝐶𝐹𝑖𝑗 ±𝑉𝐸𝑖𝑗+𝑃𝑖𝑗 )</a:t>
              </a:r>
              <a:r>
                <a:rPr lang="es-ES" sz="1400" i="1">
                  <a:latin typeface="+mn-lt"/>
                  <a:cs typeface="Arial" panose="020B0604020202020204" pitchFamily="34" charset="0"/>
                </a:rPr>
                <a:t> x</a:t>
              </a:r>
              <a:r>
                <a:rPr lang="es-ES" sz="1400" i="1" baseline="0">
                  <a:latin typeface="+mn-lt"/>
                  <a:cs typeface="Arial" panose="020B0604020202020204" pitchFamily="34" charset="0"/>
                </a:rPr>
                <a:t> 100</a:t>
              </a:r>
              <a:endParaRPr lang="es-ES" sz="1400" i="1">
                <a:latin typeface="+mn-lt"/>
                <a:cs typeface="Arial" panose="020B0604020202020204" pitchFamily="34" charset="0"/>
              </a:endParaRPr>
            </a:p>
          </xdr:txBody>
        </xdr:sp>
      </mc:Fallback>
    </mc:AlternateContent>
    <xdr:clientData/>
  </xdr:oneCellAnchor>
  <xdr:oneCellAnchor>
    <xdr:from>
      <xdr:col>42</xdr:col>
      <xdr:colOff>42332</xdr:colOff>
      <xdr:row>177</xdr:row>
      <xdr:rowOff>328081</xdr:rowOff>
    </xdr:from>
    <xdr:ext cx="2495720" cy="493569"/>
    <mc:AlternateContent xmlns:mc="http://schemas.openxmlformats.org/markup-compatibility/2006" xmlns:a14="http://schemas.microsoft.com/office/drawing/2010/main">
      <mc:Choice Requires="a14">
        <xdr:sp macro="" textlink="">
          <xdr:nvSpPr>
            <xdr:cNvPr id="116" name="CuadroTexto 115">
              <a:extLst>
                <a:ext uri="{FF2B5EF4-FFF2-40B4-BE49-F238E27FC236}">
                  <a16:creationId xmlns:a16="http://schemas.microsoft.com/office/drawing/2014/main" id="{00000000-0008-0000-0400-000074000000}"/>
                </a:ext>
              </a:extLst>
            </xdr:cNvPr>
            <xdr:cNvSpPr txBox="1"/>
          </xdr:nvSpPr>
          <xdr:spPr>
            <a:xfrm>
              <a:off x="31284332" y="96844906"/>
              <a:ext cx="2495720" cy="49356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ctr">
              <a:noAutofit/>
            </a:bodyPr>
            <a:lstStyle/>
            <a:p>
              <a:pPr algn="ctr"/>
              <a:r>
                <a:rPr lang="es-ES" sz="1400" i="1">
                  <a:latin typeface="+mn-lt"/>
                  <a:cs typeface="Arial" panose="020B0604020202020204" pitchFamily="34" charset="0"/>
                </a:rPr>
                <a:t>PMI</a:t>
              </a:r>
              <a:r>
                <a:rPr lang="es-ES" sz="1400" i="1" baseline="-25000">
                  <a:latin typeface="+mn-lt"/>
                  <a:cs typeface="Arial" panose="020B0604020202020204" pitchFamily="34" charset="0"/>
                </a:rPr>
                <a:t>ij</a:t>
              </a:r>
              <a14:m>
                <m:oMath xmlns:m="http://schemas.openxmlformats.org/officeDocument/2006/math">
                  <m:r>
                    <a:rPr lang="es-ES" sz="1400" i="1">
                      <a:latin typeface="Cambria Math" panose="02040503050406030204" pitchFamily="18" charset="0"/>
                    </a:rPr>
                    <m:t>=</m:t>
                  </m:r>
                  <m:f>
                    <m:fPr>
                      <m:ctrlPr>
                        <a:rPr lang="es-ES" sz="1400" i="1">
                          <a:latin typeface="Cambria Math" panose="02040503050406030204" pitchFamily="18" charset="0"/>
                        </a:rPr>
                      </m:ctrlPr>
                    </m:fPr>
                    <m:num>
                      <m:r>
                        <a:rPr lang="es-ES" sz="1400" b="0" i="1">
                          <a:latin typeface="Cambria Math" panose="02040503050406030204" pitchFamily="18" charset="0"/>
                        </a:rPr>
                        <m:t> </m:t>
                      </m:r>
                      <m:r>
                        <a:rPr lang="es-ES" sz="1400" b="0" i="1">
                          <a:latin typeface="Cambria Math" panose="02040503050406030204" pitchFamily="18" charset="0"/>
                        </a:rPr>
                        <m:t>𝑄𝑖𝑗</m:t>
                      </m:r>
                      <m:r>
                        <a:rPr lang="es-ES" sz="1400" b="0" i="1" baseline="-25000">
                          <a:latin typeface="Cambria Math" panose="02040503050406030204" pitchFamily="18" charset="0"/>
                        </a:rPr>
                        <m:t>  </m:t>
                      </m:r>
                    </m:num>
                    <m:den>
                      <m:r>
                        <a:rPr lang="es-ES" sz="1400" b="0" i="1">
                          <a:solidFill>
                            <a:schemeClr val="tx1"/>
                          </a:solidFill>
                          <a:effectLst/>
                          <a:latin typeface="Cambria Math" panose="02040503050406030204" pitchFamily="18" charset="0"/>
                          <a:ea typeface="+mn-ea"/>
                          <a:cs typeface="+mn-cs"/>
                        </a:rPr>
                        <m:t>𝐶𝐼</m:t>
                      </m:r>
                      <m:r>
                        <a:rPr lang="es-ES" sz="1400" b="0" i="1" baseline="-25000">
                          <a:solidFill>
                            <a:schemeClr val="tx1"/>
                          </a:solidFill>
                          <a:effectLst/>
                          <a:latin typeface="Cambria Math" panose="02040503050406030204" pitchFamily="18" charset="0"/>
                          <a:ea typeface="+mn-ea"/>
                          <a:cs typeface="+mn-cs"/>
                        </a:rPr>
                        <m:t>𝑖𝑗</m:t>
                      </m:r>
                      <m:r>
                        <a:rPr lang="es-ES" sz="1400" b="0" i="1">
                          <a:solidFill>
                            <a:schemeClr val="tx1"/>
                          </a:solidFill>
                          <a:effectLst/>
                          <a:latin typeface="Cambria Math" panose="02040503050406030204" pitchFamily="18" charset="0"/>
                          <a:ea typeface="+mn-ea"/>
                          <a:cs typeface="+mn-cs"/>
                        </a:rPr>
                        <m:t>+</m:t>
                      </m:r>
                      <m:r>
                        <a:rPr lang="es-ES" sz="1400" b="0" i="1">
                          <a:solidFill>
                            <a:schemeClr val="tx1"/>
                          </a:solidFill>
                          <a:effectLst/>
                          <a:latin typeface="Cambria Math" panose="02040503050406030204" pitchFamily="18" charset="0"/>
                          <a:ea typeface="+mn-ea"/>
                          <a:cs typeface="+mn-cs"/>
                        </a:rPr>
                        <m:t>𝐶𝐹𝑖𝑗</m:t>
                      </m:r>
                      <m:r>
                        <a:rPr lang="es-ES" sz="1400" b="0" i="1">
                          <a:solidFill>
                            <a:schemeClr val="tx1"/>
                          </a:solidFill>
                          <a:effectLst/>
                          <a:latin typeface="Cambria Math" panose="02040503050406030204" pitchFamily="18" charset="0"/>
                          <a:ea typeface="+mn-ea"/>
                          <a:cs typeface="+mn-cs"/>
                        </a:rPr>
                        <m:t> ±</m:t>
                      </m:r>
                      <m:r>
                        <a:rPr lang="es-ES" sz="1400" b="0" i="1">
                          <a:solidFill>
                            <a:schemeClr val="tx1"/>
                          </a:solidFill>
                          <a:effectLst/>
                          <a:latin typeface="Cambria Math" panose="02040503050406030204" pitchFamily="18" charset="0"/>
                          <a:ea typeface="+mn-ea"/>
                          <a:cs typeface="+mn-cs"/>
                        </a:rPr>
                        <m:t>𝑉𝐸𝑖𝑗</m:t>
                      </m:r>
                      <m:r>
                        <a:rPr lang="es-ES" sz="1400" b="0" i="1">
                          <a:solidFill>
                            <a:schemeClr val="tx1"/>
                          </a:solidFill>
                          <a:effectLst/>
                          <a:latin typeface="Cambria Math" panose="02040503050406030204" pitchFamily="18" charset="0"/>
                          <a:ea typeface="+mn-ea"/>
                          <a:cs typeface="+mn-cs"/>
                        </a:rPr>
                        <m:t>+</m:t>
                      </m:r>
                      <m:r>
                        <a:rPr lang="es-ES" sz="1400" b="0" i="1">
                          <a:solidFill>
                            <a:schemeClr val="tx1"/>
                          </a:solidFill>
                          <a:effectLst/>
                          <a:latin typeface="Cambria Math" panose="02040503050406030204" pitchFamily="18" charset="0"/>
                          <a:ea typeface="+mn-ea"/>
                          <a:cs typeface="+mn-cs"/>
                        </a:rPr>
                        <m:t>𝑃𝑖𝑗</m:t>
                      </m:r>
                      <m:r>
                        <a:rPr lang="es-ES" sz="1400" b="0" i="1">
                          <a:solidFill>
                            <a:schemeClr val="tx1"/>
                          </a:solidFill>
                          <a:effectLst/>
                          <a:latin typeface="Cambria Math" panose="02040503050406030204" pitchFamily="18" charset="0"/>
                          <a:ea typeface="+mn-ea"/>
                          <a:cs typeface="+mn-cs"/>
                        </a:rPr>
                        <m:t> </m:t>
                      </m:r>
                    </m:den>
                  </m:f>
                </m:oMath>
              </a14:m>
              <a:r>
                <a:rPr lang="es-ES" sz="1400" i="1">
                  <a:latin typeface="+mn-lt"/>
                  <a:cs typeface="Arial" panose="020B0604020202020204" pitchFamily="34" charset="0"/>
                </a:rPr>
                <a:t> x</a:t>
              </a:r>
              <a:r>
                <a:rPr lang="es-ES" sz="1400" i="1" baseline="0">
                  <a:latin typeface="+mn-lt"/>
                  <a:cs typeface="Arial" panose="020B0604020202020204" pitchFamily="34" charset="0"/>
                </a:rPr>
                <a:t> 100</a:t>
              </a:r>
              <a:endParaRPr lang="es-ES" sz="1400" i="1">
                <a:latin typeface="+mn-lt"/>
                <a:cs typeface="Arial" panose="020B0604020202020204" pitchFamily="34" charset="0"/>
              </a:endParaRPr>
            </a:p>
          </xdr:txBody>
        </xdr:sp>
      </mc:Choice>
      <mc:Fallback xmlns="">
        <xdr:sp macro="" textlink="">
          <xdr:nvSpPr>
            <xdr:cNvPr id="116" name="CuadroTexto 115">
              <a:extLst>
                <a:ext uri="{FF2B5EF4-FFF2-40B4-BE49-F238E27FC236}">
                  <a16:creationId xmlns:a16="http://schemas.microsoft.com/office/drawing/2014/main" xmlns="" xmlns:a14="http://schemas.microsoft.com/office/drawing/2010/main" id="{00000000-0008-0000-0100-000024000000}"/>
                </a:ext>
              </a:extLst>
            </xdr:cNvPr>
            <xdr:cNvSpPr txBox="1"/>
          </xdr:nvSpPr>
          <xdr:spPr>
            <a:xfrm>
              <a:off x="31284332" y="96844906"/>
              <a:ext cx="2495720" cy="49356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ctr">
              <a:noAutofit/>
            </a:bodyPr>
            <a:lstStyle/>
            <a:p>
              <a:pPr algn="ctr"/>
              <a:r>
                <a:rPr lang="es-ES" sz="1400" i="1">
                  <a:latin typeface="+mn-lt"/>
                  <a:cs typeface="Arial" panose="020B0604020202020204" pitchFamily="34" charset="0"/>
                </a:rPr>
                <a:t>PMI</a:t>
              </a:r>
              <a:r>
                <a:rPr lang="es-ES" sz="1400" i="1" baseline="-25000">
                  <a:latin typeface="+mn-lt"/>
                  <a:cs typeface="Arial" panose="020B0604020202020204" pitchFamily="34" charset="0"/>
                </a:rPr>
                <a:t>ij</a:t>
              </a:r>
              <a:r>
                <a:rPr lang="es-ES" sz="1400" i="0">
                  <a:latin typeface="Cambria Math" panose="02040503050406030204" pitchFamily="18" charset="0"/>
                </a:rPr>
                <a:t>=(</a:t>
              </a:r>
              <a:r>
                <a:rPr lang="es-ES" sz="1400" b="0" i="0">
                  <a:latin typeface="Cambria Math" panose="02040503050406030204" pitchFamily="18" charset="0"/>
                </a:rPr>
                <a:t> 𝑄𝑖𝑗</a:t>
              </a:r>
              <a:r>
                <a:rPr lang="es-ES" sz="1400" b="0" i="0" baseline="-25000">
                  <a:latin typeface="Cambria Math" panose="02040503050406030204" pitchFamily="18" charset="0"/>
                </a:rPr>
                <a:t>  )/(</a:t>
              </a:r>
              <a:r>
                <a:rPr lang="es-ES" sz="1400" b="0" i="0">
                  <a:solidFill>
                    <a:schemeClr val="tx1"/>
                  </a:solidFill>
                  <a:effectLst/>
                  <a:latin typeface="Cambria Math" panose="02040503050406030204" pitchFamily="18" charset="0"/>
                  <a:ea typeface="+mn-ea"/>
                  <a:cs typeface="+mn-cs"/>
                </a:rPr>
                <a:t>𝐶𝐼</a:t>
              </a:r>
              <a:r>
                <a:rPr lang="es-ES" sz="1400" b="0" i="0" baseline="-25000">
                  <a:solidFill>
                    <a:schemeClr val="tx1"/>
                  </a:solidFill>
                  <a:effectLst/>
                  <a:latin typeface="Cambria Math" panose="02040503050406030204" pitchFamily="18" charset="0"/>
                  <a:ea typeface="+mn-ea"/>
                  <a:cs typeface="+mn-cs"/>
                </a:rPr>
                <a:t>𝑖𝑗</a:t>
              </a:r>
              <a:r>
                <a:rPr lang="es-ES" sz="1400" b="0" i="0">
                  <a:solidFill>
                    <a:schemeClr val="tx1"/>
                  </a:solidFill>
                  <a:effectLst/>
                  <a:latin typeface="Cambria Math" panose="02040503050406030204" pitchFamily="18" charset="0"/>
                  <a:ea typeface="+mn-ea"/>
                  <a:cs typeface="+mn-cs"/>
                </a:rPr>
                <a:t>+𝐶𝐹𝑖𝑗 ±𝑉𝐸𝑖𝑗+𝑃𝑖𝑗 )</a:t>
              </a:r>
              <a:r>
                <a:rPr lang="es-ES" sz="1400" i="1">
                  <a:latin typeface="+mn-lt"/>
                  <a:cs typeface="Arial" panose="020B0604020202020204" pitchFamily="34" charset="0"/>
                </a:rPr>
                <a:t> x</a:t>
              </a:r>
              <a:r>
                <a:rPr lang="es-ES" sz="1400" i="1" baseline="0">
                  <a:latin typeface="+mn-lt"/>
                  <a:cs typeface="Arial" panose="020B0604020202020204" pitchFamily="34" charset="0"/>
                </a:rPr>
                <a:t> 100</a:t>
              </a:r>
              <a:endParaRPr lang="es-ES" sz="1400" i="1">
                <a:latin typeface="+mn-lt"/>
                <a:cs typeface="Arial" panose="020B0604020202020204" pitchFamily="34" charset="0"/>
              </a:endParaRPr>
            </a:p>
          </xdr:txBody>
        </xdr:sp>
      </mc:Fallback>
    </mc:AlternateContent>
    <xdr:clientData/>
  </xdr:oneCellAnchor>
  <xdr:oneCellAnchor>
    <xdr:from>
      <xdr:col>42</xdr:col>
      <xdr:colOff>52915</xdr:colOff>
      <xdr:row>179</xdr:row>
      <xdr:rowOff>888995</xdr:rowOff>
    </xdr:from>
    <xdr:ext cx="2495720" cy="493569"/>
    <mc:AlternateContent xmlns:mc="http://schemas.openxmlformats.org/markup-compatibility/2006" xmlns:a14="http://schemas.microsoft.com/office/drawing/2010/main">
      <mc:Choice Requires="a14">
        <xdr:sp macro="" textlink="">
          <xdr:nvSpPr>
            <xdr:cNvPr id="117" name="CuadroTexto 116">
              <a:extLst>
                <a:ext uri="{FF2B5EF4-FFF2-40B4-BE49-F238E27FC236}">
                  <a16:creationId xmlns:a16="http://schemas.microsoft.com/office/drawing/2014/main" id="{00000000-0008-0000-0400-000075000000}"/>
                </a:ext>
              </a:extLst>
            </xdr:cNvPr>
            <xdr:cNvSpPr txBox="1"/>
          </xdr:nvSpPr>
          <xdr:spPr>
            <a:xfrm>
              <a:off x="31294915" y="106549820"/>
              <a:ext cx="2495720" cy="49356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ctr">
              <a:noAutofit/>
            </a:bodyPr>
            <a:lstStyle/>
            <a:p>
              <a:pPr algn="ctr"/>
              <a:r>
                <a:rPr lang="es-ES" sz="1400" i="1">
                  <a:latin typeface="+mn-lt"/>
                  <a:cs typeface="Arial" panose="020B0604020202020204" pitchFamily="34" charset="0"/>
                </a:rPr>
                <a:t>PMI</a:t>
              </a:r>
              <a:r>
                <a:rPr lang="es-ES" sz="1400" i="1" baseline="-25000">
                  <a:latin typeface="+mn-lt"/>
                  <a:cs typeface="Arial" panose="020B0604020202020204" pitchFamily="34" charset="0"/>
                </a:rPr>
                <a:t>ij</a:t>
              </a:r>
              <a14:m>
                <m:oMath xmlns:m="http://schemas.openxmlformats.org/officeDocument/2006/math">
                  <m:r>
                    <a:rPr lang="es-ES" sz="1400" i="1">
                      <a:latin typeface="Cambria Math" panose="02040503050406030204" pitchFamily="18" charset="0"/>
                    </a:rPr>
                    <m:t>=</m:t>
                  </m:r>
                  <m:f>
                    <m:fPr>
                      <m:ctrlPr>
                        <a:rPr lang="es-ES" sz="1400" i="1">
                          <a:latin typeface="Cambria Math" panose="02040503050406030204" pitchFamily="18" charset="0"/>
                        </a:rPr>
                      </m:ctrlPr>
                    </m:fPr>
                    <m:num>
                      <m:r>
                        <a:rPr lang="es-ES" sz="1400" b="0" i="1">
                          <a:latin typeface="Cambria Math" panose="02040503050406030204" pitchFamily="18" charset="0"/>
                        </a:rPr>
                        <m:t> </m:t>
                      </m:r>
                      <m:r>
                        <a:rPr lang="es-ES" sz="1400" b="0" i="1">
                          <a:latin typeface="Cambria Math" panose="02040503050406030204" pitchFamily="18" charset="0"/>
                        </a:rPr>
                        <m:t>𝑄𝑖𝑗</m:t>
                      </m:r>
                      <m:r>
                        <a:rPr lang="es-ES" sz="1400" b="0" i="1" baseline="-25000">
                          <a:latin typeface="Cambria Math" panose="02040503050406030204" pitchFamily="18" charset="0"/>
                        </a:rPr>
                        <m:t>  </m:t>
                      </m:r>
                    </m:num>
                    <m:den>
                      <m:eqArr>
                        <m:eqArrPr>
                          <m:ctrlPr>
                            <a:rPr lang="es-ES" sz="1400" b="0" i="1">
                              <a:solidFill>
                                <a:schemeClr val="tx1"/>
                              </a:solidFill>
                              <a:effectLst/>
                              <a:latin typeface="Cambria Math" panose="02040503050406030204" pitchFamily="18" charset="0"/>
                              <a:ea typeface="+mn-ea"/>
                              <a:cs typeface="+mn-cs"/>
                            </a:rPr>
                          </m:ctrlPr>
                        </m:eqArrPr>
                        <m:e>
                          <m:r>
                            <a:rPr lang="es-ES" sz="1400" b="0" i="1">
                              <a:solidFill>
                                <a:schemeClr val="tx1"/>
                              </a:solidFill>
                              <a:effectLst/>
                              <a:latin typeface="Cambria Math" panose="02040503050406030204" pitchFamily="18" charset="0"/>
                              <a:ea typeface="+mn-ea"/>
                              <a:cs typeface="+mn-cs"/>
                            </a:rPr>
                            <m:t>𝐶𝐼</m:t>
                          </m:r>
                          <m:r>
                            <a:rPr lang="es-ES" sz="1400" b="0" i="1" baseline="-25000">
                              <a:solidFill>
                                <a:schemeClr val="tx1"/>
                              </a:solidFill>
                              <a:effectLst/>
                              <a:latin typeface="Cambria Math" panose="02040503050406030204" pitchFamily="18" charset="0"/>
                              <a:ea typeface="+mn-ea"/>
                              <a:cs typeface="+mn-cs"/>
                            </a:rPr>
                            <m:t>𝑖𝑗</m:t>
                          </m:r>
                          <m:r>
                            <a:rPr lang="es-ES" sz="1400" b="0" i="1">
                              <a:solidFill>
                                <a:schemeClr val="tx1"/>
                              </a:solidFill>
                              <a:effectLst/>
                              <a:latin typeface="Cambria Math" panose="02040503050406030204" pitchFamily="18" charset="0"/>
                              <a:ea typeface="+mn-ea"/>
                              <a:cs typeface="+mn-cs"/>
                            </a:rPr>
                            <m:t>+</m:t>
                          </m:r>
                          <m:r>
                            <a:rPr lang="es-ES" sz="1400" b="0" i="1">
                              <a:solidFill>
                                <a:schemeClr val="tx1"/>
                              </a:solidFill>
                              <a:effectLst/>
                              <a:latin typeface="Cambria Math" panose="02040503050406030204" pitchFamily="18" charset="0"/>
                              <a:ea typeface="+mn-ea"/>
                              <a:cs typeface="+mn-cs"/>
                            </a:rPr>
                            <m:t>𝐶𝐹𝑖𝑗</m:t>
                          </m:r>
                          <m:r>
                            <a:rPr lang="es-ES" sz="1400" b="0" i="1">
                              <a:solidFill>
                                <a:schemeClr val="tx1"/>
                              </a:solidFill>
                              <a:effectLst/>
                              <a:latin typeface="Cambria Math" panose="02040503050406030204" pitchFamily="18" charset="0"/>
                              <a:ea typeface="+mn-ea"/>
                              <a:cs typeface="+mn-cs"/>
                            </a:rPr>
                            <m:t>+</m:t>
                          </m:r>
                          <m:r>
                            <a:rPr lang="es-ES" sz="1400" b="0" i="1">
                              <a:solidFill>
                                <a:schemeClr val="tx1"/>
                              </a:solidFill>
                              <a:effectLst/>
                              <a:latin typeface="Cambria Math" panose="02040503050406030204" pitchFamily="18" charset="0"/>
                              <a:ea typeface="+mn-ea"/>
                              <a:cs typeface="+mn-cs"/>
                            </a:rPr>
                            <m:t>𝐹𝐵𝐾𝐹𝑖𝑗</m:t>
                          </m:r>
                          <m:r>
                            <a:rPr lang="es-ES" sz="1400" b="0" i="1">
                              <a:solidFill>
                                <a:schemeClr val="tx1"/>
                              </a:solidFill>
                              <a:effectLst/>
                              <a:latin typeface="Cambria Math" panose="02040503050406030204" pitchFamily="18" charset="0"/>
                              <a:ea typeface="+mn-ea"/>
                              <a:cs typeface="+mn-cs"/>
                            </a:rPr>
                            <m:t> ±</m:t>
                          </m:r>
                          <m:r>
                            <a:rPr lang="es-ES" sz="1400" b="0" i="1">
                              <a:solidFill>
                                <a:schemeClr val="tx1"/>
                              </a:solidFill>
                              <a:effectLst/>
                              <a:latin typeface="Cambria Math" panose="02040503050406030204" pitchFamily="18" charset="0"/>
                              <a:ea typeface="+mn-ea"/>
                              <a:cs typeface="+mn-cs"/>
                            </a:rPr>
                            <m:t>𝑉𝐸𝑖𝑗</m:t>
                          </m:r>
                        </m:e>
                        <m:e>
                          <m:r>
                            <a:rPr lang="es-ES" sz="1400" b="0" i="1">
                              <a:solidFill>
                                <a:schemeClr val="tx1"/>
                              </a:solidFill>
                              <a:effectLst/>
                              <a:latin typeface="Cambria Math" panose="02040503050406030204" pitchFamily="18" charset="0"/>
                              <a:ea typeface="+mn-ea"/>
                              <a:cs typeface="+mn-cs"/>
                            </a:rPr>
                            <m:t> </m:t>
                          </m:r>
                        </m:e>
                      </m:eqArr>
                    </m:den>
                  </m:f>
                </m:oMath>
              </a14:m>
              <a:r>
                <a:rPr lang="es-ES" sz="1400" i="1">
                  <a:latin typeface="+mn-lt"/>
                  <a:cs typeface="Arial" panose="020B0604020202020204" pitchFamily="34" charset="0"/>
                </a:rPr>
                <a:t> x</a:t>
              </a:r>
              <a:r>
                <a:rPr lang="es-ES" sz="1400" i="1" baseline="0">
                  <a:latin typeface="+mn-lt"/>
                  <a:cs typeface="Arial" panose="020B0604020202020204" pitchFamily="34" charset="0"/>
                </a:rPr>
                <a:t> 100</a:t>
              </a:r>
              <a:endParaRPr lang="es-ES" sz="1400" i="1">
                <a:latin typeface="+mn-lt"/>
                <a:cs typeface="Arial" panose="020B0604020202020204" pitchFamily="34" charset="0"/>
              </a:endParaRPr>
            </a:p>
          </xdr:txBody>
        </xdr:sp>
      </mc:Choice>
      <mc:Fallback xmlns="">
        <xdr:sp macro="" textlink="">
          <xdr:nvSpPr>
            <xdr:cNvPr id="117" name="CuadroTexto 116">
              <a:extLst>
                <a:ext uri="{FF2B5EF4-FFF2-40B4-BE49-F238E27FC236}">
                  <a16:creationId xmlns:a16="http://schemas.microsoft.com/office/drawing/2014/main" xmlns="" xmlns:a14="http://schemas.microsoft.com/office/drawing/2010/main" id="{00000000-0008-0000-0100-000025000000}"/>
                </a:ext>
              </a:extLst>
            </xdr:cNvPr>
            <xdr:cNvSpPr txBox="1"/>
          </xdr:nvSpPr>
          <xdr:spPr>
            <a:xfrm>
              <a:off x="31294915" y="106549820"/>
              <a:ext cx="2495720" cy="49356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ctr">
              <a:noAutofit/>
            </a:bodyPr>
            <a:lstStyle/>
            <a:p>
              <a:pPr algn="ctr"/>
              <a:r>
                <a:rPr lang="es-ES" sz="1400" i="1">
                  <a:latin typeface="+mn-lt"/>
                  <a:cs typeface="Arial" panose="020B0604020202020204" pitchFamily="34" charset="0"/>
                </a:rPr>
                <a:t>PMI</a:t>
              </a:r>
              <a:r>
                <a:rPr lang="es-ES" sz="1400" i="1" baseline="-25000">
                  <a:latin typeface="+mn-lt"/>
                  <a:cs typeface="Arial" panose="020B0604020202020204" pitchFamily="34" charset="0"/>
                </a:rPr>
                <a:t>ij</a:t>
              </a:r>
              <a:r>
                <a:rPr lang="es-ES" sz="1400" i="0">
                  <a:latin typeface="Cambria Math" panose="02040503050406030204" pitchFamily="18" charset="0"/>
                </a:rPr>
                <a:t>=(</a:t>
              </a:r>
              <a:r>
                <a:rPr lang="es-ES" sz="1400" b="0" i="0">
                  <a:latin typeface="Cambria Math" panose="02040503050406030204" pitchFamily="18" charset="0"/>
                </a:rPr>
                <a:t> 𝑄𝑖𝑗</a:t>
              </a:r>
              <a:r>
                <a:rPr lang="es-ES" sz="1400" b="0" i="0" baseline="-25000">
                  <a:latin typeface="Cambria Math" panose="02040503050406030204" pitchFamily="18" charset="0"/>
                </a:rPr>
                <a:t>  )/</a:t>
              </a:r>
              <a:r>
                <a:rPr lang="es-ES" sz="1400" b="0" i="0" baseline="-25000">
                  <a:solidFill>
                    <a:schemeClr val="tx1"/>
                  </a:solidFill>
                  <a:effectLst/>
                  <a:latin typeface="Cambria Math" panose="02040503050406030204" pitchFamily="18" charset="0"/>
                  <a:ea typeface="+mn-ea"/>
                  <a:cs typeface="+mn-cs"/>
                </a:rPr>
                <a:t>█(</a:t>
              </a:r>
              <a:r>
                <a:rPr lang="es-ES" sz="1400" b="0" i="0">
                  <a:solidFill>
                    <a:schemeClr val="tx1"/>
                  </a:solidFill>
                  <a:effectLst/>
                  <a:latin typeface="Cambria Math" panose="02040503050406030204" pitchFamily="18" charset="0"/>
                  <a:ea typeface="+mn-ea"/>
                  <a:cs typeface="+mn-cs"/>
                </a:rPr>
                <a:t>𝐶𝐼</a:t>
              </a:r>
              <a:r>
                <a:rPr lang="es-ES" sz="1400" b="0" i="0" baseline="-25000">
                  <a:solidFill>
                    <a:schemeClr val="tx1"/>
                  </a:solidFill>
                  <a:effectLst/>
                  <a:latin typeface="Cambria Math" panose="02040503050406030204" pitchFamily="18" charset="0"/>
                  <a:ea typeface="+mn-ea"/>
                  <a:cs typeface="+mn-cs"/>
                </a:rPr>
                <a:t>𝑖𝑗</a:t>
              </a:r>
              <a:r>
                <a:rPr lang="es-ES" sz="1400" b="0" i="0">
                  <a:solidFill>
                    <a:schemeClr val="tx1"/>
                  </a:solidFill>
                  <a:effectLst/>
                  <a:latin typeface="Cambria Math" panose="02040503050406030204" pitchFamily="18" charset="0"/>
                  <a:ea typeface="+mn-ea"/>
                  <a:cs typeface="+mn-cs"/>
                </a:rPr>
                <a:t>+𝐶𝐹𝑖𝑗+𝐹𝐵𝐾𝐹𝑖𝑗 ±𝑉𝐸𝑖𝑗@ )</a:t>
              </a:r>
              <a:r>
                <a:rPr lang="es-ES" sz="1400" i="1">
                  <a:latin typeface="+mn-lt"/>
                  <a:cs typeface="Arial" panose="020B0604020202020204" pitchFamily="34" charset="0"/>
                </a:rPr>
                <a:t> x</a:t>
              </a:r>
              <a:r>
                <a:rPr lang="es-ES" sz="1400" i="1" baseline="0">
                  <a:latin typeface="+mn-lt"/>
                  <a:cs typeface="Arial" panose="020B0604020202020204" pitchFamily="34" charset="0"/>
                </a:rPr>
                <a:t> 100</a:t>
              </a:r>
              <a:endParaRPr lang="es-ES" sz="1400" i="1">
                <a:latin typeface="+mn-lt"/>
                <a:cs typeface="Arial" panose="020B0604020202020204" pitchFamily="34" charset="0"/>
              </a:endParaRPr>
            </a:p>
          </xdr:txBody>
        </xdr:sp>
      </mc:Fallback>
    </mc:AlternateContent>
    <xdr:clientData/>
  </xdr:oneCellAnchor>
  <xdr:oneCellAnchor>
    <xdr:from>
      <xdr:col>42</xdr:col>
      <xdr:colOff>21166</xdr:colOff>
      <xdr:row>182</xdr:row>
      <xdr:rowOff>825500</xdr:rowOff>
    </xdr:from>
    <xdr:ext cx="2495720" cy="493569"/>
    <mc:AlternateContent xmlns:mc="http://schemas.openxmlformats.org/markup-compatibility/2006" xmlns:a14="http://schemas.microsoft.com/office/drawing/2010/main">
      <mc:Choice Requires="a14">
        <xdr:sp macro="" textlink="">
          <xdr:nvSpPr>
            <xdr:cNvPr id="118" name="CuadroTexto 117">
              <a:extLst>
                <a:ext uri="{FF2B5EF4-FFF2-40B4-BE49-F238E27FC236}">
                  <a16:creationId xmlns:a16="http://schemas.microsoft.com/office/drawing/2014/main" id="{00000000-0008-0000-0400-000076000000}"/>
                </a:ext>
              </a:extLst>
            </xdr:cNvPr>
            <xdr:cNvSpPr txBox="1"/>
          </xdr:nvSpPr>
          <xdr:spPr>
            <a:xfrm>
              <a:off x="31263166" y="120202325"/>
              <a:ext cx="2495720" cy="49356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ctr">
              <a:noAutofit/>
            </a:bodyPr>
            <a:lstStyle/>
            <a:p>
              <a:pPr algn="ctr"/>
              <a:r>
                <a:rPr lang="es-ES" sz="1400" i="1">
                  <a:latin typeface="+mn-lt"/>
                  <a:cs typeface="Arial" panose="020B0604020202020204" pitchFamily="34" charset="0"/>
                </a:rPr>
                <a:t>PMI</a:t>
              </a:r>
              <a:r>
                <a:rPr lang="es-ES" sz="1400" i="1" baseline="-25000">
                  <a:latin typeface="+mn-lt"/>
                  <a:cs typeface="Arial" panose="020B0604020202020204" pitchFamily="34" charset="0"/>
                </a:rPr>
                <a:t>ij</a:t>
              </a:r>
              <a14:m>
                <m:oMath xmlns:m="http://schemas.openxmlformats.org/officeDocument/2006/math">
                  <m:r>
                    <a:rPr lang="es-ES" sz="1400" i="1">
                      <a:latin typeface="Cambria Math" panose="02040503050406030204" pitchFamily="18" charset="0"/>
                    </a:rPr>
                    <m:t>=</m:t>
                  </m:r>
                  <m:f>
                    <m:fPr>
                      <m:ctrlPr>
                        <a:rPr lang="es-ES" sz="1400" i="1">
                          <a:latin typeface="Cambria Math" panose="02040503050406030204" pitchFamily="18" charset="0"/>
                        </a:rPr>
                      </m:ctrlPr>
                    </m:fPr>
                    <m:num>
                      <m:r>
                        <a:rPr lang="es-ES" sz="1400" b="0" i="1">
                          <a:latin typeface="Cambria Math" panose="02040503050406030204" pitchFamily="18" charset="0"/>
                        </a:rPr>
                        <m:t> </m:t>
                      </m:r>
                      <m:r>
                        <a:rPr lang="es-ES" sz="1400" b="0" i="1">
                          <a:latin typeface="Cambria Math" panose="02040503050406030204" pitchFamily="18" charset="0"/>
                        </a:rPr>
                        <m:t>𝑄𝑖𝑗</m:t>
                      </m:r>
                      <m:r>
                        <a:rPr lang="es-ES" sz="1400" b="0" i="1" baseline="-25000">
                          <a:latin typeface="Cambria Math" panose="02040503050406030204" pitchFamily="18" charset="0"/>
                        </a:rPr>
                        <m:t>  </m:t>
                      </m:r>
                    </m:num>
                    <m:den>
                      <m:eqArr>
                        <m:eqArrPr>
                          <m:ctrlPr>
                            <a:rPr lang="es-ES" sz="1400" b="0" i="1">
                              <a:solidFill>
                                <a:schemeClr val="tx1"/>
                              </a:solidFill>
                              <a:effectLst/>
                              <a:latin typeface="Cambria Math" panose="02040503050406030204" pitchFamily="18" charset="0"/>
                              <a:ea typeface="+mn-ea"/>
                              <a:cs typeface="+mn-cs"/>
                            </a:rPr>
                          </m:ctrlPr>
                        </m:eqArrPr>
                        <m:e>
                          <m:r>
                            <a:rPr lang="es-ES" sz="1400" b="0" i="1">
                              <a:solidFill>
                                <a:schemeClr val="tx1"/>
                              </a:solidFill>
                              <a:effectLst/>
                              <a:latin typeface="Cambria Math" panose="02040503050406030204" pitchFamily="18" charset="0"/>
                              <a:ea typeface="+mn-ea"/>
                              <a:cs typeface="+mn-cs"/>
                            </a:rPr>
                            <m:t>𝐶𝐼</m:t>
                          </m:r>
                          <m:r>
                            <a:rPr lang="es-ES" sz="1400" b="0" i="1" baseline="-25000">
                              <a:solidFill>
                                <a:schemeClr val="tx1"/>
                              </a:solidFill>
                              <a:effectLst/>
                              <a:latin typeface="Cambria Math" panose="02040503050406030204" pitchFamily="18" charset="0"/>
                              <a:ea typeface="+mn-ea"/>
                              <a:cs typeface="+mn-cs"/>
                            </a:rPr>
                            <m:t>𝑖𝑗</m:t>
                          </m:r>
                          <m:r>
                            <a:rPr lang="es-ES" sz="1400" b="0" i="1">
                              <a:solidFill>
                                <a:schemeClr val="tx1"/>
                              </a:solidFill>
                              <a:effectLst/>
                              <a:latin typeface="Cambria Math" panose="02040503050406030204" pitchFamily="18" charset="0"/>
                              <a:ea typeface="+mn-ea"/>
                              <a:cs typeface="+mn-cs"/>
                            </a:rPr>
                            <m:t>+</m:t>
                          </m:r>
                          <m:r>
                            <a:rPr lang="es-ES" sz="1400" b="0" i="1">
                              <a:solidFill>
                                <a:schemeClr val="tx1"/>
                              </a:solidFill>
                              <a:effectLst/>
                              <a:latin typeface="Cambria Math" panose="02040503050406030204" pitchFamily="18" charset="0"/>
                              <a:ea typeface="+mn-ea"/>
                              <a:cs typeface="+mn-cs"/>
                            </a:rPr>
                            <m:t>𝐶𝐹𝑖𝑗</m:t>
                          </m:r>
                          <m:r>
                            <a:rPr lang="es-ES" sz="1400" b="0" i="1">
                              <a:solidFill>
                                <a:schemeClr val="tx1"/>
                              </a:solidFill>
                              <a:effectLst/>
                              <a:latin typeface="Cambria Math" panose="02040503050406030204" pitchFamily="18" charset="0"/>
                              <a:ea typeface="+mn-ea"/>
                              <a:cs typeface="+mn-cs"/>
                            </a:rPr>
                            <m:t>+</m:t>
                          </m:r>
                          <m:r>
                            <a:rPr lang="es-ES" sz="1400" b="0" i="1">
                              <a:solidFill>
                                <a:schemeClr val="tx1"/>
                              </a:solidFill>
                              <a:effectLst/>
                              <a:latin typeface="Cambria Math" panose="02040503050406030204" pitchFamily="18" charset="0"/>
                              <a:ea typeface="+mn-ea"/>
                              <a:cs typeface="+mn-cs"/>
                            </a:rPr>
                            <m:t>𝐹𝐵𝐾𝐹𝑖𝑗</m:t>
                          </m:r>
                          <m:r>
                            <a:rPr lang="es-ES" sz="1400" b="0" i="1">
                              <a:solidFill>
                                <a:schemeClr val="tx1"/>
                              </a:solidFill>
                              <a:effectLst/>
                              <a:latin typeface="Cambria Math" panose="02040503050406030204" pitchFamily="18" charset="0"/>
                              <a:ea typeface="+mn-ea"/>
                              <a:cs typeface="+mn-cs"/>
                            </a:rPr>
                            <m:t> ±</m:t>
                          </m:r>
                          <m:r>
                            <a:rPr lang="es-ES" sz="1400" b="0" i="1">
                              <a:solidFill>
                                <a:schemeClr val="tx1"/>
                              </a:solidFill>
                              <a:effectLst/>
                              <a:latin typeface="Cambria Math" panose="02040503050406030204" pitchFamily="18" charset="0"/>
                              <a:ea typeface="+mn-ea"/>
                              <a:cs typeface="+mn-cs"/>
                            </a:rPr>
                            <m:t>𝑉𝐸𝑖𝑗</m:t>
                          </m:r>
                        </m:e>
                        <m:e>
                          <m:r>
                            <a:rPr lang="es-ES" sz="1400" b="0" i="1">
                              <a:solidFill>
                                <a:schemeClr val="tx1"/>
                              </a:solidFill>
                              <a:effectLst/>
                              <a:latin typeface="Cambria Math" panose="02040503050406030204" pitchFamily="18" charset="0"/>
                              <a:ea typeface="+mn-ea"/>
                              <a:cs typeface="+mn-cs"/>
                            </a:rPr>
                            <m:t> </m:t>
                          </m:r>
                        </m:e>
                      </m:eqArr>
                    </m:den>
                  </m:f>
                </m:oMath>
              </a14:m>
              <a:r>
                <a:rPr lang="es-ES" sz="1400" i="1">
                  <a:latin typeface="+mn-lt"/>
                  <a:cs typeface="Arial" panose="020B0604020202020204" pitchFamily="34" charset="0"/>
                </a:rPr>
                <a:t> x</a:t>
              </a:r>
              <a:r>
                <a:rPr lang="es-ES" sz="1400" i="1" baseline="0">
                  <a:latin typeface="+mn-lt"/>
                  <a:cs typeface="Arial" panose="020B0604020202020204" pitchFamily="34" charset="0"/>
                </a:rPr>
                <a:t> 100</a:t>
              </a:r>
              <a:endParaRPr lang="es-ES" sz="1400" i="1">
                <a:latin typeface="+mn-lt"/>
                <a:cs typeface="Arial" panose="020B0604020202020204" pitchFamily="34" charset="0"/>
              </a:endParaRPr>
            </a:p>
          </xdr:txBody>
        </xdr:sp>
      </mc:Choice>
      <mc:Fallback xmlns="">
        <xdr:sp macro="" textlink="">
          <xdr:nvSpPr>
            <xdr:cNvPr id="118" name="CuadroTexto 117">
              <a:extLst>
                <a:ext uri="{FF2B5EF4-FFF2-40B4-BE49-F238E27FC236}">
                  <a16:creationId xmlns:a16="http://schemas.microsoft.com/office/drawing/2014/main" xmlns="" xmlns:a14="http://schemas.microsoft.com/office/drawing/2010/main" id="{00000000-0008-0000-0100-000026000000}"/>
                </a:ext>
              </a:extLst>
            </xdr:cNvPr>
            <xdr:cNvSpPr txBox="1"/>
          </xdr:nvSpPr>
          <xdr:spPr>
            <a:xfrm>
              <a:off x="31263166" y="120202325"/>
              <a:ext cx="2495720" cy="49356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ctr">
              <a:noAutofit/>
            </a:bodyPr>
            <a:lstStyle/>
            <a:p>
              <a:pPr algn="ctr"/>
              <a:r>
                <a:rPr lang="es-ES" sz="1400" i="1">
                  <a:latin typeface="+mn-lt"/>
                  <a:cs typeface="Arial" panose="020B0604020202020204" pitchFamily="34" charset="0"/>
                </a:rPr>
                <a:t>PMI</a:t>
              </a:r>
              <a:r>
                <a:rPr lang="es-ES" sz="1400" i="1" baseline="-25000">
                  <a:latin typeface="+mn-lt"/>
                  <a:cs typeface="Arial" panose="020B0604020202020204" pitchFamily="34" charset="0"/>
                </a:rPr>
                <a:t>ij</a:t>
              </a:r>
              <a:r>
                <a:rPr lang="es-ES" sz="1400" i="0">
                  <a:latin typeface="Cambria Math" panose="02040503050406030204" pitchFamily="18" charset="0"/>
                </a:rPr>
                <a:t>=(</a:t>
              </a:r>
              <a:r>
                <a:rPr lang="es-ES" sz="1400" b="0" i="0">
                  <a:latin typeface="Cambria Math" panose="02040503050406030204" pitchFamily="18" charset="0"/>
                </a:rPr>
                <a:t> 𝑄𝑖𝑗</a:t>
              </a:r>
              <a:r>
                <a:rPr lang="es-ES" sz="1400" b="0" i="0" baseline="-25000">
                  <a:latin typeface="Cambria Math" panose="02040503050406030204" pitchFamily="18" charset="0"/>
                </a:rPr>
                <a:t>  )/</a:t>
              </a:r>
              <a:r>
                <a:rPr lang="es-ES" sz="1400" b="0" i="0" baseline="-25000">
                  <a:solidFill>
                    <a:schemeClr val="tx1"/>
                  </a:solidFill>
                  <a:effectLst/>
                  <a:latin typeface="Cambria Math" panose="02040503050406030204" pitchFamily="18" charset="0"/>
                  <a:ea typeface="+mn-ea"/>
                  <a:cs typeface="+mn-cs"/>
                </a:rPr>
                <a:t>█(</a:t>
              </a:r>
              <a:r>
                <a:rPr lang="es-ES" sz="1400" b="0" i="0">
                  <a:solidFill>
                    <a:schemeClr val="tx1"/>
                  </a:solidFill>
                  <a:effectLst/>
                  <a:latin typeface="Cambria Math" panose="02040503050406030204" pitchFamily="18" charset="0"/>
                  <a:ea typeface="+mn-ea"/>
                  <a:cs typeface="+mn-cs"/>
                </a:rPr>
                <a:t>𝐶𝐼</a:t>
              </a:r>
              <a:r>
                <a:rPr lang="es-ES" sz="1400" b="0" i="0" baseline="-25000">
                  <a:solidFill>
                    <a:schemeClr val="tx1"/>
                  </a:solidFill>
                  <a:effectLst/>
                  <a:latin typeface="Cambria Math" panose="02040503050406030204" pitchFamily="18" charset="0"/>
                  <a:ea typeface="+mn-ea"/>
                  <a:cs typeface="+mn-cs"/>
                </a:rPr>
                <a:t>𝑖𝑗</a:t>
              </a:r>
              <a:r>
                <a:rPr lang="es-ES" sz="1400" b="0" i="0">
                  <a:solidFill>
                    <a:schemeClr val="tx1"/>
                  </a:solidFill>
                  <a:effectLst/>
                  <a:latin typeface="Cambria Math" panose="02040503050406030204" pitchFamily="18" charset="0"/>
                  <a:ea typeface="+mn-ea"/>
                  <a:cs typeface="+mn-cs"/>
                </a:rPr>
                <a:t>+𝐶𝐹𝑖𝑗+𝐹𝐵𝐾𝐹𝑖𝑗 ±𝑉𝐸𝑖𝑗@ )</a:t>
              </a:r>
              <a:r>
                <a:rPr lang="es-ES" sz="1400" i="1">
                  <a:latin typeface="+mn-lt"/>
                  <a:cs typeface="Arial" panose="020B0604020202020204" pitchFamily="34" charset="0"/>
                </a:rPr>
                <a:t> x</a:t>
              </a:r>
              <a:r>
                <a:rPr lang="es-ES" sz="1400" i="1" baseline="0">
                  <a:latin typeface="+mn-lt"/>
                  <a:cs typeface="Arial" panose="020B0604020202020204" pitchFamily="34" charset="0"/>
                </a:rPr>
                <a:t> 100</a:t>
              </a:r>
              <a:endParaRPr lang="es-ES" sz="1400" i="1">
                <a:latin typeface="+mn-lt"/>
                <a:cs typeface="Arial" panose="020B0604020202020204" pitchFamily="34" charset="0"/>
              </a:endParaRPr>
            </a:p>
          </xdr:txBody>
        </xdr:sp>
      </mc:Fallback>
    </mc:AlternateContent>
    <xdr:clientData/>
  </xdr:oneCellAnchor>
  <xdr:oneCellAnchor>
    <xdr:from>
      <xdr:col>42</xdr:col>
      <xdr:colOff>31749</xdr:colOff>
      <xdr:row>183</xdr:row>
      <xdr:rowOff>941912</xdr:rowOff>
    </xdr:from>
    <xdr:ext cx="2495720" cy="493569"/>
    <mc:AlternateContent xmlns:mc="http://schemas.openxmlformats.org/markup-compatibility/2006" xmlns:a14="http://schemas.microsoft.com/office/drawing/2010/main">
      <mc:Choice Requires="a14">
        <xdr:sp macro="" textlink="">
          <xdr:nvSpPr>
            <xdr:cNvPr id="119" name="CuadroTexto 118">
              <a:extLst>
                <a:ext uri="{FF2B5EF4-FFF2-40B4-BE49-F238E27FC236}">
                  <a16:creationId xmlns:a16="http://schemas.microsoft.com/office/drawing/2014/main" id="{00000000-0008-0000-0400-000077000000}"/>
                </a:ext>
              </a:extLst>
            </xdr:cNvPr>
            <xdr:cNvSpPr txBox="1"/>
          </xdr:nvSpPr>
          <xdr:spPr>
            <a:xfrm>
              <a:off x="31273749" y="124890737"/>
              <a:ext cx="2495720" cy="49356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ctr">
              <a:noAutofit/>
            </a:bodyPr>
            <a:lstStyle/>
            <a:p>
              <a:pPr algn="ctr"/>
              <a:r>
                <a:rPr lang="es-ES" sz="1400" i="1">
                  <a:latin typeface="+mn-lt"/>
                  <a:cs typeface="Arial" panose="020B0604020202020204" pitchFamily="34" charset="0"/>
                </a:rPr>
                <a:t>PMI</a:t>
              </a:r>
              <a:r>
                <a:rPr lang="es-ES" sz="1400" i="1" baseline="-25000">
                  <a:latin typeface="+mn-lt"/>
                  <a:cs typeface="Arial" panose="020B0604020202020204" pitchFamily="34" charset="0"/>
                </a:rPr>
                <a:t>ij</a:t>
              </a:r>
              <a14:m>
                <m:oMath xmlns:m="http://schemas.openxmlformats.org/officeDocument/2006/math">
                  <m:r>
                    <a:rPr lang="es-ES" sz="1400" i="1">
                      <a:latin typeface="Cambria Math" panose="02040503050406030204" pitchFamily="18" charset="0"/>
                    </a:rPr>
                    <m:t>=</m:t>
                  </m:r>
                  <m:f>
                    <m:fPr>
                      <m:ctrlPr>
                        <a:rPr lang="es-ES" sz="1400" i="1">
                          <a:latin typeface="Cambria Math" panose="02040503050406030204" pitchFamily="18" charset="0"/>
                        </a:rPr>
                      </m:ctrlPr>
                    </m:fPr>
                    <m:num>
                      <m:r>
                        <a:rPr lang="es-ES" sz="1400" b="0" i="1">
                          <a:latin typeface="Cambria Math" panose="02040503050406030204" pitchFamily="18" charset="0"/>
                        </a:rPr>
                        <m:t> </m:t>
                      </m:r>
                      <m:r>
                        <a:rPr lang="es-ES" sz="1400" b="0" i="1">
                          <a:latin typeface="Cambria Math" panose="02040503050406030204" pitchFamily="18" charset="0"/>
                        </a:rPr>
                        <m:t>𝑄𝑖𝑗</m:t>
                      </m:r>
                      <m:r>
                        <a:rPr lang="es-ES" sz="1400" b="0" i="1" baseline="-25000">
                          <a:latin typeface="Cambria Math" panose="02040503050406030204" pitchFamily="18" charset="0"/>
                        </a:rPr>
                        <m:t>  </m:t>
                      </m:r>
                    </m:num>
                    <m:den>
                      <m:eqArr>
                        <m:eqArrPr>
                          <m:ctrlPr>
                            <a:rPr lang="es-ES" sz="1400" b="0" i="1">
                              <a:solidFill>
                                <a:schemeClr val="tx1"/>
                              </a:solidFill>
                              <a:effectLst/>
                              <a:latin typeface="Cambria Math" panose="02040503050406030204" pitchFamily="18" charset="0"/>
                              <a:ea typeface="+mn-ea"/>
                              <a:cs typeface="+mn-cs"/>
                            </a:rPr>
                          </m:ctrlPr>
                        </m:eqArrPr>
                        <m:e>
                          <m:r>
                            <a:rPr lang="es-ES" sz="1400" b="0" i="1">
                              <a:solidFill>
                                <a:schemeClr val="tx1"/>
                              </a:solidFill>
                              <a:effectLst/>
                              <a:latin typeface="Cambria Math" panose="02040503050406030204" pitchFamily="18" charset="0"/>
                              <a:ea typeface="+mn-ea"/>
                              <a:cs typeface="+mn-cs"/>
                            </a:rPr>
                            <m:t>𝐶𝐼</m:t>
                          </m:r>
                          <m:r>
                            <a:rPr lang="es-ES" sz="1400" b="0" i="1" baseline="-25000">
                              <a:solidFill>
                                <a:schemeClr val="tx1"/>
                              </a:solidFill>
                              <a:effectLst/>
                              <a:latin typeface="Cambria Math" panose="02040503050406030204" pitchFamily="18" charset="0"/>
                              <a:ea typeface="+mn-ea"/>
                              <a:cs typeface="+mn-cs"/>
                            </a:rPr>
                            <m:t>𝑖𝑗</m:t>
                          </m:r>
                          <m:r>
                            <a:rPr lang="es-ES" sz="1400" b="0" i="1">
                              <a:solidFill>
                                <a:schemeClr val="tx1"/>
                              </a:solidFill>
                              <a:effectLst/>
                              <a:latin typeface="Cambria Math" panose="02040503050406030204" pitchFamily="18" charset="0"/>
                              <a:ea typeface="+mn-ea"/>
                              <a:cs typeface="+mn-cs"/>
                            </a:rPr>
                            <m:t>+</m:t>
                          </m:r>
                          <m:r>
                            <a:rPr lang="es-ES" sz="1400" b="0" i="1">
                              <a:solidFill>
                                <a:schemeClr val="tx1"/>
                              </a:solidFill>
                              <a:effectLst/>
                              <a:latin typeface="Cambria Math" panose="02040503050406030204" pitchFamily="18" charset="0"/>
                              <a:ea typeface="+mn-ea"/>
                              <a:cs typeface="+mn-cs"/>
                            </a:rPr>
                            <m:t>𝐶𝐹𝑖𝑗</m:t>
                          </m:r>
                          <m:r>
                            <a:rPr lang="es-ES" sz="1400" b="0" i="1">
                              <a:solidFill>
                                <a:schemeClr val="tx1"/>
                              </a:solidFill>
                              <a:effectLst/>
                              <a:latin typeface="Cambria Math" panose="02040503050406030204" pitchFamily="18" charset="0"/>
                              <a:ea typeface="+mn-ea"/>
                              <a:cs typeface="+mn-cs"/>
                            </a:rPr>
                            <m:t>+</m:t>
                          </m:r>
                          <m:r>
                            <a:rPr lang="es-ES" sz="1400" b="0" i="1">
                              <a:solidFill>
                                <a:schemeClr val="tx1"/>
                              </a:solidFill>
                              <a:effectLst/>
                              <a:latin typeface="Cambria Math" panose="02040503050406030204" pitchFamily="18" charset="0"/>
                              <a:ea typeface="+mn-ea"/>
                              <a:cs typeface="+mn-cs"/>
                            </a:rPr>
                            <m:t>𝐹𝐵𝐾𝐹𝑖𝑗</m:t>
                          </m:r>
                          <m:r>
                            <a:rPr lang="es-ES" sz="1400" b="0" i="1">
                              <a:solidFill>
                                <a:schemeClr val="tx1"/>
                              </a:solidFill>
                              <a:effectLst/>
                              <a:latin typeface="Cambria Math" panose="02040503050406030204" pitchFamily="18" charset="0"/>
                              <a:ea typeface="+mn-ea"/>
                              <a:cs typeface="+mn-cs"/>
                            </a:rPr>
                            <m:t> ±</m:t>
                          </m:r>
                          <m:r>
                            <a:rPr lang="es-ES" sz="1400" b="0" i="1">
                              <a:solidFill>
                                <a:schemeClr val="tx1"/>
                              </a:solidFill>
                              <a:effectLst/>
                              <a:latin typeface="Cambria Math" panose="02040503050406030204" pitchFamily="18" charset="0"/>
                              <a:ea typeface="+mn-ea"/>
                              <a:cs typeface="+mn-cs"/>
                            </a:rPr>
                            <m:t>𝑉𝐸𝑖𝑗</m:t>
                          </m:r>
                        </m:e>
                        <m:e>
                          <m:r>
                            <a:rPr lang="es-ES" sz="1400" b="0" i="1">
                              <a:solidFill>
                                <a:schemeClr val="tx1"/>
                              </a:solidFill>
                              <a:effectLst/>
                              <a:latin typeface="Cambria Math" panose="02040503050406030204" pitchFamily="18" charset="0"/>
                              <a:ea typeface="+mn-ea"/>
                              <a:cs typeface="+mn-cs"/>
                            </a:rPr>
                            <m:t> </m:t>
                          </m:r>
                        </m:e>
                      </m:eqArr>
                    </m:den>
                  </m:f>
                </m:oMath>
              </a14:m>
              <a:r>
                <a:rPr lang="es-ES" sz="1400" i="1">
                  <a:latin typeface="+mn-lt"/>
                  <a:cs typeface="Arial" panose="020B0604020202020204" pitchFamily="34" charset="0"/>
                </a:rPr>
                <a:t> x</a:t>
              </a:r>
              <a:r>
                <a:rPr lang="es-ES" sz="1400" i="1" baseline="0">
                  <a:latin typeface="+mn-lt"/>
                  <a:cs typeface="Arial" panose="020B0604020202020204" pitchFamily="34" charset="0"/>
                </a:rPr>
                <a:t> 100</a:t>
              </a:r>
              <a:endParaRPr lang="es-ES" sz="1400" i="1">
                <a:latin typeface="+mn-lt"/>
                <a:cs typeface="Arial" panose="020B0604020202020204" pitchFamily="34" charset="0"/>
              </a:endParaRPr>
            </a:p>
          </xdr:txBody>
        </xdr:sp>
      </mc:Choice>
      <mc:Fallback xmlns="">
        <xdr:sp macro="" textlink="">
          <xdr:nvSpPr>
            <xdr:cNvPr id="119" name="CuadroTexto 118">
              <a:extLst>
                <a:ext uri="{FF2B5EF4-FFF2-40B4-BE49-F238E27FC236}">
                  <a16:creationId xmlns:a16="http://schemas.microsoft.com/office/drawing/2014/main" xmlns="" xmlns:a14="http://schemas.microsoft.com/office/drawing/2010/main" id="{00000000-0008-0000-0100-000027000000}"/>
                </a:ext>
              </a:extLst>
            </xdr:cNvPr>
            <xdr:cNvSpPr txBox="1"/>
          </xdr:nvSpPr>
          <xdr:spPr>
            <a:xfrm>
              <a:off x="31273749" y="124890737"/>
              <a:ext cx="2495720" cy="49356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ctr">
              <a:noAutofit/>
            </a:bodyPr>
            <a:lstStyle/>
            <a:p>
              <a:pPr algn="ctr"/>
              <a:r>
                <a:rPr lang="es-ES" sz="1400" i="1">
                  <a:latin typeface="+mn-lt"/>
                  <a:cs typeface="Arial" panose="020B0604020202020204" pitchFamily="34" charset="0"/>
                </a:rPr>
                <a:t>PMI</a:t>
              </a:r>
              <a:r>
                <a:rPr lang="es-ES" sz="1400" i="1" baseline="-25000">
                  <a:latin typeface="+mn-lt"/>
                  <a:cs typeface="Arial" panose="020B0604020202020204" pitchFamily="34" charset="0"/>
                </a:rPr>
                <a:t>ij</a:t>
              </a:r>
              <a:r>
                <a:rPr lang="es-ES" sz="1400" i="0">
                  <a:latin typeface="Cambria Math" panose="02040503050406030204" pitchFamily="18" charset="0"/>
                </a:rPr>
                <a:t>=(</a:t>
              </a:r>
              <a:r>
                <a:rPr lang="es-ES" sz="1400" b="0" i="0">
                  <a:latin typeface="Cambria Math" panose="02040503050406030204" pitchFamily="18" charset="0"/>
                </a:rPr>
                <a:t> 𝑄𝑖𝑗</a:t>
              </a:r>
              <a:r>
                <a:rPr lang="es-ES" sz="1400" b="0" i="0" baseline="-25000">
                  <a:latin typeface="Cambria Math" panose="02040503050406030204" pitchFamily="18" charset="0"/>
                </a:rPr>
                <a:t>  )/</a:t>
              </a:r>
              <a:r>
                <a:rPr lang="es-ES" sz="1400" b="0" i="0" baseline="-25000">
                  <a:solidFill>
                    <a:schemeClr val="tx1"/>
                  </a:solidFill>
                  <a:effectLst/>
                  <a:latin typeface="Cambria Math" panose="02040503050406030204" pitchFamily="18" charset="0"/>
                  <a:ea typeface="+mn-ea"/>
                  <a:cs typeface="+mn-cs"/>
                </a:rPr>
                <a:t>█(</a:t>
              </a:r>
              <a:r>
                <a:rPr lang="es-ES" sz="1400" b="0" i="0">
                  <a:solidFill>
                    <a:schemeClr val="tx1"/>
                  </a:solidFill>
                  <a:effectLst/>
                  <a:latin typeface="Cambria Math" panose="02040503050406030204" pitchFamily="18" charset="0"/>
                  <a:ea typeface="+mn-ea"/>
                  <a:cs typeface="+mn-cs"/>
                </a:rPr>
                <a:t>𝐶𝐼</a:t>
              </a:r>
              <a:r>
                <a:rPr lang="es-ES" sz="1400" b="0" i="0" baseline="-25000">
                  <a:solidFill>
                    <a:schemeClr val="tx1"/>
                  </a:solidFill>
                  <a:effectLst/>
                  <a:latin typeface="Cambria Math" panose="02040503050406030204" pitchFamily="18" charset="0"/>
                  <a:ea typeface="+mn-ea"/>
                  <a:cs typeface="+mn-cs"/>
                </a:rPr>
                <a:t>𝑖𝑗</a:t>
              </a:r>
              <a:r>
                <a:rPr lang="es-ES" sz="1400" b="0" i="0">
                  <a:solidFill>
                    <a:schemeClr val="tx1"/>
                  </a:solidFill>
                  <a:effectLst/>
                  <a:latin typeface="Cambria Math" panose="02040503050406030204" pitchFamily="18" charset="0"/>
                  <a:ea typeface="+mn-ea"/>
                  <a:cs typeface="+mn-cs"/>
                </a:rPr>
                <a:t>+𝐶𝐹𝑖𝑗+𝐹𝐵𝐾𝐹𝑖𝑗 ±𝑉𝐸𝑖𝑗@ )</a:t>
              </a:r>
              <a:r>
                <a:rPr lang="es-ES" sz="1400" i="1">
                  <a:latin typeface="+mn-lt"/>
                  <a:cs typeface="Arial" panose="020B0604020202020204" pitchFamily="34" charset="0"/>
                </a:rPr>
                <a:t> x</a:t>
              </a:r>
              <a:r>
                <a:rPr lang="es-ES" sz="1400" i="1" baseline="0">
                  <a:latin typeface="+mn-lt"/>
                  <a:cs typeface="Arial" panose="020B0604020202020204" pitchFamily="34" charset="0"/>
                </a:rPr>
                <a:t> 100</a:t>
              </a:r>
              <a:endParaRPr lang="es-ES" sz="1400" i="1">
                <a:latin typeface="+mn-lt"/>
                <a:cs typeface="Arial" panose="020B0604020202020204" pitchFamily="34" charset="0"/>
              </a:endParaRPr>
            </a:p>
          </xdr:txBody>
        </xdr:sp>
      </mc:Fallback>
    </mc:AlternateContent>
    <xdr:clientData/>
  </xdr:oneCellAnchor>
  <xdr:oneCellAnchor>
    <xdr:from>
      <xdr:col>42</xdr:col>
      <xdr:colOff>42332</xdr:colOff>
      <xdr:row>184</xdr:row>
      <xdr:rowOff>963077</xdr:rowOff>
    </xdr:from>
    <xdr:ext cx="2495720" cy="493569"/>
    <mc:AlternateContent xmlns:mc="http://schemas.openxmlformats.org/markup-compatibility/2006" xmlns:a14="http://schemas.microsoft.com/office/drawing/2010/main">
      <mc:Choice Requires="a14">
        <xdr:sp macro="" textlink="">
          <xdr:nvSpPr>
            <xdr:cNvPr id="120" name="CuadroTexto 119">
              <a:extLst>
                <a:ext uri="{FF2B5EF4-FFF2-40B4-BE49-F238E27FC236}">
                  <a16:creationId xmlns:a16="http://schemas.microsoft.com/office/drawing/2014/main" id="{00000000-0008-0000-0400-000078000000}"/>
                </a:ext>
              </a:extLst>
            </xdr:cNvPr>
            <xdr:cNvSpPr txBox="1"/>
          </xdr:nvSpPr>
          <xdr:spPr>
            <a:xfrm>
              <a:off x="31284332" y="129483902"/>
              <a:ext cx="2495720" cy="49356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ctr">
              <a:noAutofit/>
            </a:bodyPr>
            <a:lstStyle/>
            <a:p>
              <a:pPr algn="ctr"/>
              <a:r>
                <a:rPr lang="es-ES" sz="1400" i="1">
                  <a:latin typeface="+mn-lt"/>
                  <a:cs typeface="Arial" panose="020B0604020202020204" pitchFamily="34" charset="0"/>
                </a:rPr>
                <a:t>PMI</a:t>
              </a:r>
              <a:r>
                <a:rPr lang="es-ES" sz="1400" i="1" baseline="-25000">
                  <a:latin typeface="+mn-lt"/>
                  <a:cs typeface="Arial" panose="020B0604020202020204" pitchFamily="34" charset="0"/>
                </a:rPr>
                <a:t>ij</a:t>
              </a:r>
              <a14:m>
                <m:oMath xmlns:m="http://schemas.openxmlformats.org/officeDocument/2006/math">
                  <m:r>
                    <a:rPr lang="es-ES" sz="1400" i="1">
                      <a:latin typeface="Cambria Math" panose="02040503050406030204" pitchFamily="18" charset="0"/>
                    </a:rPr>
                    <m:t>=</m:t>
                  </m:r>
                  <m:f>
                    <m:fPr>
                      <m:ctrlPr>
                        <a:rPr lang="es-ES" sz="1400" i="1">
                          <a:latin typeface="Cambria Math" panose="02040503050406030204" pitchFamily="18" charset="0"/>
                        </a:rPr>
                      </m:ctrlPr>
                    </m:fPr>
                    <m:num>
                      <m:r>
                        <a:rPr lang="es-ES" sz="1400" b="0" i="1">
                          <a:latin typeface="Cambria Math" panose="02040503050406030204" pitchFamily="18" charset="0"/>
                        </a:rPr>
                        <m:t> </m:t>
                      </m:r>
                      <m:r>
                        <a:rPr lang="es-ES" sz="1400" b="0" i="1">
                          <a:latin typeface="Cambria Math" panose="02040503050406030204" pitchFamily="18" charset="0"/>
                        </a:rPr>
                        <m:t>𝑄𝑖𝑗</m:t>
                      </m:r>
                      <m:r>
                        <a:rPr lang="es-ES" sz="1400" b="0" i="1" baseline="-25000">
                          <a:latin typeface="Cambria Math" panose="02040503050406030204" pitchFamily="18" charset="0"/>
                        </a:rPr>
                        <m:t>  </m:t>
                      </m:r>
                    </m:num>
                    <m:den>
                      <m:eqArr>
                        <m:eqArrPr>
                          <m:ctrlPr>
                            <a:rPr lang="es-ES" sz="1400" b="0" i="1">
                              <a:solidFill>
                                <a:schemeClr val="tx1"/>
                              </a:solidFill>
                              <a:effectLst/>
                              <a:latin typeface="Cambria Math" panose="02040503050406030204" pitchFamily="18" charset="0"/>
                              <a:ea typeface="+mn-ea"/>
                              <a:cs typeface="+mn-cs"/>
                            </a:rPr>
                          </m:ctrlPr>
                        </m:eqArrPr>
                        <m:e>
                          <m:r>
                            <a:rPr lang="es-ES" sz="1400" b="0" i="1">
                              <a:solidFill>
                                <a:schemeClr val="tx1"/>
                              </a:solidFill>
                              <a:effectLst/>
                              <a:latin typeface="Cambria Math" panose="02040503050406030204" pitchFamily="18" charset="0"/>
                              <a:ea typeface="+mn-ea"/>
                              <a:cs typeface="+mn-cs"/>
                            </a:rPr>
                            <m:t>𝐶𝐼</m:t>
                          </m:r>
                          <m:r>
                            <a:rPr lang="es-ES" sz="1400" b="0" i="1" baseline="-25000">
                              <a:solidFill>
                                <a:schemeClr val="tx1"/>
                              </a:solidFill>
                              <a:effectLst/>
                              <a:latin typeface="Cambria Math" panose="02040503050406030204" pitchFamily="18" charset="0"/>
                              <a:ea typeface="+mn-ea"/>
                              <a:cs typeface="+mn-cs"/>
                            </a:rPr>
                            <m:t>𝑖𝑗</m:t>
                          </m:r>
                          <m:r>
                            <a:rPr lang="es-ES" sz="1400" b="0" i="1">
                              <a:solidFill>
                                <a:schemeClr val="tx1"/>
                              </a:solidFill>
                              <a:effectLst/>
                              <a:latin typeface="Cambria Math" panose="02040503050406030204" pitchFamily="18" charset="0"/>
                              <a:ea typeface="+mn-ea"/>
                              <a:cs typeface="+mn-cs"/>
                            </a:rPr>
                            <m:t>+</m:t>
                          </m:r>
                          <m:r>
                            <a:rPr lang="es-ES" sz="1400" b="0" i="1">
                              <a:solidFill>
                                <a:schemeClr val="tx1"/>
                              </a:solidFill>
                              <a:effectLst/>
                              <a:latin typeface="Cambria Math" panose="02040503050406030204" pitchFamily="18" charset="0"/>
                              <a:ea typeface="+mn-ea"/>
                              <a:cs typeface="+mn-cs"/>
                            </a:rPr>
                            <m:t>𝐶𝐹𝑖𝑗</m:t>
                          </m:r>
                          <m:r>
                            <a:rPr lang="es-ES" sz="1400" b="0" i="1">
                              <a:solidFill>
                                <a:schemeClr val="tx1"/>
                              </a:solidFill>
                              <a:effectLst/>
                              <a:latin typeface="Cambria Math" panose="02040503050406030204" pitchFamily="18" charset="0"/>
                              <a:ea typeface="+mn-ea"/>
                              <a:cs typeface="+mn-cs"/>
                            </a:rPr>
                            <m:t>+</m:t>
                          </m:r>
                          <m:r>
                            <a:rPr lang="es-ES" sz="1400" b="0" i="1">
                              <a:solidFill>
                                <a:schemeClr val="tx1"/>
                              </a:solidFill>
                              <a:effectLst/>
                              <a:latin typeface="Cambria Math" panose="02040503050406030204" pitchFamily="18" charset="0"/>
                              <a:ea typeface="+mn-ea"/>
                              <a:cs typeface="+mn-cs"/>
                            </a:rPr>
                            <m:t>𝐹𝐵𝐾𝐹𝑖𝑗</m:t>
                          </m:r>
                          <m:r>
                            <a:rPr lang="es-ES" sz="1400" b="0" i="1">
                              <a:solidFill>
                                <a:schemeClr val="tx1"/>
                              </a:solidFill>
                              <a:effectLst/>
                              <a:latin typeface="Cambria Math" panose="02040503050406030204" pitchFamily="18" charset="0"/>
                              <a:ea typeface="+mn-ea"/>
                              <a:cs typeface="+mn-cs"/>
                            </a:rPr>
                            <m:t> ±</m:t>
                          </m:r>
                          <m:r>
                            <a:rPr lang="es-ES" sz="1400" b="0" i="1">
                              <a:solidFill>
                                <a:schemeClr val="tx1"/>
                              </a:solidFill>
                              <a:effectLst/>
                              <a:latin typeface="Cambria Math" panose="02040503050406030204" pitchFamily="18" charset="0"/>
                              <a:ea typeface="+mn-ea"/>
                              <a:cs typeface="+mn-cs"/>
                            </a:rPr>
                            <m:t>𝑉𝐸𝑖𝑗</m:t>
                          </m:r>
                        </m:e>
                        <m:e>
                          <m:r>
                            <a:rPr lang="es-ES" sz="1400" b="0" i="1">
                              <a:solidFill>
                                <a:schemeClr val="tx1"/>
                              </a:solidFill>
                              <a:effectLst/>
                              <a:latin typeface="Cambria Math" panose="02040503050406030204" pitchFamily="18" charset="0"/>
                              <a:ea typeface="+mn-ea"/>
                              <a:cs typeface="+mn-cs"/>
                            </a:rPr>
                            <m:t> </m:t>
                          </m:r>
                        </m:e>
                      </m:eqArr>
                    </m:den>
                  </m:f>
                </m:oMath>
              </a14:m>
              <a:r>
                <a:rPr lang="es-ES" sz="1400" i="1">
                  <a:latin typeface="+mn-lt"/>
                  <a:cs typeface="Arial" panose="020B0604020202020204" pitchFamily="34" charset="0"/>
                </a:rPr>
                <a:t> x</a:t>
              </a:r>
              <a:r>
                <a:rPr lang="es-ES" sz="1400" i="1" baseline="0">
                  <a:latin typeface="+mn-lt"/>
                  <a:cs typeface="Arial" panose="020B0604020202020204" pitchFamily="34" charset="0"/>
                </a:rPr>
                <a:t> 100</a:t>
              </a:r>
              <a:endParaRPr lang="es-ES" sz="1400" i="1">
                <a:latin typeface="+mn-lt"/>
                <a:cs typeface="Arial" panose="020B0604020202020204" pitchFamily="34" charset="0"/>
              </a:endParaRPr>
            </a:p>
          </xdr:txBody>
        </xdr:sp>
      </mc:Choice>
      <mc:Fallback xmlns="">
        <xdr:sp macro="" textlink="">
          <xdr:nvSpPr>
            <xdr:cNvPr id="120" name="CuadroTexto 119">
              <a:extLst>
                <a:ext uri="{FF2B5EF4-FFF2-40B4-BE49-F238E27FC236}">
                  <a16:creationId xmlns:a16="http://schemas.microsoft.com/office/drawing/2014/main" xmlns="" xmlns:a14="http://schemas.microsoft.com/office/drawing/2010/main" id="{00000000-0008-0000-0100-000028000000}"/>
                </a:ext>
              </a:extLst>
            </xdr:cNvPr>
            <xdr:cNvSpPr txBox="1"/>
          </xdr:nvSpPr>
          <xdr:spPr>
            <a:xfrm>
              <a:off x="31284332" y="129483902"/>
              <a:ext cx="2495720" cy="49356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ctr">
              <a:noAutofit/>
            </a:bodyPr>
            <a:lstStyle/>
            <a:p>
              <a:pPr algn="ctr"/>
              <a:r>
                <a:rPr lang="es-ES" sz="1400" i="1">
                  <a:latin typeface="+mn-lt"/>
                  <a:cs typeface="Arial" panose="020B0604020202020204" pitchFamily="34" charset="0"/>
                </a:rPr>
                <a:t>PMI</a:t>
              </a:r>
              <a:r>
                <a:rPr lang="es-ES" sz="1400" i="1" baseline="-25000">
                  <a:latin typeface="+mn-lt"/>
                  <a:cs typeface="Arial" panose="020B0604020202020204" pitchFamily="34" charset="0"/>
                </a:rPr>
                <a:t>ij</a:t>
              </a:r>
              <a:r>
                <a:rPr lang="es-ES" sz="1400" i="0">
                  <a:latin typeface="Cambria Math" panose="02040503050406030204" pitchFamily="18" charset="0"/>
                </a:rPr>
                <a:t>=(</a:t>
              </a:r>
              <a:r>
                <a:rPr lang="es-ES" sz="1400" b="0" i="0">
                  <a:latin typeface="Cambria Math" panose="02040503050406030204" pitchFamily="18" charset="0"/>
                </a:rPr>
                <a:t> 𝑄𝑖𝑗</a:t>
              </a:r>
              <a:r>
                <a:rPr lang="es-ES" sz="1400" b="0" i="0" baseline="-25000">
                  <a:latin typeface="Cambria Math" panose="02040503050406030204" pitchFamily="18" charset="0"/>
                </a:rPr>
                <a:t>  )/</a:t>
              </a:r>
              <a:r>
                <a:rPr lang="es-ES" sz="1400" b="0" i="0" baseline="-25000">
                  <a:solidFill>
                    <a:schemeClr val="tx1"/>
                  </a:solidFill>
                  <a:effectLst/>
                  <a:latin typeface="Cambria Math" panose="02040503050406030204" pitchFamily="18" charset="0"/>
                  <a:ea typeface="+mn-ea"/>
                  <a:cs typeface="+mn-cs"/>
                </a:rPr>
                <a:t>█(</a:t>
              </a:r>
              <a:r>
                <a:rPr lang="es-ES" sz="1400" b="0" i="0">
                  <a:solidFill>
                    <a:schemeClr val="tx1"/>
                  </a:solidFill>
                  <a:effectLst/>
                  <a:latin typeface="Cambria Math" panose="02040503050406030204" pitchFamily="18" charset="0"/>
                  <a:ea typeface="+mn-ea"/>
                  <a:cs typeface="+mn-cs"/>
                </a:rPr>
                <a:t>𝐶𝐼</a:t>
              </a:r>
              <a:r>
                <a:rPr lang="es-ES" sz="1400" b="0" i="0" baseline="-25000">
                  <a:solidFill>
                    <a:schemeClr val="tx1"/>
                  </a:solidFill>
                  <a:effectLst/>
                  <a:latin typeface="Cambria Math" panose="02040503050406030204" pitchFamily="18" charset="0"/>
                  <a:ea typeface="+mn-ea"/>
                  <a:cs typeface="+mn-cs"/>
                </a:rPr>
                <a:t>𝑖𝑗</a:t>
              </a:r>
              <a:r>
                <a:rPr lang="es-ES" sz="1400" b="0" i="0">
                  <a:solidFill>
                    <a:schemeClr val="tx1"/>
                  </a:solidFill>
                  <a:effectLst/>
                  <a:latin typeface="Cambria Math" panose="02040503050406030204" pitchFamily="18" charset="0"/>
                  <a:ea typeface="+mn-ea"/>
                  <a:cs typeface="+mn-cs"/>
                </a:rPr>
                <a:t>+𝐶𝐹𝑖𝑗+𝐹𝐵𝐾𝐹𝑖𝑗 ±𝑉𝐸𝑖𝑗@ )</a:t>
              </a:r>
              <a:r>
                <a:rPr lang="es-ES" sz="1400" i="1">
                  <a:latin typeface="+mn-lt"/>
                  <a:cs typeface="Arial" panose="020B0604020202020204" pitchFamily="34" charset="0"/>
                </a:rPr>
                <a:t> x</a:t>
              </a:r>
              <a:r>
                <a:rPr lang="es-ES" sz="1400" i="1" baseline="0">
                  <a:latin typeface="+mn-lt"/>
                  <a:cs typeface="Arial" panose="020B0604020202020204" pitchFamily="34" charset="0"/>
                </a:rPr>
                <a:t> 100</a:t>
              </a:r>
              <a:endParaRPr lang="es-ES" sz="1400" i="1">
                <a:latin typeface="+mn-lt"/>
                <a:cs typeface="Arial" panose="020B0604020202020204" pitchFamily="34" charset="0"/>
              </a:endParaRPr>
            </a:p>
          </xdr:txBody>
        </xdr:sp>
      </mc:Fallback>
    </mc:AlternateContent>
    <xdr:clientData/>
  </xdr:oneCellAnchor>
  <xdr:oneCellAnchor>
    <xdr:from>
      <xdr:col>42</xdr:col>
      <xdr:colOff>31750</xdr:colOff>
      <xdr:row>185</xdr:row>
      <xdr:rowOff>687923</xdr:rowOff>
    </xdr:from>
    <xdr:ext cx="2495720" cy="493569"/>
    <mc:AlternateContent xmlns:mc="http://schemas.openxmlformats.org/markup-compatibility/2006" xmlns:a14="http://schemas.microsoft.com/office/drawing/2010/main">
      <mc:Choice Requires="a14">
        <xdr:sp macro="" textlink="">
          <xdr:nvSpPr>
            <xdr:cNvPr id="121" name="CuadroTexto 120">
              <a:extLst>
                <a:ext uri="{FF2B5EF4-FFF2-40B4-BE49-F238E27FC236}">
                  <a16:creationId xmlns:a16="http://schemas.microsoft.com/office/drawing/2014/main" id="{00000000-0008-0000-0400-000079000000}"/>
                </a:ext>
              </a:extLst>
            </xdr:cNvPr>
            <xdr:cNvSpPr txBox="1"/>
          </xdr:nvSpPr>
          <xdr:spPr>
            <a:xfrm>
              <a:off x="31273750" y="133780748"/>
              <a:ext cx="2495720" cy="49356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ctr">
              <a:noAutofit/>
            </a:bodyPr>
            <a:lstStyle/>
            <a:p>
              <a:pPr algn="ctr"/>
              <a:r>
                <a:rPr lang="es-ES" sz="1400" i="1">
                  <a:latin typeface="+mn-lt"/>
                  <a:cs typeface="Arial" panose="020B0604020202020204" pitchFamily="34" charset="0"/>
                </a:rPr>
                <a:t>PMI</a:t>
              </a:r>
              <a:r>
                <a:rPr lang="es-ES" sz="1400" i="1" baseline="-25000">
                  <a:latin typeface="+mn-lt"/>
                  <a:cs typeface="Arial" panose="020B0604020202020204" pitchFamily="34" charset="0"/>
                </a:rPr>
                <a:t>ij</a:t>
              </a:r>
              <a14:m>
                <m:oMath xmlns:m="http://schemas.openxmlformats.org/officeDocument/2006/math">
                  <m:r>
                    <a:rPr lang="es-ES" sz="1400" i="1">
                      <a:latin typeface="Cambria Math" panose="02040503050406030204" pitchFamily="18" charset="0"/>
                    </a:rPr>
                    <m:t>=</m:t>
                  </m:r>
                  <m:f>
                    <m:fPr>
                      <m:ctrlPr>
                        <a:rPr lang="es-ES" sz="1400" i="1">
                          <a:latin typeface="Cambria Math" panose="02040503050406030204" pitchFamily="18" charset="0"/>
                        </a:rPr>
                      </m:ctrlPr>
                    </m:fPr>
                    <m:num>
                      <m:r>
                        <a:rPr lang="es-ES" sz="1400" b="0" i="1">
                          <a:latin typeface="Cambria Math" panose="02040503050406030204" pitchFamily="18" charset="0"/>
                        </a:rPr>
                        <m:t> </m:t>
                      </m:r>
                      <m:r>
                        <a:rPr lang="es-ES" sz="1400" b="0" i="1">
                          <a:latin typeface="Cambria Math" panose="02040503050406030204" pitchFamily="18" charset="0"/>
                        </a:rPr>
                        <m:t>𝑄𝑖𝑗</m:t>
                      </m:r>
                      <m:r>
                        <a:rPr lang="es-ES" sz="1400" b="0" i="1" baseline="-25000">
                          <a:latin typeface="Cambria Math" panose="02040503050406030204" pitchFamily="18" charset="0"/>
                        </a:rPr>
                        <m:t>  </m:t>
                      </m:r>
                    </m:num>
                    <m:den>
                      <m:eqArr>
                        <m:eqArrPr>
                          <m:ctrlPr>
                            <a:rPr lang="es-ES" sz="1400" b="0" i="1">
                              <a:solidFill>
                                <a:schemeClr val="tx1"/>
                              </a:solidFill>
                              <a:effectLst/>
                              <a:latin typeface="Cambria Math" panose="02040503050406030204" pitchFamily="18" charset="0"/>
                              <a:ea typeface="+mn-ea"/>
                              <a:cs typeface="+mn-cs"/>
                            </a:rPr>
                          </m:ctrlPr>
                        </m:eqArrPr>
                        <m:e>
                          <m:r>
                            <a:rPr lang="es-ES" sz="1400" b="0" i="1">
                              <a:solidFill>
                                <a:schemeClr val="tx1"/>
                              </a:solidFill>
                              <a:effectLst/>
                              <a:latin typeface="Cambria Math" panose="02040503050406030204" pitchFamily="18" charset="0"/>
                              <a:ea typeface="+mn-ea"/>
                              <a:cs typeface="+mn-cs"/>
                            </a:rPr>
                            <m:t>𝐶𝐼</m:t>
                          </m:r>
                          <m:r>
                            <a:rPr lang="es-ES" sz="1400" b="0" i="1" baseline="-25000">
                              <a:solidFill>
                                <a:schemeClr val="tx1"/>
                              </a:solidFill>
                              <a:effectLst/>
                              <a:latin typeface="Cambria Math" panose="02040503050406030204" pitchFamily="18" charset="0"/>
                              <a:ea typeface="+mn-ea"/>
                              <a:cs typeface="+mn-cs"/>
                            </a:rPr>
                            <m:t>𝑖𝑗</m:t>
                          </m:r>
                          <m:r>
                            <a:rPr lang="es-ES" sz="1400" b="0" i="1">
                              <a:solidFill>
                                <a:schemeClr val="tx1"/>
                              </a:solidFill>
                              <a:effectLst/>
                              <a:latin typeface="Cambria Math" panose="02040503050406030204" pitchFamily="18" charset="0"/>
                              <a:ea typeface="+mn-ea"/>
                              <a:cs typeface="+mn-cs"/>
                            </a:rPr>
                            <m:t>+</m:t>
                          </m:r>
                          <m:r>
                            <a:rPr lang="es-ES" sz="1400" b="0" i="1">
                              <a:solidFill>
                                <a:schemeClr val="tx1"/>
                              </a:solidFill>
                              <a:effectLst/>
                              <a:latin typeface="Cambria Math" panose="02040503050406030204" pitchFamily="18" charset="0"/>
                              <a:ea typeface="+mn-ea"/>
                              <a:cs typeface="+mn-cs"/>
                            </a:rPr>
                            <m:t>𝐶𝐹𝑖𝑗</m:t>
                          </m:r>
                          <m:r>
                            <a:rPr lang="es-ES" sz="1400" b="0" i="1">
                              <a:solidFill>
                                <a:schemeClr val="tx1"/>
                              </a:solidFill>
                              <a:effectLst/>
                              <a:latin typeface="Cambria Math" panose="02040503050406030204" pitchFamily="18" charset="0"/>
                              <a:ea typeface="+mn-ea"/>
                              <a:cs typeface="+mn-cs"/>
                            </a:rPr>
                            <m:t>+</m:t>
                          </m:r>
                          <m:r>
                            <a:rPr lang="es-ES" sz="1400" b="0" i="1">
                              <a:solidFill>
                                <a:schemeClr val="tx1"/>
                              </a:solidFill>
                              <a:effectLst/>
                              <a:latin typeface="Cambria Math" panose="02040503050406030204" pitchFamily="18" charset="0"/>
                              <a:ea typeface="+mn-ea"/>
                              <a:cs typeface="+mn-cs"/>
                            </a:rPr>
                            <m:t>𝐹𝐵𝐾𝐹𝑖𝑗</m:t>
                          </m:r>
                          <m:r>
                            <a:rPr lang="es-ES" sz="1400" b="0" i="1">
                              <a:solidFill>
                                <a:schemeClr val="tx1"/>
                              </a:solidFill>
                              <a:effectLst/>
                              <a:latin typeface="Cambria Math" panose="02040503050406030204" pitchFamily="18" charset="0"/>
                              <a:ea typeface="+mn-ea"/>
                              <a:cs typeface="+mn-cs"/>
                            </a:rPr>
                            <m:t> ±</m:t>
                          </m:r>
                          <m:r>
                            <a:rPr lang="es-ES" sz="1400" b="0" i="1">
                              <a:solidFill>
                                <a:schemeClr val="tx1"/>
                              </a:solidFill>
                              <a:effectLst/>
                              <a:latin typeface="Cambria Math" panose="02040503050406030204" pitchFamily="18" charset="0"/>
                              <a:ea typeface="+mn-ea"/>
                              <a:cs typeface="+mn-cs"/>
                            </a:rPr>
                            <m:t>𝑉𝐸𝑖𝑗</m:t>
                          </m:r>
                        </m:e>
                        <m:e>
                          <m:r>
                            <a:rPr lang="es-ES" sz="1400" b="0" i="1">
                              <a:solidFill>
                                <a:schemeClr val="tx1"/>
                              </a:solidFill>
                              <a:effectLst/>
                              <a:latin typeface="Cambria Math" panose="02040503050406030204" pitchFamily="18" charset="0"/>
                              <a:ea typeface="+mn-ea"/>
                              <a:cs typeface="+mn-cs"/>
                            </a:rPr>
                            <m:t> </m:t>
                          </m:r>
                        </m:e>
                      </m:eqArr>
                    </m:den>
                  </m:f>
                </m:oMath>
              </a14:m>
              <a:r>
                <a:rPr lang="es-ES" sz="1400" i="1">
                  <a:latin typeface="+mn-lt"/>
                  <a:cs typeface="Arial" panose="020B0604020202020204" pitchFamily="34" charset="0"/>
                </a:rPr>
                <a:t> x</a:t>
              </a:r>
              <a:r>
                <a:rPr lang="es-ES" sz="1400" i="1" baseline="0">
                  <a:latin typeface="+mn-lt"/>
                  <a:cs typeface="Arial" panose="020B0604020202020204" pitchFamily="34" charset="0"/>
                </a:rPr>
                <a:t> 100</a:t>
              </a:r>
              <a:endParaRPr lang="es-ES" sz="1400" i="1">
                <a:latin typeface="+mn-lt"/>
                <a:cs typeface="Arial" panose="020B0604020202020204" pitchFamily="34" charset="0"/>
              </a:endParaRPr>
            </a:p>
          </xdr:txBody>
        </xdr:sp>
      </mc:Choice>
      <mc:Fallback xmlns="">
        <xdr:sp macro="" textlink="">
          <xdr:nvSpPr>
            <xdr:cNvPr id="121" name="CuadroTexto 120">
              <a:extLst>
                <a:ext uri="{FF2B5EF4-FFF2-40B4-BE49-F238E27FC236}">
                  <a16:creationId xmlns:a16="http://schemas.microsoft.com/office/drawing/2014/main" xmlns="" xmlns:a14="http://schemas.microsoft.com/office/drawing/2010/main" id="{00000000-0008-0000-0100-000029000000}"/>
                </a:ext>
              </a:extLst>
            </xdr:cNvPr>
            <xdr:cNvSpPr txBox="1"/>
          </xdr:nvSpPr>
          <xdr:spPr>
            <a:xfrm>
              <a:off x="31273750" y="133780748"/>
              <a:ext cx="2495720" cy="49356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ctr">
              <a:noAutofit/>
            </a:bodyPr>
            <a:lstStyle/>
            <a:p>
              <a:pPr algn="ctr"/>
              <a:r>
                <a:rPr lang="es-ES" sz="1400" i="1">
                  <a:latin typeface="+mn-lt"/>
                  <a:cs typeface="Arial" panose="020B0604020202020204" pitchFamily="34" charset="0"/>
                </a:rPr>
                <a:t>PMI</a:t>
              </a:r>
              <a:r>
                <a:rPr lang="es-ES" sz="1400" i="1" baseline="-25000">
                  <a:latin typeface="+mn-lt"/>
                  <a:cs typeface="Arial" panose="020B0604020202020204" pitchFamily="34" charset="0"/>
                </a:rPr>
                <a:t>ij</a:t>
              </a:r>
              <a:r>
                <a:rPr lang="es-ES" sz="1400" i="0">
                  <a:latin typeface="Cambria Math" panose="02040503050406030204" pitchFamily="18" charset="0"/>
                </a:rPr>
                <a:t>=(</a:t>
              </a:r>
              <a:r>
                <a:rPr lang="es-ES" sz="1400" b="0" i="0">
                  <a:latin typeface="Cambria Math" panose="02040503050406030204" pitchFamily="18" charset="0"/>
                </a:rPr>
                <a:t> 𝑄𝑖𝑗</a:t>
              </a:r>
              <a:r>
                <a:rPr lang="es-ES" sz="1400" b="0" i="0" baseline="-25000">
                  <a:latin typeface="Cambria Math" panose="02040503050406030204" pitchFamily="18" charset="0"/>
                </a:rPr>
                <a:t>  )/</a:t>
              </a:r>
              <a:r>
                <a:rPr lang="es-ES" sz="1400" b="0" i="0" baseline="-25000">
                  <a:solidFill>
                    <a:schemeClr val="tx1"/>
                  </a:solidFill>
                  <a:effectLst/>
                  <a:latin typeface="Cambria Math" panose="02040503050406030204" pitchFamily="18" charset="0"/>
                  <a:ea typeface="+mn-ea"/>
                  <a:cs typeface="+mn-cs"/>
                </a:rPr>
                <a:t>█(</a:t>
              </a:r>
              <a:r>
                <a:rPr lang="es-ES" sz="1400" b="0" i="0">
                  <a:solidFill>
                    <a:schemeClr val="tx1"/>
                  </a:solidFill>
                  <a:effectLst/>
                  <a:latin typeface="Cambria Math" panose="02040503050406030204" pitchFamily="18" charset="0"/>
                  <a:ea typeface="+mn-ea"/>
                  <a:cs typeface="+mn-cs"/>
                </a:rPr>
                <a:t>𝐶𝐼</a:t>
              </a:r>
              <a:r>
                <a:rPr lang="es-ES" sz="1400" b="0" i="0" baseline="-25000">
                  <a:solidFill>
                    <a:schemeClr val="tx1"/>
                  </a:solidFill>
                  <a:effectLst/>
                  <a:latin typeface="Cambria Math" panose="02040503050406030204" pitchFamily="18" charset="0"/>
                  <a:ea typeface="+mn-ea"/>
                  <a:cs typeface="+mn-cs"/>
                </a:rPr>
                <a:t>𝑖𝑗</a:t>
              </a:r>
              <a:r>
                <a:rPr lang="es-ES" sz="1400" b="0" i="0">
                  <a:solidFill>
                    <a:schemeClr val="tx1"/>
                  </a:solidFill>
                  <a:effectLst/>
                  <a:latin typeface="Cambria Math" panose="02040503050406030204" pitchFamily="18" charset="0"/>
                  <a:ea typeface="+mn-ea"/>
                  <a:cs typeface="+mn-cs"/>
                </a:rPr>
                <a:t>+𝐶𝐹𝑖𝑗+𝐹𝐵𝐾𝐹𝑖𝑗 ±𝑉𝐸𝑖𝑗@ )</a:t>
              </a:r>
              <a:r>
                <a:rPr lang="es-ES" sz="1400" i="1">
                  <a:latin typeface="+mn-lt"/>
                  <a:cs typeface="Arial" panose="020B0604020202020204" pitchFamily="34" charset="0"/>
                </a:rPr>
                <a:t> x</a:t>
              </a:r>
              <a:r>
                <a:rPr lang="es-ES" sz="1400" i="1" baseline="0">
                  <a:latin typeface="+mn-lt"/>
                  <a:cs typeface="Arial" panose="020B0604020202020204" pitchFamily="34" charset="0"/>
                </a:rPr>
                <a:t> 100</a:t>
              </a:r>
              <a:endParaRPr lang="es-ES" sz="1400" i="1">
                <a:latin typeface="+mn-lt"/>
                <a:cs typeface="Arial" panose="020B0604020202020204" pitchFamily="34" charset="0"/>
              </a:endParaRPr>
            </a:p>
          </xdr:txBody>
        </xdr:sp>
      </mc:Fallback>
    </mc:AlternateContent>
    <xdr:clientData/>
  </xdr:oneCellAnchor>
  <xdr:oneCellAnchor>
    <xdr:from>
      <xdr:col>42</xdr:col>
      <xdr:colOff>31749</xdr:colOff>
      <xdr:row>180</xdr:row>
      <xdr:rowOff>910161</xdr:rowOff>
    </xdr:from>
    <xdr:ext cx="2495720" cy="493569"/>
    <mc:AlternateContent xmlns:mc="http://schemas.openxmlformats.org/markup-compatibility/2006" xmlns:a14="http://schemas.microsoft.com/office/drawing/2010/main">
      <mc:Choice Requires="a14">
        <xdr:sp macro="" textlink="">
          <xdr:nvSpPr>
            <xdr:cNvPr id="122" name="CuadroTexto 121">
              <a:extLst>
                <a:ext uri="{FF2B5EF4-FFF2-40B4-BE49-F238E27FC236}">
                  <a16:creationId xmlns:a16="http://schemas.microsoft.com/office/drawing/2014/main" id="{00000000-0008-0000-0400-00007A000000}"/>
                </a:ext>
              </a:extLst>
            </xdr:cNvPr>
            <xdr:cNvSpPr txBox="1"/>
          </xdr:nvSpPr>
          <xdr:spPr>
            <a:xfrm>
              <a:off x="31273749" y="111142986"/>
              <a:ext cx="2495720" cy="49356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ctr">
              <a:noAutofit/>
            </a:bodyPr>
            <a:lstStyle/>
            <a:p>
              <a:pPr algn="ctr"/>
              <a:r>
                <a:rPr lang="es-ES" sz="1400" i="1">
                  <a:latin typeface="+mn-lt"/>
                  <a:cs typeface="Arial" panose="020B0604020202020204" pitchFamily="34" charset="0"/>
                </a:rPr>
                <a:t>PMI</a:t>
              </a:r>
              <a:r>
                <a:rPr lang="es-ES" sz="1400" i="1" baseline="-25000">
                  <a:latin typeface="+mn-lt"/>
                  <a:cs typeface="Arial" panose="020B0604020202020204" pitchFamily="34" charset="0"/>
                </a:rPr>
                <a:t>ij</a:t>
              </a:r>
              <a14:m>
                <m:oMath xmlns:m="http://schemas.openxmlformats.org/officeDocument/2006/math">
                  <m:r>
                    <a:rPr lang="es-ES" sz="1400" i="1">
                      <a:latin typeface="Cambria Math" panose="02040503050406030204" pitchFamily="18" charset="0"/>
                    </a:rPr>
                    <m:t>=</m:t>
                  </m:r>
                  <m:f>
                    <m:fPr>
                      <m:ctrlPr>
                        <a:rPr lang="es-ES" sz="1400" i="1">
                          <a:latin typeface="Cambria Math" panose="02040503050406030204" pitchFamily="18" charset="0"/>
                        </a:rPr>
                      </m:ctrlPr>
                    </m:fPr>
                    <m:num>
                      <m:r>
                        <a:rPr lang="es-ES" sz="1400" b="0" i="1">
                          <a:latin typeface="Cambria Math" panose="02040503050406030204" pitchFamily="18" charset="0"/>
                        </a:rPr>
                        <m:t> </m:t>
                      </m:r>
                      <m:r>
                        <a:rPr lang="es-ES" sz="1400" b="0" i="1">
                          <a:latin typeface="Cambria Math" panose="02040503050406030204" pitchFamily="18" charset="0"/>
                        </a:rPr>
                        <m:t>𝑄𝑖𝑗</m:t>
                      </m:r>
                      <m:r>
                        <a:rPr lang="es-ES" sz="1400" b="0" i="1" baseline="-25000">
                          <a:latin typeface="Cambria Math" panose="02040503050406030204" pitchFamily="18" charset="0"/>
                        </a:rPr>
                        <m:t>  </m:t>
                      </m:r>
                    </m:num>
                    <m:den>
                      <m:eqArr>
                        <m:eqArrPr>
                          <m:ctrlPr>
                            <a:rPr lang="es-ES" sz="1400" b="0" i="1">
                              <a:solidFill>
                                <a:schemeClr val="tx1"/>
                              </a:solidFill>
                              <a:effectLst/>
                              <a:latin typeface="Cambria Math" panose="02040503050406030204" pitchFamily="18" charset="0"/>
                              <a:ea typeface="+mn-ea"/>
                              <a:cs typeface="+mn-cs"/>
                            </a:rPr>
                          </m:ctrlPr>
                        </m:eqArrPr>
                        <m:e>
                          <m:r>
                            <a:rPr lang="es-ES" sz="1400" b="0" i="1">
                              <a:solidFill>
                                <a:schemeClr val="tx1"/>
                              </a:solidFill>
                              <a:effectLst/>
                              <a:latin typeface="Cambria Math" panose="02040503050406030204" pitchFamily="18" charset="0"/>
                              <a:ea typeface="+mn-ea"/>
                              <a:cs typeface="+mn-cs"/>
                            </a:rPr>
                            <m:t>𝐶𝐼</m:t>
                          </m:r>
                          <m:r>
                            <a:rPr lang="es-ES" sz="1400" b="0" i="1" baseline="-25000">
                              <a:solidFill>
                                <a:schemeClr val="tx1"/>
                              </a:solidFill>
                              <a:effectLst/>
                              <a:latin typeface="Cambria Math" panose="02040503050406030204" pitchFamily="18" charset="0"/>
                              <a:ea typeface="+mn-ea"/>
                              <a:cs typeface="+mn-cs"/>
                            </a:rPr>
                            <m:t>𝑖𝑗</m:t>
                          </m:r>
                          <m:r>
                            <a:rPr lang="es-ES" sz="1400" b="0" i="1">
                              <a:solidFill>
                                <a:schemeClr val="tx1"/>
                              </a:solidFill>
                              <a:effectLst/>
                              <a:latin typeface="Cambria Math" panose="02040503050406030204" pitchFamily="18" charset="0"/>
                              <a:ea typeface="+mn-ea"/>
                              <a:cs typeface="+mn-cs"/>
                            </a:rPr>
                            <m:t>+</m:t>
                          </m:r>
                          <m:r>
                            <a:rPr lang="es-ES" sz="1400" b="0" i="1">
                              <a:solidFill>
                                <a:schemeClr val="tx1"/>
                              </a:solidFill>
                              <a:effectLst/>
                              <a:latin typeface="Cambria Math" panose="02040503050406030204" pitchFamily="18" charset="0"/>
                              <a:ea typeface="+mn-ea"/>
                              <a:cs typeface="+mn-cs"/>
                            </a:rPr>
                            <m:t>𝐶𝐹𝑖𝑗</m:t>
                          </m:r>
                          <m:r>
                            <a:rPr lang="es-ES" sz="1400" b="0" i="1">
                              <a:solidFill>
                                <a:schemeClr val="tx1"/>
                              </a:solidFill>
                              <a:effectLst/>
                              <a:latin typeface="Cambria Math" panose="02040503050406030204" pitchFamily="18" charset="0"/>
                              <a:ea typeface="+mn-ea"/>
                              <a:cs typeface="+mn-cs"/>
                            </a:rPr>
                            <m:t>+</m:t>
                          </m:r>
                          <m:r>
                            <a:rPr lang="es-ES" sz="1400" b="0" i="1">
                              <a:solidFill>
                                <a:schemeClr val="tx1"/>
                              </a:solidFill>
                              <a:effectLst/>
                              <a:latin typeface="Cambria Math" panose="02040503050406030204" pitchFamily="18" charset="0"/>
                              <a:ea typeface="+mn-ea"/>
                              <a:cs typeface="+mn-cs"/>
                            </a:rPr>
                            <m:t>𝐹𝐵𝐾𝐹𝑖𝑗</m:t>
                          </m:r>
                          <m:r>
                            <a:rPr lang="es-ES" sz="1400" b="0" i="1">
                              <a:solidFill>
                                <a:schemeClr val="tx1"/>
                              </a:solidFill>
                              <a:effectLst/>
                              <a:latin typeface="Cambria Math" panose="02040503050406030204" pitchFamily="18" charset="0"/>
                              <a:ea typeface="+mn-ea"/>
                              <a:cs typeface="+mn-cs"/>
                            </a:rPr>
                            <m:t> ±</m:t>
                          </m:r>
                          <m:r>
                            <a:rPr lang="es-ES" sz="1400" b="0" i="1">
                              <a:solidFill>
                                <a:schemeClr val="tx1"/>
                              </a:solidFill>
                              <a:effectLst/>
                              <a:latin typeface="Cambria Math" panose="02040503050406030204" pitchFamily="18" charset="0"/>
                              <a:ea typeface="+mn-ea"/>
                              <a:cs typeface="+mn-cs"/>
                            </a:rPr>
                            <m:t>𝑉𝐸𝑖𝑗</m:t>
                          </m:r>
                        </m:e>
                        <m:e>
                          <m:r>
                            <a:rPr lang="es-ES" sz="1400" b="0" i="1">
                              <a:solidFill>
                                <a:schemeClr val="tx1"/>
                              </a:solidFill>
                              <a:effectLst/>
                              <a:latin typeface="Cambria Math" panose="02040503050406030204" pitchFamily="18" charset="0"/>
                              <a:ea typeface="+mn-ea"/>
                              <a:cs typeface="+mn-cs"/>
                            </a:rPr>
                            <m:t> </m:t>
                          </m:r>
                        </m:e>
                      </m:eqArr>
                    </m:den>
                  </m:f>
                </m:oMath>
              </a14:m>
              <a:r>
                <a:rPr lang="es-ES" sz="1400" i="1">
                  <a:latin typeface="+mn-lt"/>
                  <a:cs typeface="Arial" panose="020B0604020202020204" pitchFamily="34" charset="0"/>
                </a:rPr>
                <a:t> x</a:t>
              </a:r>
              <a:r>
                <a:rPr lang="es-ES" sz="1400" i="1" baseline="0">
                  <a:latin typeface="+mn-lt"/>
                  <a:cs typeface="Arial" panose="020B0604020202020204" pitchFamily="34" charset="0"/>
                </a:rPr>
                <a:t> 100</a:t>
              </a:r>
              <a:endParaRPr lang="es-ES" sz="1400" i="1">
                <a:latin typeface="+mn-lt"/>
                <a:cs typeface="Arial" panose="020B0604020202020204" pitchFamily="34" charset="0"/>
              </a:endParaRPr>
            </a:p>
          </xdr:txBody>
        </xdr:sp>
      </mc:Choice>
      <mc:Fallback xmlns="">
        <xdr:sp macro="" textlink="">
          <xdr:nvSpPr>
            <xdr:cNvPr id="122" name="CuadroTexto 121">
              <a:extLst>
                <a:ext uri="{FF2B5EF4-FFF2-40B4-BE49-F238E27FC236}">
                  <a16:creationId xmlns:a16="http://schemas.microsoft.com/office/drawing/2014/main" xmlns="" xmlns:a14="http://schemas.microsoft.com/office/drawing/2010/main" id="{00000000-0008-0000-0100-00002A000000}"/>
                </a:ext>
              </a:extLst>
            </xdr:cNvPr>
            <xdr:cNvSpPr txBox="1"/>
          </xdr:nvSpPr>
          <xdr:spPr>
            <a:xfrm>
              <a:off x="31273749" y="111142986"/>
              <a:ext cx="2495720" cy="49356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ctr">
              <a:noAutofit/>
            </a:bodyPr>
            <a:lstStyle/>
            <a:p>
              <a:pPr algn="ctr"/>
              <a:r>
                <a:rPr lang="es-ES" sz="1400" i="1">
                  <a:latin typeface="+mn-lt"/>
                  <a:cs typeface="Arial" panose="020B0604020202020204" pitchFamily="34" charset="0"/>
                </a:rPr>
                <a:t>PMI</a:t>
              </a:r>
              <a:r>
                <a:rPr lang="es-ES" sz="1400" i="1" baseline="-25000">
                  <a:latin typeface="+mn-lt"/>
                  <a:cs typeface="Arial" panose="020B0604020202020204" pitchFamily="34" charset="0"/>
                </a:rPr>
                <a:t>ij</a:t>
              </a:r>
              <a:r>
                <a:rPr lang="es-ES" sz="1400" i="0">
                  <a:latin typeface="Cambria Math" panose="02040503050406030204" pitchFamily="18" charset="0"/>
                </a:rPr>
                <a:t>=(</a:t>
              </a:r>
              <a:r>
                <a:rPr lang="es-ES" sz="1400" b="0" i="0">
                  <a:latin typeface="Cambria Math" panose="02040503050406030204" pitchFamily="18" charset="0"/>
                </a:rPr>
                <a:t> 𝑄𝑖𝑗</a:t>
              </a:r>
              <a:r>
                <a:rPr lang="es-ES" sz="1400" b="0" i="0" baseline="-25000">
                  <a:latin typeface="Cambria Math" panose="02040503050406030204" pitchFamily="18" charset="0"/>
                </a:rPr>
                <a:t>  )/</a:t>
              </a:r>
              <a:r>
                <a:rPr lang="es-ES" sz="1400" b="0" i="0" baseline="-25000">
                  <a:solidFill>
                    <a:schemeClr val="tx1"/>
                  </a:solidFill>
                  <a:effectLst/>
                  <a:latin typeface="Cambria Math" panose="02040503050406030204" pitchFamily="18" charset="0"/>
                  <a:ea typeface="+mn-ea"/>
                  <a:cs typeface="+mn-cs"/>
                </a:rPr>
                <a:t>█(</a:t>
              </a:r>
              <a:r>
                <a:rPr lang="es-ES" sz="1400" b="0" i="0">
                  <a:solidFill>
                    <a:schemeClr val="tx1"/>
                  </a:solidFill>
                  <a:effectLst/>
                  <a:latin typeface="Cambria Math" panose="02040503050406030204" pitchFamily="18" charset="0"/>
                  <a:ea typeface="+mn-ea"/>
                  <a:cs typeface="+mn-cs"/>
                </a:rPr>
                <a:t>𝐶𝐼</a:t>
              </a:r>
              <a:r>
                <a:rPr lang="es-ES" sz="1400" b="0" i="0" baseline="-25000">
                  <a:solidFill>
                    <a:schemeClr val="tx1"/>
                  </a:solidFill>
                  <a:effectLst/>
                  <a:latin typeface="Cambria Math" panose="02040503050406030204" pitchFamily="18" charset="0"/>
                  <a:ea typeface="+mn-ea"/>
                  <a:cs typeface="+mn-cs"/>
                </a:rPr>
                <a:t>𝑖𝑗</a:t>
              </a:r>
              <a:r>
                <a:rPr lang="es-ES" sz="1400" b="0" i="0">
                  <a:solidFill>
                    <a:schemeClr val="tx1"/>
                  </a:solidFill>
                  <a:effectLst/>
                  <a:latin typeface="Cambria Math" panose="02040503050406030204" pitchFamily="18" charset="0"/>
                  <a:ea typeface="+mn-ea"/>
                  <a:cs typeface="+mn-cs"/>
                </a:rPr>
                <a:t>+𝐶𝐹𝑖𝑗+𝐹𝐵𝐾𝐹𝑖𝑗 ±𝑉𝐸𝑖𝑗@ )</a:t>
              </a:r>
              <a:r>
                <a:rPr lang="es-ES" sz="1400" i="1">
                  <a:latin typeface="+mn-lt"/>
                  <a:cs typeface="Arial" panose="020B0604020202020204" pitchFamily="34" charset="0"/>
                </a:rPr>
                <a:t> x</a:t>
              </a:r>
              <a:r>
                <a:rPr lang="es-ES" sz="1400" i="1" baseline="0">
                  <a:latin typeface="+mn-lt"/>
                  <a:cs typeface="Arial" panose="020B0604020202020204" pitchFamily="34" charset="0"/>
                </a:rPr>
                <a:t> 100</a:t>
              </a:r>
              <a:endParaRPr lang="es-ES" sz="1400" i="1">
                <a:latin typeface="+mn-lt"/>
                <a:cs typeface="Arial" panose="020B0604020202020204" pitchFamily="34" charset="0"/>
              </a:endParaRPr>
            </a:p>
          </xdr:txBody>
        </xdr:sp>
      </mc:Fallback>
    </mc:AlternateContent>
    <xdr:clientData/>
  </xdr:oneCellAnchor>
  <xdr:oneCellAnchor>
    <xdr:from>
      <xdr:col>42</xdr:col>
      <xdr:colOff>42332</xdr:colOff>
      <xdr:row>181</xdr:row>
      <xdr:rowOff>867833</xdr:rowOff>
    </xdr:from>
    <xdr:ext cx="2495720" cy="493569"/>
    <mc:AlternateContent xmlns:mc="http://schemas.openxmlformats.org/markup-compatibility/2006" xmlns:a14="http://schemas.microsoft.com/office/drawing/2010/main">
      <mc:Choice Requires="a14">
        <xdr:sp macro="" textlink="">
          <xdr:nvSpPr>
            <xdr:cNvPr id="123" name="CuadroTexto 122">
              <a:extLst>
                <a:ext uri="{FF2B5EF4-FFF2-40B4-BE49-F238E27FC236}">
                  <a16:creationId xmlns:a16="http://schemas.microsoft.com/office/drawing/2014/main" id="{00000000-0008-0000-0400-00007B000000}"/>
                </a:ext>
              </a:extLst>
            </xdr:cNvPr>
            <xdr:cNvSpPr txBox="1"/>
          </xdr:nvSpPr>
          <xdr:spPr>
            <a:xfrm>
              <a:off x="31284332" y="115672658"/>
              <a:ext cx="2495720" cy="49356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ctr">
              <a:noAutofit/>
            </a:bodyPr>
            <a:lstStyle/>
            <a:p>
              <a:pPr algn="ctr"/>
              <a:r>
                <a:rPr lang="es-ES" sz="1400" i="1">
                  <a:latin typeface="+mn-lt"/>
                  <a:cs typeface="Arial" panose="020B0604020202020204" pitchFamily="34" charset="0"/>
                </a:rPr>
                <a:t>PMI</a:t>
              </a:r>
              <a:r>
                <a:rPr lang="es-ES" sz="1400" i="1" baseline="-25000">
                  <a:latin typeface="+mn-lt"/>
                  <a:cs typeface="Arial" panose="020B0604020202020204" pitchFamily="34" charset="0"/>
                </a:rPr>
                <a:t>ij</a:t>
              </a:r>
              <a14:m>
                <m:oMath xmlns:m="http://schemas.openxmlformats.org/officeDocument/2006/math">
                  <m:r>
                    <a:rPr lang="es-ES" sz="1400" i="1">
                      <a:latin typeface="Cambria Math" panose="02040503050406030204" pitchFamily="18" charset="0"/>
                    </a:rPr>
                    <m:t>=</m:t>
                  </m:r>
                  <m:f>
                    <m:fPr>
                      <m:ctrlPr>
                        <a:rPr lang="es-ES" sz="1400" i="1">
                          <a:latin typeface="Cambria Math" panose="02040503050406030204" pitchFamily="18" charset="0"/>
                        </a:rPr>
                      </m:ctrlPr>
                    </m:fPr>
                    <m:num>
                      <m:r>
                        <a:rPr lang="es-ES" sz="1400" b="0" i="1">
                          <a:latin typeface="Cambria Math" panose="02040503050406030204" pitchFamily="18" charset="0"/>
                        </a:rPr>
                        <m:t> </m:t>
                      </m:r>
                      <m:r>
                        <a:rPr lang="es-ES" sz="1400" b="0" i="1">
                          <a:latin typeface="Cambria Math" panose="02040503050406030204" pitchFamily="18" charset="0"/>
                        </a:rPr>
                        <m:t>𝑄𝑖𝑗</m:t>
                      </m:r>
                      <m:r>
                        <a:rPr lang="es-ES" sz="1400" b="0" i="1" baseline="-25000">
                          <a:latin typeface="Cambria Math" panose="02040503050406030204" pitchFamily="18" charset="0"/>
                        </a:rPr>
                        <m:t>  </m:t>
                      </m:r>
                    </m:num>
                    <m:den>
                      <m:eqArr>
                        <m:eqArrPr>
                          <m:ctrlPr>
                            <a:rPr lang="es-ES" sz="1400" b="0" i="1">
                              <a:solidFill>
                                <a:schemeClr val="tx1"/>
                              </a:solidFill>
                              <a:effectLst/>
                              <a:latin typeface="Cambria Math" panose="02040503050406030204" pitchFamily="18" charset="0"/>
                              <a:ea typeface="+mn-ea"/>
                              <a:cs typeface="+mn-cs"/>
                            </a:rPr>
                          </m:ctrlPr>
                        </m:eqArrPr>
                        <m:e>
                          <m:r>
                            <a:rPr lang="es-ES" sz="1400" b="0" i="1">
                              <a:solidFill>
                                <a:schemeClr val="tx1"/>
                              </a:solidFill>
                              <a:effectLst/>
                              <a:latin typeface="Cambria Math" panose="02040503050406030204" pitchFamily="18" charset="0"/>
                              <a:ea typeface="+mn-ea"/>
                              <a:cs typeface="+mn-cs"/>
                            </a:rPr>
                            <m:t>𝐶𝐼</m:t>
                          </m:r>
                          <m:r>
                            <a:rPr lang="es-ES" sz="1400" b="0" i="1" baseline="-25000">
                              <a:solidFill>
                                <a:schemeClr val="tx1"/>
                              </a:solidFill>
                              <a:effectLst/>
                              <a:latin typeface="Cambria Math" panose="02040503050406030204" pitchFamily="18" charset="0"/>
                              <a:ea typeface="+mn-ea"/>
                              <a:cs typeface="+mn-cs"/>
                            </a:rPr>
                            <m:t>𝑖𝑗</m:t>
                          </m:r>
                          <m:r>
                            <a:rPr lang="es-ES" sz="1400" b="0" i="1">
                              <a:solidFill>
                                <a:schemeClr val="tx1"/>
                              </a:solidFill>
                              <a:effectLst/>
                              <a:latin typeface="Cambria Math" panose="02040503050406030204" pitchFamily="18" charset="0"/>
                              <a:ea typeface="+mn-ea"/>
                              <a:cs typeface="+mn-cs"/>
                            </a:rPr>
                            <m:t>+</m:t>
                          </m:r>
                          <m:r>
                            <a:rPr lang="es-ES" sz="1400" b="0" i="1">
                              <a:solidFill>
                                <a:schemeClr val="tx1"/>
                              </a:solidFill>
                              <a:effectLst/>
                              <a:latin typeface="Cambria Math" panose="02040503050406030204" pitchFamily="18" charset="0"/>
                              <a:ea typeface="+mn-ea"/>
                              <a:cs typeface="+mn-cs"/>
                            </a:rPr>
                            <m:t>𝐶𝐹𝑖𝑗</m:t>
                          </m:r>
                          <m:r>
                            <a:rPr lang="es-ES" sz="1400" b="0" i="1">
                              <a:solidFill>
                                <a:schemeClr val="tx1"/>
                              </a:solidFill>
                              <a:effectLst/>
                              <a:latin typeface="Cambria Math" panose="02040503050406030204" pitchFamily="18" charset="0"/>
                              <a:ea typeface="+mn-ea"/>
                              <a:cs typeface="+mn-cs"/>
                            </a:rPr>
                            <m:t>+</m:t>
                          </m:r>
                          <m:r>
                            <a:rPr lang="es-ES" sz="1400" b="0" i="1">
                              <a:solidFill>
                                <a:schemeClr val="tx1"/>
                              </a:solidFill>
                              <a:effectLst/>
                              <a:latin typeface="Cambria Math" panose="02040503050406030204" pitchFamily="18" charset="0"/>
                              <a:ea typeface="+mn-ea"/>
                              <a:cs typeface="+mn-cs"/>
                            </a:rPr>
                            <m:t>𝐹𝐵𝐾𝐹𝑖𝑗</m:t>
                          </m:r>
                          <m:r>
                            <a:rPr lang="es-ES" sz="1400" b="0" i="1">
                              <a:solidFill>
                                <a:schemeClr val="tx1"/>
                              </a:solidFill>
                              <a:effectLst/>
                              <a:latin typeface="Cambria Math" panose="02040503050406030204" pitchFamily="18" charset="0"/>
                              <a:ea typeface="+mn-ea"/>
                              <a:cs typeface="+mn-cs"/>
                            </a:rPr>
                            <m:t> ±</m:t>
                          </m:r>
                          <m:r>
                            <a:rPr lang="es-ES" sz="1400" b="0" i="1">
                              <a:solidFill>
                                <a:schemeClr val="tx1"/>
                              </a:solidFill>
                              <a:effectLst/>
                              <a:latin typeface="Cambria Math" panose="02040503050406030204" pitchFamily="18" charset="0"/>
                              <a:ea typeface="+mn-ea"/>
                              <a:cs typeface="+mn-cs"/>
                            </a:rPr>
                            <m:t>𝑉𝐸𝑖𝑗</m:t>
                          </m:r>
                        </m:e>
                        <m:e>
                          <m:r>
                            <a:rPr lang="es-ES" sz="1400" b="0" i="1">
                              <a:solidFill>
                                <a:schemeClr val="tx1"/>
                              </a:solidFill>
                              <a:effectLst/>
                              <a:latin typeface="Cambria Math" panose="02040503050406030204" pitchFamily="18" charset="0"/>
                              <a:ea typeface="+mn-ea"/>
                              <a:cs typeface="+mn-cs"/>
                            </a:rPr>
                            <m:t> </m:t>
                          </m:r>
                        </m:e>
                      </m:eqArr>
                    </m:den>
                  </m:f>
                </m:oMath>
              </a14:m>
              <a:r>
                <a:rPr lang="es-ES" sz="1400" i="1">
                  <a:latin typeface="+mn-lt"/>
                  <a:cs typeface="Arial" panose="020B0604020202020204" pitchFamily="34" charset="0"/>
                </a:rPr>
                <a:t> x</a:t>
              </a:r>
              <a:r>
                <a:rPr lang="es-ES" sz="1400" i="1" baseline="0">
                  <a:latin typeface="+mn-lt"/>
                  <a:cs typeface="Arial" panose="020B0604020202020204" pitchFamily="34" charset="0"/>
                </a:rPr>
                <a:t> 100</a:t>
              </a:r>
              <a:endParaRPr lang="es-ES" sz="1400" i="1">
                <a:latin typeface="+mn-lt"/>
                <a:cs typeface="Arial" panose="020B0604020202020204" pitchFamily="34" charset="0"/>
              </a:endParaRPr>
            </a:p>
          </xdr:txBody>
        </xdr:sp>
      </mc:Choice>
      <mc:Fallback xmlns="">
        <xdr:sp macro="" textlink="">
          <xdr:nvSpPr>
            <xdr:cNvPr id="123" name="CuadroTexto 122">
              <a:extLst>
                <a:ext uri="{FF2B5EF4-FFF2-40B4-BE49-F238E27FC236}">
                  <a16:creationId xmlns:a16="http://schemas.microsoft.com/office/drawing/2014/main" xmlns="" xmlns:a14="http://schemas.microsoft.com/office/drawing/2010/main" id="{00000000-0008-0000-0100-00002B000000}"/>
                </a:ext>
              </a:extLst>
            </xdr:cNvPr>
            <xdr:cNvSpPr txBox="1"/>
          </xdr:nvSpPr>
          <xdr:spPr>
            <a:xfrm>
              <a:off x="31284332" y="115672658"/>
              <a:ext cx="2495720" cy="49356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ctr">
              <a:noAutofit/>
            </a:bodyPr>
            <a:lstStyle/>
            <a:p>
              <a:pPr algn="ctr"/>
              <a:r>
                <a:rPr lang="es-ES" sz="1400" i="1">
                  <a:latin typeface="+mn-lt"/>
                  <a:cs typeface="Arial" panose="020B0604020202020204" pitchFamily="34" charset="0"/>
                </a:rPr>
                <a:t>PMI</a:t>
              </a:r>
              <a:r>
                <a:rPr lang="es-ES" sz="1400" i="1" baseline="-25000">
                  <a:latin typeface="+mn-lt"/>
                  <a:cs typeface="Arial" panose="020B0604020202020204" pitchFamily="34" charset="0"/>
                </a:rPr>
                <a:t>ij</a:t>
              </a:r>
              <a:r>
                <a:rPr lang="es-ES" sz="1400" i="0">
                  <a:latin typeface="Cambria Math" panose="02040503050406030204" pitchFamily="18" charset="0"/>
                </a:rPr>
                <a:t>=(</a:t>
              </a:r>
              <a:r>
                <a:rPr lang="es-ES" sz="1400" b="0" i="0">
                  <a:latin typeface="Cambria Math" panose="02040503050406030204" pitchFamily="18" charset="0"/>
                </a:rPr>
                <a:t> 𝑄𝑖𝑗</a:t>
              </a:r>
              <a:r>
                <a:rPr lang="es-ES" sz="1400" b="0" i="0" baseline="-25000">
                  <a:latin typeface="Cambria Math" panose="02040503050406030204" pitchFamily="18" charset="0"/>
                </a:rPr>
                <a:t>  )/</a:t>
              </a:r>
              <a:r>
                <a:rPr lang="es-ES" sz="1400" b="0" i="0" baseline="-25000">
                  <a:solidFill>
                    <a:schemeClr val="tx1"/>
                  </a:solidFill>
                  <a:effectLst/>
                  <a:latin typeface="Cambria Math" panose="02040503050406030204" pitchFamily="18" charset="0"/>
                  <a:ea typeface="+mn-ea"/>
                  <a:cs typeface="+mn-cs"/>
                </a:rPr>
                <a:t>█(</a:t>
              </a:r>
              <a:r>
                <a:rPr lang="es-ES" sz="1400" b="0" i="0">
                  <a:solidFill>
                    <a:schemeClr val="tx1"/>
                  </a:solidFill>
                  <a:effectLst/>
                  <a:latin typeface="Cambria Math" panose="02040503050406030204" pitchFamily="18" charset="0"/>
                  <a:ea typeface="+mn-ea"/>
                  <a:cs typeface="+mn-cs"/>
                </a:rPr>
                <a:t>𝐶𝐼</a:t>
              </a:r>
              <a:r>
                <a:rPr lang="es-ES" sz="1400" b="0" i="0" baseline="-25000">
                  <a:solidFill>
                    <a:schemeClr val="tx1"/>
                  </a:solidFill>
                  <a:effectLst/>
                  <a:latin typeface="Cambria Math" panose="02040503050406030204" pitchFamily="18" charset="0"/>
                  <a:ea typeface="+mn-ea"/>
                  <a:cs typeface="+mn-cs"/>
                </a:rPr>
                <a:t>𝑖𝑗</a:t>
              </a:r>
              <a:r>
                <a:rPr lang="es-ES" sz="1400" b="0" i="0">
                  <a:solidFill>
                    <a:schemeClr val="tx1"/>
                  </a:solidFill>
                  <a:effectLst/>
                  <a:latin typeface="Cambria Math" panose="02040503050406030204" pitchFamily="18" charset="0"/>
                  <a:ea typeface="+mn-ea"/>
                  <a:cs typeface="+mn-cs"/>
                </a:rPr>
                <a:t>+𝐶𝐹𝑖𝑗+𝐹𝐵𝐾𝐹𝑖𝑗 ±𝑉𝐸𝑖𝑗@ )</a:t>
              </a:r>
              <a:r>
                <a:rPr lang="es-ES" sz="1400" i="1">
                  <a:latin typeface="+mn-lt"/>
                  <a:cs typeface="Arial" panose="020B0604020202020204" pitchFamily="34" charset="0"/>
                </a:rPr>
                <a:t> x</a:t>
              </a:r>
              <a:r>
                <a:rPr lang="es-ES" sz="1400" i="1" baseline="0">
                  <a:latin typeface="+mn-lt"/>
                  <a:cs typeface="Arial" panose="020B0604020202020204" pitchFamily="34" charset="0"/>
                </a:rPr>
                <a:t> 100</a:t>
              </a:r>
              <a:endParaRPr lang="es-ES" sz="1400" i="1">
                <a:latin typeface="+mn-lt"/>
                <a:cs typeface="Arial" panose="020B0604020202020204" pitchFamily="34" charset="0"/>
              </a:endParaRPr>
            </a:p>
          </xdr:txBody>
        </xdr:sp>
      </mc:Fallback>
    </mc:AlternateContent>
    <xdr:clientData/>
  </xdr:oneCellAnchor>
  <mc:AlternateContent xmlns:mc="http://schemas.openxmlformats.org/markup-compatibility/2006">
    <mc:Choice xmlns:a14="http://schemas.microsoft.com/office/drawing/2010/main" Requires="a14">
      <xdr:twoCellAnchor>
        <xdr:from>
          <xdr:col>41</xdr:col>
          <xdr:colOff>1543050</xdr:colOff>
          <xdr:row>156</xdr:row>
          <xdr:rowOff>0</xdr:rowOff>
        </xdr:from>
        <xdr:to>
          <xdr:col>42</xdr:col>
          <xdr:colOff>1438275</xdr:colOff>
          <xdr:row>156</xdr:row>
          <xdr:rowOff>0</xdr:rowOff>
        </xdr:to>
        <xdr:sp macro="" textlink="">
          <xdr:nvSpPr>
            <xdr:cNvPr id="61798" name="Object 1" hidden="1">
              <a:extLst>
                <a:ext uri="{63B3BB69-23CF-44E3-9099-C40C66FF867C}">
                  <a14:compatExt spid="_x0000_s61798"/>
                </a:ext>
                <a:ext uri="{FF2B5EF4-FFF2-40B4-BE49-F238E27FC236}">
                  <a16:creationId xmlns:a16="http://schemas.microsoft.com/office/drawing/2014/main" id="{00000000-0008-0000-0400-000066F10000}"/>
                </a:ext>
              </a:extLst>
            </xdr:cNvPr>
            <xdr:cNvSpPr/>
          </xdr:nvSpPr>
          <xdr:spPr bwMode="auto">
            <a:xfrm>
              <a:off x="0" y="0"/>
              <a:ext cx="0" cy="0"/>
            </a:xfrm>
            <a:prstGeom prst="rect">
              <a:avLst/>
            </a:prstGeom>
            <a:noFill/>
            <a:extLst>
              <a:ext uri="{909E8E84-426E-40DD-AFC4-6F175D3DCCD1}">
                <a14:hiddenFill>
                  <a:solidFill>
                    <a:srgbClr val="FFFFFF"/>
                  </a:solid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41</xdr:col>
          <xdr:colOff>1571625</xdr:colOff>
          <xdr:row>156</xdr:row>
          <xdr:rowOff>0</xdr:rowOff>
        </xdr:from>
        <xdr:to>
          <xdr:col>42</xdr:col>
          <xdr:colOff>1438275</xdr:colOff>
          <xdr:row>156</xdr:row>
          <xdr:rowOff>0</xdr:rowOff>
        </xdr:to>
        <xdr:sp macro="" textlink="">
          <xdr:nvSpPr>
            <xdr:cNvPr id="61799" name="Object 4" hidden="1">
              <a:extLst>
                <a:ext uri="{63B3BB69-23CF-44E3-9099-C40C66FF867C}">
                  <a14:compatExt spid="_x0000_s61799"/>
                </a:ext>
                <a:ext uri="{FF2B5EF4-FFF2-40B4-BE49-F238E27FC236}">
                  <a16:creationId xmlns:a16="http://schemas.microsoft.com/office/drawing/2014/main" id="{00000000-0008-0000-0400-000067F10000}"/>
                </a:ext>
              </a:extLst>
            </xdr:cNvPr>
            <xdr:cNvSpPr/>
          </xdr:nvSpPr>
          <xdr:spPr bwMode="auto">
            <a:xfrm>
              <a:off x="0" y="0"/>
              <a:ext cx="0" cy="0"/>
            </a:xfrm>
            <a:prstGeom prst="rect">
              <a:avLst/>
            </a:prstGeom>
            <a:noFill/>
            <a:extLst>
              <a:ext uri="{909E8E84-426E-40DD-AFC4-6F175D3DCCD1}">
                <a14:hiddenFill>
                  <a:solidFill>
                    <a:srgbClr val="FFFFFF"/>
                  </a:solid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41</xdr:col>
          <xdr:colOff>1552575</xdr:colOff>
          <xdr:row>156</xdr:row>
          <xdr:rowOff>0</xdr:rowOff>
        </xdr:from>
        <xdr:to>
          <xdr:col>42</xdr:col>
          <xdr:colOff>1438275</xdr:colOff>
          <xdr:row>156</xdr:row>
          <xdr:rowOff>0</xdr:rowOff>
        </xdr:to>
        <xdr:sp macro="" textlink="">
          <xdr:nvSpPr>
            <xdr:cNvPr id="61800" name="Object 5" hidden="1">
              <a:extLst>
                <a:ext uri="{63B3BB69-23CF-44E3-9099-C40C66FF867C}">
                  <a14:compatExt spid="_x0000_s61800"/>
                </a:ext>
                <a:ext uri="{FF2B5EF4-FFF2-40B4-BE49-F238E27FC236}">
                  <a16:creationId xmlns:a16="http://schemas.microsoft.com/office/drawing/2014/main" id="{00000000-0008-0000-0400-000068F10000}"/>
                </a:ext>
              </a:extLst>
            </xdr:cNvPr>
            <xdr:cNvSpPr/>
          </xdr:nvSpPr>
          <xdr:spPr bwMode="auto">
            <a:xfrm>
              <a:off x="0" y="0"/>
              <a:ext cx="0" cy="0"/>
            </a:xfrm>
            <a:prstGeom prst="rect">
              <a:avLst/>
            </a:prstGeom>
            <a:noFill/>
            <a:extLst>
              <a:ext uri="{909E8E84-426E-40DD-AFC4-6F175D3DCCD1}">
                <a14:hiddenFill>
                  <a:solidFill>
                    <a:srgbClr val="FFFFFF"/>
                  </a:solid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41</xdr:col>
          <xdr:colOff>1514475</xdr:colOff>
          <xdr:row>156</xdr:row>
          <xdr:rowOff>0</xdr:rowOff>
        </xdr:from>
        <xdr:to>
          <xdr:col>42</xdr:col>
          <xdr:colOff>1409700</xdr:colOff>
          <xdr:row>156</xdr:row>
          <xdr:rowOff>0</xdr:rowOff>
        </xdr:to>
        <xdr:sp macro="" textlink="">
          <xdr:nvSpPr>
            <xdr:cNvPr id="61801" name="Object 6" hidden="1">
              <a:extLst>
                <a:ext uri="{63B3BB69-23CF-44E3-9099-C40C66FF867C}">
                  <a14:compatExt spid="_x0000_s61801"/>
                </a:ext>
                <a:ext uri="{FF2B5EF4-FFF2-40B4-BE49-F238E27FC236}">
                  <a16:creationId xmlns:a16="http://schemas.microsoft.com/office/drawing/2014/main" id="{00000000-0008-0000-0400-000069F10000}"/>
                </a:ext>
              </a:extLst>
            </xdr:cNvPr>
            <xdr:cNvSpPr/>
          </xdr:nvSpPr>
          <xdr:spPr bwMode="auto">
            <a:xfrm>
              <a:off x="0" y="0"/>
              <a:ext cx="0" cy="0"/>
            </a:xfrm>
            <a:prstGeom prst="rect">
              <a:avLst/>
            </a:prstGeom>
            <a:noFill/>
            <a:extLst>
              <a:ext uri="{909E8E84-426E-40DD-AFC4-6F175D3DCCD1}">
                <a14:hiddenFill>
                  <a:solidFill>
                    <a:srgbClr val="FFFFFF"/>
                  </a:solid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42</xdr:col>
          <xdr:colOff>352425</xdr:colOff>
          <xdr:row>82</xdr:row>
          <xdr:rowOff>628650</xdr:rowOff>
        </xdr:from>
        <xdr:to>
          <xdr:col>42</xdr:col>
          <xdr:colOff>2181225</xdr:colOff>
          <xdr:row>82</xdr:row>
          <xdr:rowOff>1066800</xdr:rowOff>
        </xdr:to>
        <xdr:sp macro="" textlink="">
          <xdr:nvSpPr>
            <xdr:cNvPr id="61808" name="Object 368" hidden="1">
              <a:extLst>
                <a:ext uri="{63B3BB69-23CF-44E3-9099-C40C66FF867C}">
                  <a14:compatExt spid="_x0000_s61808"/>
                </a:ext>
                <a:ext uri="{FF2B5EF4-FFF2-40B4-BE49-F238E27FC236}">
                  <a16:creationId xmlns:a16="http://schemas.microsoft.com/office/drawing/2014/main" id="{00000000-0008-0000-0400-000070F10000}"/>
                </a:ext>
              </a:extLst>
            </xdr:cNvPr>
            <xdr:cNvSpPr/>
          </xdr:nvSpPr>
          <xdr:spPr bwMode="auto">
            <a:xfrm>
              <a:off x="0" y="0"/>
              <a:ext cx="0" cy="0"/>
            </a:xfrm>
            <a:prstGeom prst="rect">
              <a:avLst/>
            </a:prstGeom>
            <a:noFill/>
            <a:extLst>
              <a:ext uri="{909E8E84-426E-40DD-AFC4-6F175D3DCCD1}">
                <a14:hiddenFill>
                  <a:solidFill>
                    <a:srgbClr val="FFFFFF"/>
                  </a:solid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42</xdr:col>
          <xdr:colOff>304800</xdr:colOff>
          <xdr:row>81</xdr:row>
          <xdr:rowOff>771525</xdr:rowOff>
        </xdr:from>
        <xdr:to>
          <xdr:col>42</xdr:col>
          <xdr:colOff>2257425</xdr:colOff>
          <xdr:row>81</xdr:row>
          <xdr:rowOff>1200150</xdr:rowOff>
        </xdr:to>
        <xdr:sp macro="" textlink="">
          <xdr:nvSpPr>
            <xdr:cNvPr id="61809" name="Object 369" hidden="1">
              <a:extLst>
                <a:ext uri="{63B3BB69-23CF-44E3-9099-C40C66FF867C}">
                  <a14:compatExt spid="_x0000_s61809"/>
                </a:ext>
                <a:ext uri="{FF2B5EF4-FFF2-40B4-BE49-F238E27FC236}">
                  <a16:creationId xmlns:a16="http://schemas.microsoft.com/office/drawing/2014/main" id="{00000000-0008-0000-0400-000071F10000}"/>
                </a:ext>
              </a:extLst>
            </xdr:cNvPr>
            <xdr:cNvSpPr/>
          </xdr:nvSpPr>
          <xdr:spPr bwMode="auto">
            <a:xfrm>
              <a:off x="0" y="0"/>
              <a:ext cx="0" cy="0"/>
            </a:xfrm>
            <a:prstGeom prst="rect">
              <a:avLst/>
            </a:prstGeom>
            <a:noFill/>
            <a:extLst>
              <a:ext uri="{909E8E84-426E-40DD-AFC4-6F175D3DCCD1}">
                <a14:hiddenFill>
                  <a:solidFill>
                    <a:srgbClr val="FFFFFF"/>
                  </a:solidFill>
                </a14:hiddenFill>
              </a:ext>
            </a:extLst>
          </xdr:spPr>
        </xdr:sp>
        <xdr:clientData/>
      </xdr:twoCellAnchor>
    </mc:Choice>
    <mc:Fallback/>
  </mc:AlternateContent>
  <xdr:twoCellAnchor editAs="oneCell">
    <xdr:from>
      <xdr:col>42</xdr:col>
      <xdr:colOff>777838</xdr:colOff>
      <xdr:row>124</xdr:row>
      <xdr:rowOff>468157</xdr:rowOff>
    </xdr:from>
    <xdr:to>
      <xdr:col>42</xdr:col>
      <xdr:colOff>1716368</xdr:colOff>
      <xdr:row>124</xdr:row>
      <xdr:rowOff>781631</xdr:rowOff>
    </xdr:to>
    <xdr:pic>
      <xdr:nvPicPr>
        <xdr:cNvPr id="130" name="Imagen 129">
          <a:extLst>
            <a:ext uri="{FF2B5EF4-FFF2-40B4-BE49-F238E27FC236}">
              <a16:creationId xmlns:a16="http://schemas.microsoft.com/office/drawing/2014/main" id="{00000000-0008-0000-0400-000082000000}"/>
            </a:ext>
          </a:extLst>
        </xdr:cNvPr>
        <xdr:cNvPicPr>
          <a:picLocks noChangeAspect="1" noChangeArrowheads="1"/>
        </xdr:cNvPicPr>
      </xdr:nvPicPr>
      <xdr:blipFill rotWithShape="1">
        <a:blip xmlns:r="http://schemas.openxmlformats.org/officeDocument/2006/relationships" r:embed="rId5" cstate="print">
          <a:extLst>
            <a:ext uri="{28A0092B-C50C-407E-A947-70E740481C1C}">
              <a14:useLocalDpi xmlns:a14="http://schemas.microsoft.com/office/drawing/2010/main" val="0"/>
            </a:ext>
          </a:extLst>
        </a:blip>
        <a:srcRect l="43274" r="45369" b="27202"/>
        <a:stretch/>
      </xdr:blipFill>
      <xdr:spPr bwMode="auto">
        <a:xfrm>
          <a:off x="41192413" y="8278657"/>
          <a:ext cx="938530" cy="31347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42</xdr:col>
      <xdr:colOff>874057</xdr:colOff>
      <xdr:row>129</xdr:row>
      <xdr:rowOff>179293</xdr:rowOff>
    </xdr:from>
    <xdr:to>
      <xdr:col>42</xdr:col>
      <xdr:colOff>1781736</xdr:colOff>
      <xdr:row>129</xdr:row>
      <xdr:rowOff>831568</xdr:rowOff>
    </xdr:to>
    <xdr:pic>
      <xdr:nvPicPr>
        <xdr:cNvPr id="131" name="Imagen 130">
          <a:extLst>
            <a:ext uri="{FF2B5EF4-FFF2-40B4-BE49-F238E27FC236}">
              <a16:creationId xmlns:a16="http://schemas.microsoft.com/office/drawing/2014/main" id="{00000000-0008-0000-0400-000083000000}"/>
            </a:ext>
          </a:extLst>
        </xdr:cNvPr>
        <xdr:cNvPicPr>
          <a:picLocks noChangeAspect="1" noChangeArrowheads="1"/>
        </xdr:cNvPicPr>
      </xdr:nvPicPr>
      <xdr:blipFill rotWithShape="1">
        <a:blip xmlns:r="http://schemas.openxmlformats.org/officeDocument/2006/relationships" r:embed="rId6" cstate="print">
          <a:extLst>
            <a:ext uri="{28A0092B-C50C-407E-A947-70E740481C1C}">
              <a14:useLocalDpi xmlns:a14="http://schemas.microsoft.com/office/drawing/2010/main" val="0"/>
            </a:ext>
          </a:extLst>
        </a:blip>
        <a:srcRect l="45015" t="-28397" r="45027" b="-9534"/>
        <a:stretch/>
      </xdr:blipFill>
      <xdr:spPr bwMode="auto">
        <a:xfrm>
          <a:off x="41288632" y="13742893"/>
          <a:ext cx="907679" cy="6522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42</xdr:col>
      <xdr:colOff>775606</xdr:colOff>
      <xdr:row>136</xdr:row>
      <xdr:rowOff>184577</xdr:rowOff>
    </xdr:from>
    <xdr:to>
      <xdr:col>42</xdr:col>
      <xdr:colOff>1956227</xdr:colOff>
      <xdr:row>136</xdr:row>
      <xdr:rowOff>672755</xdr:rowOff>
    </xdr:to>
    <xdr:pic>
      <xdr:nvPicPr>
        <xdr:cNvPr id="132" name="Imagen 131">
          <a:extLst>
            <a:ext uri="{FF2B5EF4-FFF2-40B4-BE49-F238E27FC236}">
              <a16:creationId xmlns:a16="http://schemas.microsoft.com/office/drawing/2014/main" id="{00000000-0008-0000-0400-000084000000}"/>
            </a:ext>
          </a:extLst>
        </xdr:cNvPr>
        <xdr:cNvPicPr>
          <a:picLocks noChangeAspect="1" noChangeArrowheads="1"/>
        </xdr:cNvPicPr>
      </xdr:nvPicPr>
      <xdr:blipFill rotWithShape="1">
        <a:blip xmlns:r="http://schemas.openxmlformats.org/officeDocument/2006/relationships" r:embed="rId7" cstate="print">
          <a:extLst>
            <a:ext uri="{28A0092B-C50C-407E-A947-70E740481C1C}">
              <a14:useLocalDpi xmlns:a14="http://schemas.microsoft.com/office/drawing/2010/main" val="0"/>
            </a:ext>
          </a:extLst>
        </a:blip>
        <a:srcRect l="43979" t="-32455" r="42330" b="22921"/>
        <a:stretch/>
      </xdr:blipFill>
      <xdr:spPr bwMode="auto">
        <a:xfrm>
          <a:off x="41190181" y="23177927"/>
          <a:ext cx="1180621" cy="48817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42</xdr:col>
      <xdr:colOff>718459</xdr:colOff>
      <xdr:row>137</xdr:row>
      <xdr:rowOff>347944</xdr:rowOff>
    </xdr:from>
    <xdr:to>
      <xdr:col>42</xdr:col>
      <xdr:colOff>1783817</xdr:colOff>
      <xdr:row>137</xdr:row>
      <xdr:rowOff>934243</xdr:rowOff>
    </xdr:to>
    <xdr:pic>
      <xdr:nvPicPr>
        <xdr:cNvPr id="133" name="Imagen 132">
          <a:extLst>
            <a:ext uri="{FF2B5EF4-FFF2-40B4-BE49-F238E27FC236}">
              <a16:creationId xmlns:a16="http://schemas.microsoft.com/office/drawing/2014/main" id="{00000000-0008-0000-0400-000085000000}"/>
            </a:ext>
          </a:extLst>
        </xdr:cNvPr>
        <xdr:cNvPicPr>
          <a:picLocks noChangeAspect="1" noChangeArrowheads="1"/>
        </xdr:cNvPicPr>
      </xdr:nvPicPr>
      <xdr:blipFill rotWithShape="1">
        <a:blip xmlns:r="http://schemas.openxmlformats.org/officeDocument/2006/relationships" r:embed="rId8" cstate="print">
          <a:extLst>
            <a:ext uri="{28A0092B-C50C-407E-A947-70E740481C1C}">
              <a14:useLocalDpi xmlns:a14="http://schemas.microsoft.com/office/drawing/2010/main" val="0"/>
            </a:ext>
          </a:extLst>
        </a:blip>
        <a:srcRect l="43979" t="-16226" r="44611" b="-5477"/>
        <a:stretch/>
      </xdr:blipFill>
      <xdr:spPr bwMode="auto">
        <a:xfrm>
          <a:off x="41133034" y="26065444"/>
          <a:ext cx="1065358" cy="58629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42</xdr:col>
      <xdr:colOff>571502</xdr:colOff>
      <xdr:row>138</xdr:row>
      <xdr:rowOff>694765</xdr:rowOff>
    </xdr:from>
    <xdr:to>
      <xdr:col>42</xdr:col>
      <xdr:colOff>2059483</xdr:colOff>
      <xdr:row>138</xdr:row>
      <xdr:rowOff>1389529</xdr:rowOff>
    </xdr:to>
    <xdr:pic>
      <xdr:nvPicPr>
        <xdr:cNvPr id="134" name="Imagen 133">
          <a:extLst>
            <a:ext uri="{FF2B5EF4-FFF2-40B4-BE49-F238E27FC236}">
              <a16:creationId xmlns:a16="http://schemas.microsoft.com/office/drawing/2014/main" id="{00000000-0008-0000-0400-000086000000}"/>
            </a:ext>
          </a:extLst>
        </xdr:cNvPr>
        <xdr:cNvPicPr>
          <a:picLocks noChangeAspect="1" noChangeArrowheads="1"/>
        </xdr:cNvPicPr>
      </xdr:nvPicPr>
      <xdr:blipFill rotWithShape="1">
        <a:blip xmlns:r="http://schemas.openxmlformats.org/officeDocument/2006/relationships" r:embed="rId9" cstate="print">
          <a:extLst>
            <a:ext uri="{28A0092B-C50C-407E-A947-70E740481C1C}">
              <a14:useLocalDpi xmlns:a14="http://schemas.microsoft.com/office/drawing/2010/main" val="0"/>
            </a:ext>
          </a:extLst>
        </a:blip>
        <a:srcRect l="41905" t="-32454" r="40670" b="-25762"/>
        <a:stretch/>
      </xdr:blipFill>
      <xdr:spPr bwMode="auto">
        <a:xfrm>
          <a:off x="40986077" y="27755290"/>
          <a:ext cx="1487981" cy="69476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42</xdr:col>
      <xdr:colOff>179295</xdr:colOff>
      <xdr:row>131</xdr:row>
      <xdr:rowOff>672356</xdr:rowOff>
    </xdr:from>
    <xdr:to>
      <xdr:col>42</xdr:col>
      <xdr:colOff>2353237</xdr:colOff>
      <xdr:row>131</xdr:row>
      <xdr:rowOff>1296806</xdr:rowOff>
    </xdr:to>
    <xdr:pic>
      <xdr:nvPicPr>
        <xdr:cNvPr id="135" name="Imagen 134">
          <a:extLst>
            <a:ext uri="{FF2B5EF4-FFF2-40B4-BE49-F238E27FC236}">
              <a16:creationId xmlns:a16="http://schemas.microsoft.com/office/drawing/2014/main" id="{00000000-0008-0000-0400-000087000000}"/>
            </a:ext>
          </a:extLst>
        </xdr:cNvPr>
        <xdr:cNvPicPr>
          <a:picLocks noChangeAspect="1" noChangeArrowheads="1"/>
        </xdr:cNvPicPr>
      </xdr:nvPicPr>
      <xdr:blipFill rotWithShape="1">
        <a:blip xmlns:r="http://schemas.openxmlformats.org/officeDocument/2006/relationships" r:embed="rId10" cstate="print">
          <a:extLst>
            <a:ext uri="{28A0092B-C50C-407E-A947-70E740481C1C}">
              <a14:useLocalDpi xmlns:a14="http://schemas.microsoft.com/office/drawing/2010/main" val="0"/>
            </a:ext>
          </a:extLst>
        </a:blip>
        <a:srcRect l="35248" t="-5228" r="34688" b="-1961"/>
        <a:stretch/>
      </xdr:blipFill>
      <xdr:spPr bwMode="auto">
        <a:xfrm>
          <a:off x="40593870" y="16455281"/>
          <a:ext cx="2173942" cy="624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42</xdr:col>
      <xdr:colOff>179295</xdr:colOff>
      <xdr:row>135</xdr:row>
      <xdr:rowOff>200240</xdr:rowOff>
    </xdr:from>
    <xdr:to>
      <xdr:col>42</xdr:col>
      <xdr:colOff>2353237</xdr:colOff>
      <xdr:row>135</xdr:row>
      <xdr:rowOff>865863</xdr:rowOff>
    </xdr:to>
    <xdr:pic>
      <xdr:nvPicPr>
        <xdr:cNvPr id="136" name="Imagen 135">
          <a:extLst>
            <a:ext uri="{FF2B5EF4-FFF2-40B4-BE49-F238E27FC236}">
              <a16:creationId xmlns:a16="http://schemas.microsoft.com/office/drawing/2014/main" id="{00000000-0008-0000-0400-000088000000}"/>
            </a:ext>
          </a:extLst>
        </xdr:cNvPr>
        <xdr:cNvPicPr>
          <a:picLocks noChangeAspect="1" noChangeArrowheads="1"/>
        </xdr:cNvPicPr>
      </xdr:nvPicPr>
      <xdr:blipFill rotWithShape="1">
        <a:blip xmlns:r="http://schemas.openxmlformats.org/officeDocument/2006/relationships" r:embed="rId11" cstate="print">
          <a:extLst>
            <a:ext uri="{28A0092B-C50C-407E-A947-70E740481C1C}">
              <a14:useLocalDpi xmlns:a14="http://schemas.microsoft.com/office/drawing/2010/main" val="0"/>
            </a:ext>
          </a:extLst>
        </a:blip>
        <a:srcRect l="35180" t="-10256" r="35334" b="-2564"/>
        <a:stretch/>
      </xdr:blipFill>
      <xdr:spPr bwMode="auto">
        <a:xfrm>
          <a:off x="40593870" y="22060115"/>
          <a:ext cx="2173942" cy="66562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42</xdr:col>
      <xdr:colOff>661147</xdr:colOff>
      <xdr:row>130</xdr:row>
      <xdr:rowOff>313764</xdr:rowOff>
    </xdr:from>
    <xdr:to>
      <xdr:col>42</xdr:col>
      <xdr:colOff>1927412</xdr:colOff>
      <xdr:row>130</xdr:row>
      <xdr:rowOff>763864</xdr:rowOff>
    </xdr:to>
    <xdr:pic>
      <xdr:nvPicPr>
        <xdr:cNvPr id="137" name="Imagen 136">
          <a:extLst>
            <a:ext uri="{FF2B5EF4-FFF2-40B4-BE49-F238E27FC236}">
              <a16:creationId xmlns:a16="http://schemas.microsoft.com/office/drawing/2014/main" id="{00000000-0008-0000-0400-000089000000}"/>
            </a:ext>
          </a:extLst>
        </xdr:cNvPr>
        <xdr:cNvPicPr>
          <a:picLocks noChangeAspect="1" noChangeArrowheads="1"/>
        </xdr:cNvPicPr>
      </xdr:nvPicPr>
      <xdr:blipFill rotWithShape="1">
        <a:blip xmlns:r="http://schemas.openxmlformats.org/officeDocument/2006/relationships" r:embed="rId12" cstate="print">
          <a:extLst>
            <a:ext uri="{28A0092B-C50C-407E-A947-70E740481C1C}">
              <a14:useLocalDpi xmlns:a14="http://schemas.microsoft.com/office/drawing/2010/main" val="0"/>
            </a:ext>
          </a:extLst>
        </a:blip>
        <a:srcRect l="41883" t="-16227" r="42774" b="10750"/>
        <a:stretch/>
      </xdr:blipFill>
      <xdr:spPr bwMode="auto">
        <a:xfrm>
          <a:off x="41075722" y="14896539"/>
          <a:ext cx="1266265" cy="4501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42</xdr:col>
      <xdr:colOff>186730</xdr:colOff>
      <xdr:row>134</xdr:row>
      <xdr:rowOff>254883</xdr:rowOff>
    </xdr:from>
    <xdr:to>
      <xdr:col>42</xdr:col>
      <xdr:colOff>2376112</xdr:colOff>
      <xdr:row>134</xdr:row>
      <xdr:rowOff>888437</xdr:rowOff>
    </xdr:to>
    <xdr:pic>
      <xdr:nvPicPr>
        <xdr:cNvPr id="138" name="Imagen 137">
          <a:extLst>
            <a:ext uri="{FF2B5EF4-FFF2-40B4-BE49-F238E27FC236}">
              <a16:creationId xmlns:a16="http://schemas.microsoft.com/office/drawing/2014/main" id="{00000000-0008-0000-0400-00008A000000}"/>
            </a:ext>
          </a:extLst>
        </xdr:cNvPr>
        <xdr:cNvPicPr>
          <a:picLocks noChangeAspect="1" noChangeArrowheads="1"/>
        </xdr:cNvPicPr>
      </xdr:nvPicPr>
      <xdr:blipFill rotWithShape="1">
        <a:blip xmlns:r="http://schemas.openxmlformats.org/officeDocument/2006/relationships" r:embed="rId13" cstate="print">
          <a:extLst>
            <a:ext uri="{28A0092B-C50C-407E-A947-70E740481C1C}">
              <a14:useLocalDpi xmlns:a14="http://schemas.microsoft.com/office/drawing/2010/main" val="0"/>
            </a:ext>
          </a:extLst>
        </a:blip>
        <a:srcRect l="34164" t="-10256" r="33910" b="-5128"/>
        <a:stretch/>
      </xdr:blipFill>
      <xdr:spPr bwMode="auto">
        <a:xfrm>
          <a:off x="40601305" y="20943183"/>
          <a:ext cx="2189382" cy="633554"/>
        </a:xfrm>
        <a:prstGeom prst="rect">
          <a:avLst/>
        </a:prstGeom>
        <a:solidFill>
          <a:schemeClr val="bg1"/>
        </a:solidFill>
        <a:effectLst>
          <a:outerShdw blurRad="50800" dist="50800" dir="5400000" algn="ctr" rotWithShape="0">
            <a:schemeClr val="bg1"/>
          </a:outerShdw>
        </a:effectLst>
        <a:extLst/>
      </xdr:spPr>
    </xdr:pic>
    <xdr:clientData/>
  </xdr:twoCellAnchor>
  <xdr:twoCellAnchor editAs="oneCell">
    <xdr:from>
      <xdr:col>42</xdr:col>
      <xdr:colOff>303812</xdr:colOff>
      <xdr:row>123</xdr:row>
      <xdr:rowOff>395339</xdr:rowOff>
    </xdr:from>
    <xdr:to>
      <xdr:col>42</xdr:col>
      <xdr:colOff>2356015</xdr:colOff>
      <xdr:row>123</xdr:row>
      <xdr:rowOff>1085843</xdr:rowOff>
    </xdr:to>
    <xdr:pic>
      <xdr:nvPicPr>
        <xdr:cNvPr id="139" name="Imagen 138">
          <a:extLst>
            <a:ext uri="{FF2B5EF4-FFF2-40B4-BE49-F238E27FC236}">
              <a16:creationId xmlns:a16="http://schemas.microsoft.com/office/drawing/2014/main" id="{00000000-0008-0000-0400-00008B000000}"/>
            </a:ext>
          </a:extLst>
        </xdr:cNvPr>
        <xdr:cNvPicPr>
          <a:picLocks noChangeAspect="1" noChangeArrowheads="1"/>
        </xdr:cNvPicPr>
      </xdr:nvPicPr>
      <xdr:blipFill rotWithShape="1">
        <a:blip xmlns:r="http://schemas.openxmlformats.org/officeDocument/2006/relationships" r:embed="rId14" cstate="print">
          <a:extLst>
            <a:ext uri="{28A0092B-C50C-407E-A947-70E740481C1C}">
              <a14:useLocalDpi xmlns:a14="http://schemas.microsoft.com/office/drawing/2010/main" val="0"/>
            </a:ext>
          </a:extLst>
        </a:blip>
        <a:srcRect l="34306" t="-16161" r="36358" b="-7072"/>
        <a:stretch/>
      </xdr:blipFill>
      <xdr:spPr bwMode="auto">
        <a:xfrm>
          <a:off x="40718387" y="6758039"/>
          <a:ext cx="2052203" cy="69050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mc:AlternateContent xmlns:mc="http://schemas.openxmlformats.org/markup-compatibility/2006">
    <mc:Choice xmlns:a14="http://schemas.microsoft.com/office/drawing/2010/main" Requires="a14">
      <xdr:twoCellAnchor>
        <xdr:from>
          <xdr:col>42</xdr:col>
          <xdr:colOff>314325</xdr:colOff>
          <xdr:row>122</xdr:row>
          <xdr:rowOff>981075</xdr:rowOff>
        </xdr:from>
        <xdr:to>
          <xdr:col>42</xdr:col>
          <xdr:colOff>2200275</xdr:colOff>
          <xdr:row>122</xdr:row>
          <xdr:rowOff>1628775</xdr:rowOff>
        </xdr:to>
        <xdr:sp macro="" textlink="">
          <xdr:nvSpPr>
            <xdr:cNvPr id="61810" name="Object 370" hidden="1">
              <a:extLst>
                <a:ext uri="{63B3BB69-23CF-44E3-9099-C40C66FF867C}">
                  <a14:compatExt spid="_x0000_s61810"/>
                </a:ext>
                <a:ext uri="{FF2B5EF4-FFF2-40B4-BE49-F238E27FC236}">
                  <a16:creationId xmlns:a16="http://schemas.microsoft.com/office/drawing/2014/main" id="{00000000-0008-0000-0400-000072F10000}"/>
                </a:ext>
              </a:extLst>
            </xdr:cNvPr>
            <xdr:cNvSpPr/>
          </xdr:nvSpPr>
          <xdr:spPr bwMode="auto">
            <a:xfrm>
              <a:off x="0" y="0"/>
              <a:ext cx="0" cy="0"/>
            </a:xfrm>
            <a:prstGeom prst="rect">
              <a:avLst/>
            </a:prstGeom>
            <a:noFill/>
            <a:extLst>
              <a:ext uri="{909E8E84-426E-40DD-AFC4-6F175D3DCCD1}">
                <a14:hiddenFill>
                  <a:solidFill>
                    <a:srgbClr val="FFFF00"/>
                  </a:solid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42</xdr:col>
          <xdr:colOff>333375</xdr:colOff>
          <xdr:row>125</xdr:row>
          <xdr:rowOff>142875</xdr:rowOff>
        </xdr:from>
        <xdr:to>
          <xdr:col>42</xdr:col>
          <xdr:colOff>2257425</xdr:colOff>
          <xdr:row>125</xdr:row>
          <xdr:rowOff>771525</xdr:rowOff>
        </xdr:to>
        <xdr:sp macro="" textlink="">
          <xdr:nvSpPr>
            <xdr:cNvPr id="61811" name="Object 371" hidden="1">
              <a:extLst>
                <a:ext uri="{63B3BB69-23CF-44E3-9099-C40C66FF867C}">
                  <a14:compatExt spid="_x0000_s61811"/>
                </a:ext>
                <a:ext uri="{FF2B5EF4-FFF2-40B4-BE49-F238E27FC236}">
                  <a16:creationId xmlns:a16="http://schemas.microsoft.com/office/drawing/2014/main" id="{00000000-0008-0000-0400-000073F10000}"/>
                </a:ext>
              </a:extLst>
            </xdr:cNvPr>
            <xdr:cNvSpPr/>
          </xdr:nvSpPr>
          <xdr:spPr bwMode="auto">
            <a:xfrm>
              <a:off x="0" y="0"/>
              <a:ext cx="0" cy="0"/>
            </a:xfrm>
            <a:prstGeom prst="rect">
              <a:avLst/>
            </a:prstGeom>
            <a:noFill/>
            <a:extLst>
              <a:ext uri="{909E8E84-426E-40DD-AFC4-6F175D3DCCD1}">
                <a14:hiddenFill>
                  <a:solidFill>
                    <a:srgbClr val="99CCFF"/>
                  </a:solid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42</xdr:col>
          <xdr:colOff>247650</xdr:colOff>
          <xdr:row>127</xdr:row>
          <xdr:rowOff>161925</xdr:rowOff>
        </xdr:from>
        <xdr:to>
          <xdr:col>42</xdr:col>
          <xdr:colOff>2305050</xdr:colOff>
          <xdr:row>127</xdr:row>
          <xdr:rowOff>771525</xdr:rowOff>
        </xdr:to>
        <xdr:sp macro="" textlink="">
          <xdr:nvSpPr>
            <xdr:cNvPr id="61812" name="Object 372" hidden="1">
              <a:extLst>
                <a:ext uri="{63B3BB69-23CF-44E3-9099-C40C66FF867C}">
                  <a14:compatExt spid="_x0000_s61812"/>
                </a:ext>
                <a:ext uri="{FF2B5EF4-FFF2-40B4-BE49-F238E27FC236}">
                  <a16:creationId xmlns:a16="http://schemas.microsoft.com/office/drawing/2014/main" id="{00000000-0008-0000-0400-000074F10000}"/>
                </a:ext>
              </a:extLst>
            </xdr:cNvPr>
            <xdr:cNvSpPr/>
          </xdr:nvSpPr>
          <xdr:spPr bwMode="auto">
            <a:xfrm>
              <a:off x="0" y="0"/>
              <a:ext cx="0" cy="0"/>
            </a:xfrm>
            <a:prstGeom prst="rect">
              <a:avLst/>
            </a:prstGeom>
            <a:noFill/>
            <a:extLst>
              <a:ext uri="{909E8E84-426E-40DD-AFC4-6F175D3DCCD1}">
                <a14:hiddenFill>
                  <a:solidFill>
                    <a:srgbClr val="99CCFF"/>
                  </a:solid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42</xdr:col>
          <xdr:colOff>238125</xdr:colOff>
          <xdr:row>126</xdr:row>
          <xdr:rowOff>171450</xdr:rowOff>
        </xdr:from>
        <xdr:to>
          <xdr:col>42</xdr:col>
          <xdr:colOff>2266950</xdr:colOff>
          <xdr:row>126</xdr:row>
          <xdr:rowOff>847725</xdr:rowOff>
        </xdr:to>
        <xdr:sp macro="" textlink="">
          <xdr:nvSpPr>
            <xdr:cNvPr id="61813" name="Object 373" hidden="1">
              <a:extLst>
                <a:ext uri="{63B3BB69-23CF-44E3-9099-C40C66FF867C}">
                  <a14:compatExt spid="_x0000_s61813"/>
                </a:ext>
                <a:ext uri="{FF2B5EF4-FFF2-40B4-BE49-F238E27FC236}">
                  <a16:creationId xmlns:a16="http://schemas.microsoft.com/office/drawing/2014/main" id="{00000000-0008-0000-0400-000075F10000}"/>
                </a:ext>
              </a:extLst>
            </xdr:cNvPr>
            <xdr:cNvSpPr/>
          </xdr:nvSpPr>
          <xdr:spPr bwMode="auto">
            <a:xfrm>
              <a:off x="0" y="0"/>
              <a:ext cx="0" cy="0"/>
            </a:xfrm>
            <a:prstGeom prst="rect">
              <a:avLst/>
            </a:prstGeom>
            <a:noFill/>
            <a:extLst>
              <a:ext uri="{909E8E84-426E-40DD-AFC4-6F175D3DCCD1}">
                <a14:hiddenFill>
                  <a:solidFill>
                    <a:srgbClr val="FFFFFF" mc:Ignorable="a14" a14:legacySpreadsheetColorIndex="9"/>
                  </a:solid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42</xdr:col>
          <xdr:colOff>152400</xdr:colOff>
          <xdr:row>128</xdr:row>
          <xdr:rowOff>142875</xdr:rowOff>
        </xdr:from>
        <xdr:to>
          <xdr:col>42</xdr:col>
          <xdr:colOff>2333625</xdr:colOff>
          <xdr:row>128</xdr:row>
          <xdr:rowOff>742950</xdr:rowOff>
        </xdr:to>
        <xdr:sp macro="" textlink="">
          <xdr:nvSpPr>
            <xdr:cNvPr id="61814" name="Object 374" hidden="1">
              <a:extLst>
                <a:ext uri="{63B3BB69-23CF-44E3-9099-C40C66FF867C}">
                  <a14:compatExt spid="_x0000_s61814"/>
                </a:ext>
                <a:ext uri="{FF2B5EF4-FFF2-40B4-BE49-F238E27FC236}">
                  <a16:creationId xmlns:a16="http://schemas.microsoft.com/office/drawing/2014/main" id="{00000000-0008-0000-0400-000076F10000}"/>
                </a:ext>
              </a:extLst>
            </xdr:cNvPr>
            <xdr:cNvSpPr/>
          </xdr:nvSpPr>
          <xdr:spPr bwMode="auto">
            <a:xfrm>
              <a:off x="0" y="0"/>
              <a:ext cx="0" cy="0"/>
            </a:xfrm>
            <a:prstGeom prst="rect">
              <a:avLst/>
            </a:prstGeom>
            <a:noFill/>
            <a:extLst>
              <a:ext uri="{909E8E84-426E-40DD-AFC4-6F175D3DCCD1}">
                <a14:hiddenFill>
                  <a:solidFill>
                    <a:srgbClr val="FF0000" mc:Ignorable="a14" a14:legacySpreadsheetColorIndex="10"/>
                  </a:solidFill>
                </a14:hiddenFill>
              </a:ext>
            </a:extLst>
          </xdr:spPr>
        </xdr:sp>
        <xdr:clientData/>
      </xdr:twoCellAnchor>
    </mc:Choice>
    <mc:Fallback/>
  </mc:AlternateContent>
  <xdr:oneCellAnchor>
    <xdr:from>
      <xdr:col>42</xdr:col>
      <xdr:colOff>1076837</xdr:colOff>
      <xdr:row>132</xdr:row>
      <xdr:rowOff>663575</xdr:rowOff>
    </xdr:from>
    <xdr:ext cx="442878" cy="313099"/>
    <mc:AlternateContent xmlns:mc="http://schemas.openxmlformats.org/markup-compatibility/2006" xmlns:a14="http://schemas.microsoft.com/office/drawing/2010/main">
      <mc:Choice Requires="a14">
        <xdr:sp macro="" textlink="">
          <xdr:nvSpPr>
            <xdr:cNvPr id="145" name="CuadroTexto 144">
              <a:extLst>
                <a:ext uri="{FF2B5EF4-FFF2-40B4-BE49-F238E27FC236}">
                  <a16:creationId xmlns:a16="http://schemas.microsoft.com/office/drawing/2014/main" id="{00000000-0008-0000-0400-000091000000}"/>
                </a:ext>
              </a:extLst>
            </xdr:cNvPr>
            <xdr:cNvSpPr txBox="1"/>
          </xdr:nvSpPr>
          <xdr:spPr>
            <a:xfrm>
              <a:off x="41491412" y="18246725"/>
              <a:ext cx="442878" cy="31309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r>
                      <a:rPr lang="es-BO" sz="2000" b="0" i="1">
                        <a:latin typeface="Cambria Math" panose="02040503050406030204" pitchFamily="18" charset="0"/>
                      </a:rPr>
                      <m:t>𝑀𝐹</m:t>
                    </m:r>
                  </m:oMath>
                </m:oMathPara>
              </a14:m>
              <a:endParaRPr lang="es-BO" sz="2000"/>
            </a:p>
          </xdr:txBody>
        </xdr:sp>
      </mc:Choice>
      <mc:Fallback xmlns="">
        <xdr:sp macro="" textlink="">
          <xdr:nvSpPr>
            <xdr:cNvPr id="145" name="CuadroTexto 144"/>
            <xdr:cNvSpPr txBox="1"/>
          </xdr:nvSpPr>
          <xdr:spPr>
            <a:xfrm>
              <a:off x="41491412" y="18246725"/>
              <a:ext cx="442878" cy="31309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r>
                <a:rPr lang="es-BO" sz="2000" b="0" i="0">
                  <a:latin typeface="Cambria Math" panose="02040503050406030204" pitchFamily="18" charset="0"/>
                </a:rPr>
                <a:t>𝑀𝐹</a:t>
              </a:r>
              <a:endParaRPr lang="es-BO" sz="2000"/>
            </a:p>
          </xdr:txBody>
        </xdr:sp>
      </mc:Fallback>
    </mc:AlternateContent>
    <xdr:clientData/>
  </xdr:oneCellAnchor>
  <xdr:oneCellAnchor>
    <xdr:from>
      <xdr:col>42</xdr:col>
      <xdr:colOff>267007</xdr:colOff>
      <xdr:row>133</xdr:row>
      <xdr:rowOff>656406</xdr:rowOff>
    </xdr:from>
    <xdr:ext cx="2032672" cy="403380"/>
    <mc:AlternateContent xmlns:mc="http://schemas.openxmlformats.org/markup-compatibility/2006" xmlns:a14="http://schemas.microsoft.com/office/drawing/2010/main">
      <mc:Choice Requires="a14">
        <xdr:sp macro="" textlink="">
          <xdr:nvSpPr>
            <xdr:cNvPr id="146" name="CuadroTexto 145">
              <a:extLst>
                <a:ext uri="{FF2B5EF4-FFF2-40B4-BE49-F238E27FC236}">
                  <a16:creationId xmlns:a16="http://schemas.microsoft.com/office/drawing/2014/main" id="{00000000-0008-0000-0400-000092000000}"/>
                </a:ext>
              </a:extLst>
            </xdr:cNvPr>
            <xdr:cNvSpPr txBox="1"/>
          </xdr:nvSpPr>
          <xdr:spPr>
            <a:xfrm>
              <a:off x="40681582" y="20115981"/>
              <a:ext cx="2032672" cy="40338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r>
                      <a:rPr lang="es-BO" sz="1400" b="0" i="1">
                        <a:latin typeface="Cambria Math" panose="02040503050406030204" pitchFamily="18" charset="0"/>
                      </a:rPr>
                      <m:t>𝑇𝑀𝐵𝑇𝐻</m:t>
                    </m:r>
                    <m:r>
                      <a:rPr lang="es-BO" sz="1400" b="0" i="1">
                        <a:latin typeface="Cambria Math" panose="02040503050406030204" pitchFamily="18" charset="0"/>
                      </a:rPr>
                      <m:t>=</m:t>
                    </m:r>
                    <m:f>
                      <m:fPr>
                        <m:ctrlPr>
                          <a:rPr lang="es-BO" sz="1400" i="1">
                            <a:latin typeface="Cambria Math" panose="02040503050406030204" pitchFamily="18" charset="0"/>
                          </a:rPr>
                        </m:ctrlPr>
                      </m:fPr>
                      <m:num>
                        <m:r>
                          <a:rPr lang="es-BO" sz="1400" b="0" i="1">
                            <a:latin typeface="Cambria Math" panose="02040503050406030204" pitchFamily="18" charset="0"/>
                          </a:rPr>
                          <m:t>𝑀𝐵𝑇𝐻</m:t>
                        </m:r>
                      </m:num>
                      <m:den>
                        <m:r>
                          <a:rPr lang="es-BO" sz="1400" b="0" i="1">
                            <a:latin typeface="Cambria Math" panose="02040503050406030204" pitchFamily="18" charset="0"/>
                          </a:rPr>
                          <m:t>𝑀𝑆𝐸𝑃</m:t>
                        </m:r>
                      </m:den>
                    </m:f>
                    <m:r>
                      <a:rPr lang="es-BO" sz="1400" b="0" i="1">
                        <a:latin typeface="Cambria Math" panose="02040503050406030204" pitchFamily="18" charset="0"/>
                      </a:rPr>
                      <m:t>∗100%</m:t>
                    </m:r>
                  </m:oMath>
                </m:oMathPara>
              </a14:m>
              <a:endParaRPr lang="es-BO" sz="1400"/>
            </a:p>
          </xdr:txBody>
        </xdr:sp>
      </mc:Choice>
      <mc:Fallback xmlns="">
        <xdr:sp macro="" textlink="">
          <xdr:nvSpPr>
            <xdr:cNvPr id="146" name="CuadroTexto 145"/>
            <xdr:cNvSpPr txBox="1"/>
          </xdr:nvSpPr>
          <xdr:spPr>
            <a:xfrm>
              <a:off x="40681582" y="20115981"/>
              <a:ext cx="2032672" cy="40338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r>
                <a:rPr lang="es-BO" sz="1400" b="0" i="0">
                  <a:latin typeface="Cambria Math" panose="02040503050406030204" pitchFamily="18" charset="0"/>
                </a:rPr>
                <a:t>𝑇𝑀𝐵𝑇𝐻=𝑀𝐵𝑇𝐻/𝑀𝑆𝐸𝑃∗100%</a:t>
              </a:r>
              <a:endParaRPr lang="es-BO" sz="1400"/>
            </a:p>
          </xdr:txBody>
        </xdr:sp>
      </mc:Fallback>
    </mc:AlternateContent>
    <xdr:clientData/>
  </xdr:oneCellAnchor>
  <xdr:oneCellAnchor>
    <xdr:from>
      <xdr:col>42</xdr:col>
      <xdr:colOff>941540</xdr:colOff>
      <xdr:row>155</xdr:row>
      <xdr:rowOff>764253</xdr:rowOff>
    </xdr:from>
    <xdr:ext cx="624145" cy="313099"/>
    <mc:AlternateContent xmlns:mc="http://schemas.openxmlformats.org/markup-compatibility/2006" xmlns:a14="http://schemas.microsoft.com/office/drawing/2010/main">
      <mc:Choice Requires="a14">
        <xdr:sp macro="" textlink="">
          <xdr:nvSpPr>
            <xdr:cNvPr id="147" name="CuadroTexto 146">
              <a:extLst>
                <a:ext uri="{FF2B5EF4-FFF2-40B4-BE49-F238E27FC236}">
                  <a16:creationId xmlns:a16="http://schemas.microsoft.com/office/drawing/2014/main" id="{00000000-0008-0000-0400-000093000000}"/>
                </a:ext>
              </a:extLst>
            </xdr:cNvPr>
            <xdr:cNvSpPr txBox="1"/>
          </xdr:nvSpPr>
          <xdr:spPr>
            <a:xfrm>
              <a:off x="41356115" y="29958378"/>
              <a:ext cx="624145" cy="31309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r>
                      <a:rPr lang="es-BO" sz="2000" b="0" i="1">
                        <a:latin typeface="Cambria Math" panose="02040503050406030204" pitchFamily="18" charset="0"/>
                      </a:rPr>
                      <m:t>𝑃𝐵𝐼𝐿</m:t>
                    </m:r>
                  </m:oMath>
                </m:oMathPara>
              </a14:m>
              <a:endParaRPr lang="es-BO" sz="2000"/>
            </a:p>
          </xdr:txBody>
        </xdr:sp>
      </mc:Choice>
      <mc:Fallback xmlns="">
        <xdr:sp macro="" textlink="">
          <xdr:nvSpPr>
            <xdr:cNvPr id="147" name="CuadroTexto 146"/>
            <xdr:cNvSpPr txBox="1"/>
          </xdr:nvSpPr>
          <xdr:spPr>
            <a:xfrm>
              <a:off x="41356115" y="29958378"/>
              <a:ext cx="624145" cy="31309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r>
                <a:rPr lang="es-BO" sz="2000" b="0" i="0">
                  <a:latin typeface="Cambria Math" panose="02040503050406030204" pitchFamily="18" charset="0"/>
                </a:rPr>
                <a:t>𝑃𝐵𝐼𝐿</a:t>
              </a:r>
              <a:endParaRPr lang="es-BO" sz="2000"/>
            </a:p>
          </xdr:txBody>
        </xdr:sp>
      </mc:Fallback>
    </mc:AlternateContent>
    <xdr:clientData/>
  </xdr:oneCellAnchor>
  <mc:AlternateContent xmlns:mc="http://schemas.openxmlformats.org/markup-compatibility/2006">
    <mc:Choice xmlns:a14="http://schemas.microsoft.com/office/drawing/2010/main" Requires="a14">
      <xdr:twoCellAnchor>
        <xdr:from>
          <xdr:col>42</xdr:col>
          <xdr:colOff>381000</xdr:colOff>
          <xdr:row>263</xdr:row>
          <xdr:rowOff>209550</xdr:rowOff>
        </xdr:from>
        <xdr:to>
          <xdr:col>42</xdr:col>
          <xdr:colOff>2085975</xdr:colOff>
          <xdr:row>263</xdr:row>
          <xdr:rowOff>800100</xdr:rowOff>
        </xdr:to>
        <xdr:sp macro="" textlink="">
          <xdr:nvSpPr>
            <xdr:cNvPr id="61815" name="Object 375" hidden="1">
              <a:extLst>
                <a:ext uri="{63B3BB69-23CF-44E3-9099-C40C66FF867C}">
                  <a14:compatExt spid="_x0000_s61815"/>
                </a:ext>
                <a:ext uri="{FF2B5EF4-FFF2-40B4-BE49-F238E27FC236}">
                  <a16:creationId xmlns:a16="http://schemas.microsoft.com/office/drawing/2014/main" id="{00000000-0008-0000-0400-000077F10000}"/>
                </a:ext>
              </a:extLst>
            </xdr:cNvPr>
            <xdr:cNvSpPr/>
          </xdr:nvSpPr>
          <xdr:spPr bwMode="auto">
            <a:xfrm>
              <a:off x="0" y="0"/>
              <a:ext cx="0" cy="0"/>
            </a:xfrm>
            <a:prstGeom prst="rect">
              <a:avLst/>
            </a:prstGeom>
            <a:noFill/>
            <a:extLst>
              <a:ext uri="{909E8E84-426E-40DD-AFC4-6F175D3DCCD1}">
                <a14:hiddenFill>
                  <a:solidFill>
                    <a:srgbClr val="99CCFF"/>
                  </a:solidFill>
                </a14:hiddenFill>
              </a:ext>
            </a:extLst>
          </xdr:spPr>
        </xdr:sp>
        <xdr:clientData/>
      </xdr:twoCellAnchor>
    </mc:Choice>
    <mc:Fallback/>
  </mc:AlternateContent>
</xdr:wsDr>
</file>

<file path=xl/drawings/drawing3.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0</xdr:col>
          <xdr:colOff>0</xdr:colOff>
          <xdr:row>4</xdr:row>
          <xdr:rowOff>195792</xdr:rowOff>
        </xdr:from>
        <xdr:to>
          <xdr:col>0</xdr:col>
          <xdr:colOff>228600</xdr:colOff>
          <xdr:row>6</xdr:row>
          <xdr:rowOff>41275</xdr:rowOff>
        </xdr:to>
        <xdr:sp macro="" textlink="">
          <xdr:nvSpPr>
            <xdr:cNvPr id="11265" name="Control 1" hidden="1">
              <a:extLst>
                <a:ext uri="{63B3BB69-23CF-44E3-9099-C40C66FF867C}">
                  <a14:compatExt spid="_x0000_s11265"/>
                </a:ext>
                <a:ext uri="{FF2B5EF4-FFF2-40B4-BE49-F238E27FC236}">
                  <a16:creationId xmlns:a16="http://schemas.microsoft.com/office/drawing/2014/main" id="{00000000-0008-0000-0600-0000012C0000}"/>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0</xdr:col>
          <xdr:colOff>0</xdr:colOff>
          <xdr:row>5</xdr:row>
          <xdr:rowOff>51858</xdr:rowOff>
        </xdr:from>
        <xdr:to>
          <xdr:col>0</xdr:col>
          <xdr:colOff>200025</xdr:colOff>
          <xdr:row>6</xdr:row>
          <xdr:rowOff>60325</xdr:rowOff>
        </xdr:to>
        <xdr:sp macro="" textlink="">
          <xdr:nvSpPr>
            <xdr:cNvPr id="11266" name="Control 2" hidden="1">
              <a:extLst>
                <a:ext uri="{63B3BB69-23CF-44E3-9099-C40C66FF867C}">
                  <a14:compatExt spid="_x0000_s11266"/>
                </a:ext>
                <a:ext uri="{FF2B5EF4-FFF2-40B4-BE49-F238E27FC236}">
                  <a16:creationId xmlns:a16="http://schemas.microsoft.com/office/drawing/2014/main" id="{00000000-0008-0000-0600-0000022C0000}"/>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0</xdr:col>
          <xdr:colOff>0</xdr:colOff>
          <xdr:row>7</xdr:row>
          <xdr:rowOff>116417</xdr:rowOff>
        </xdr:from>
        <xdr:to>
          <xdr:col>0</xdr:col>
          <xdr:colOff>200025</xdr:colOff>
          <xdr:row>8</xdr:row>
          <xdr:rowOff>124883</xdr:rowOff>
        </xdr:to>
        <xdr:sp macro="" textlink="">
          <xdr:nvSpPr>
            <xdr:cNvPr id="11267" name="Control 3" hidden="1">
              <a:extLst>
                <a:ext uri="{63B3BB69-23CF-44E3-9099-C40C66FF867C}">
                  <a14:compatExt spid="_x0000_s11267"/>
                </a:ext>
                <a:ext uri="{FF2B5EF4-FFF2-40B4-BE49-F238E27FC236}">
                  <a16:creationId xmlns:a16="http://schemas.microsoft.com/office/drawing/2014/main" id="{00000000-0008-0000-0600-0000032C0000}"/>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0</xdr:col>
          <xdr:colOff>0</xdr:colOff>
          <xdr:row>10</xdr:row>
          <xdr:rowOff>103717</xdr:rowOff>
        </xdr:from>
        <xdr:to>
          <xdr:col>0</xdr:col>
          <xdr:colOff>200025</xdr:colOff>
          <xdr:row>11</xdr:row>
          <xdr:rowOff>112183</xdr:rowOff>
        </xdr:to>
        <xdr:sp macro="" textlink="">
          <xdr:nvSpPr>
            <xdr:cNvPr id="11268" name="Control 4" hidden="1">
              <a:extLst>
                <a:ext uri="{63B3BB69-23CF-44E3-9099-C40C66FF867C}">
                  <a14:compatExt spid="_x0000_s11268"/>
                </a:ext>
                <a:ext uri="{FF2B5EF4-FFF2-40B4-BE49-F238E27FC236}">
                  <a16:creationId xmlns:a16="http://schemas.microsoft.com/office/drawing/2014/main" id="{00000000-0008-0000-0600-0000042C0000}"/>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0</xdr:col>
          <xdr:colOff>0</xdr:colOff>
          <xdr:row>12</xdr:row>
          <xdr:rowOff>120650</xdr:rowOff>
        </xdr:from>
        <xdr:to>
          <xdr:col>0</xdr:col>
          <xdr:colOff>200025</xdr:colOff>
          <xdr:row>13</xdr:row>
          <xdr:rowOff>129117</xdr:rowOff>
        </xdr:to>
        <xdr:sp macro="" textlink="">
          <xdr:nvSpPr>
            <xdr:cNvPr id="11269" name="Control 5" hidden="1">
              <a:extLst>
                <a:ext uri="{63B3BB69-23CF-44E3-9099-C40C66FF867C}">
                  <a14:compatExt spid="_x0000_s11269"/>
                </a:ext>
                <a:ext uri="{FF2B5EF4-FFF2-40B4-BE49-F238E27FC236}">
                  <a16:creationId xmlns:a16="http://schemas.microsoft.com/office/drawing/2014/main" id="{00000000-0008-0000-0600-0000052C0000}"/>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0</xdr:col>
          <xdr:colOff>0</xdr:colOff>
          <xdr:row>14</xdr:row>
          <xdr:rowOff>32808</xdr:rowOff>
        </xdr:from>
        <xdr:to>
          <xdr:col>0</xdr:col>
          <xdr:colOff>200025</xdr:colOff>
          <xdr:row>15</xdr:row>
          <xdr:rowOff>41275</xdr:rowOff>
        </xdr:to>
        <xdr:sp macro="" textlink="">
          <xdr:nvSpPr>
            <xdr:cNvPr id="11270" name="Control 6" hidden="1">
              <a:extLst>
                <a:ext uri="{63B3BB69-23CF-44E3-9099-C40C66FF867C}">
                  <a14:compatExt spid="_x0000_s11270"/>
                </a:ext>
                <a:ext uri="{FF2B5EF4-FFF2-40B4-BE49-F238E27FC236}">
                  <a16:creationId xmlns:a16="http://schemas.microsoft.com/office/drawing/2014/main" id="{00000000-0008-0000-0600-0000062C0000}"/>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0</xdr:col>
          <xdr:colOff>0</xdr:colOff>
          <xdr:row>16</xdr:row>
          <xdr:rowOff>30692</xdr:rowOff>
        </xdr:from>
        <xdr:to>
          <xdr:col>0</xdr:col>
          <xdr:colOff>200025</xdr:colOff>
          <xdr:row>17</xdr:row>
          <xdr:rowOff>39158</xdr:rowOff>
        </xdr:to>
        <xdr:sp macro="" textlink="">
          <xdr:nvSpPr>
            <xdr:cNvPr id="11271" name="Control 7" hidden="1">
              <a:extLst>
                <a:ext uri="{63B3BB69-23CF-44E3-9099-C40C66FF867C}">
                  <a14:compatExt spid="_x0000_s11271"/>
                </a:ext>
                <a:ext uri="{FF2B5EF4-FFF2-40B4-BE49-F238E27FC236}">
                  <a16:creationId xmlns:a16="http://schemas.microsoft.com/office/drawing/2014/main" id="{00000000-0008-0000-0600-0000072C0000}"/>
                </a:ext>
              </a:extLst>
            </xdr:cNvPr>
            <xdr:cNvSpPr/>
          </xdr:nvSpPr>
          <xdr:spPr bwMode="auto">
            <a:xfrm>
              <a:off x="0" y="0"/>
              <a:ext cx="0" cy="0"/>
            </a:xfrm>
            <a:prstGeom prst="rect">
              <a:avLst/>
            </a:prstGeom>
            <a:noFill/>
            <a:ln w="9525">
              <a:miter lim="800000"/>
              <a:headEnd/>
              <a:tailEnd/>
            </a:ln>
          </xdr:spPr>
        </xdr:sp>
        <xdr:clientData/>
      </xdr:twoCellAnchor>
    </mc:Choice>
    <mc:Fallback/>
  </mc:AlternateContent>
  <xdr:twoCellAnchor editAs="oneCell">
    <xdr:from>
      <xdr:col>2</xdr:col>
      <xdr:colOff>380999</xdr:colOff>
      <xdr:row>0</xdr:row>
      <xdr:rowOff>0</xdr:rowOff>
    </xdr:from>
    <xdr:to>
      <xdr:col>20</xdr:col>
      <xdr:colOff>111124</xdr:colOff>
      <xdr:row>38</xdr:row>
      <xdr:rowOff>185208</xdr:rowOff>
    </xdr:to>
    <xdr:pic>
      <xdr:nvPicPr>
        <xdr:cNvPr id="2" name="1 Imagen">
          <a:extLst>
            <a:ext uri="{FF2B5EF4-FFF2-40B4-BE49-F238E27FC236}">
              <a16:creationId xmlns:a16="http://schemas.microsoft.com/office/drawing/2014/main" id="{00000000-0008-0000-0600-000002000000}"/>
            </a:ext>
          </a:extLst>
        </xdr:cNvPr>
        <xdr:cNvPicPr>
          <a:picLocks noChangeAspect="1"/>
        </xdr:cNvPicPr>
      </xdr:nvPicPr>
      <xdr:blipFill rotWithShape="1">
        <a:blip xmlns:r="http://schemas.openxmlformats.org/officeDocument/2006/relationships" r:embed="rId1"/>
        <a:srcRect l="23701" t="7794" r="2766" b="13498"/>
        <a:stretch/>
      </xdr:blipFill>
      <xdr:spPr>
        <a:xfrm>
          <a:off x="5270499" y="0"/>
          <a:ext cx="13446125" cy="8175625"/>
        </a:xfrm>
        <a:prstGeom prst="rect">
          <a:avLst/>
        </a:prstGeom>
      </xdr:spPr>
    </xdr:pic>
    <xdr:clientData/>
  </xdr:twoCellAnchor>
  <xdr:twoCellAnchor editAs="oneCell">
    <xdr:from>
      <xdr:col>2</xdr:col>
      <xdr:colOff>508000</xdr:colOff>
      <xdr:row>39</xdr:row>
      <xdr:rowOff>47624</xdr:rowOff>
    </xdr:from>
    <xdr:to>
      <xdr:col>20</xdr:col>
      <xdr:colOff>206376</xdr:colOff>
      <xdr:row>78</xdr:row>
      <xdr:rowOff>174625</xdr:rowOff>
    </xdr:to>
    <xdr:pic>
      <xdr:nvPicPr>
        <xdr:cNvPr id="3" name="2 Imagen">
          <a:extLst>
            <a:ext uri="{FF2B5EF4-FFF2-40B4-BE49-F238E27FC236}">
              <a16:creationId xmlns:a16="http://schemas.microsoft.com/office/drawing/2014/main" id="{00000000-0008-0000-0600-000003000000}"/>
            </a:ext>
          </a:extLst>
        </xdr:cNvPr>
        <xdr:cNvPicPr>
          <a:picLocks noChangeAspect="1"/>
        </xdr:cNvPicPr>
      </xdr:nvPicPr>
      <xdr:blipFill rotWithShape="1">
        <a:blip xmlns:r="http://schemas.openxmlformats.org/officeDocument/2006/relationships" r:embed="rId2"/>
        <a:srcRect l="24569" t="18984" r="2071" b="7550"/>
        <a:stretch/>
      </xdr:blipFill>
      <xdr:spPr>
        <a:xfrm>
          <a:off x="5397500" y="8207374"/>
          <a:ext cx="13414376" cy="7556501"/>
        </a:xfrm>
        <a:prstGeom prst="rect">
          <a:avLst/>
        </a:prstGeom>
      </xdr:spPr>
    </xdr:pic>
    <xdr:clientData/>
  </xdr:twoCellAnchor>
  <xdr:twoCellAnchor editAs="oneCell">
    <xdr:from>
      <xdr:col>2</xdr:col>
      <xdr:colOff>444500</xdr:colOff>
      <xdr:row>79</xdr:row>
      <xdr:rowOff>0</xdr:rowOff>
    </xdr:from>
    <xdr:to>
      <xdr:col>20</xdr:col>
      <xdr:colOff>269876</xdr:colOff>
      <xdr:row>107</xdr:row>
      <xdr:rowOff>47626</xdr:rowOff>
    </xdr:to>
    <xdr:pic>
      <xdr:nvPicPr>
        <xdr:cNvPr id="4" name="3 Imagen">
          <a:extLst>
            <a:ext uri="{FF2B5EF4-FFF2-40B4-BE49-F238E27FC236}">
              <a16:creationId xmlns:a16="http://schemas.microsoft.com/office/drawing/2014/main" id="{00000000-0008-0000-0600-000004000000}"/>
            </a:ext>
          </a:extLst>
        </xdr:cNvPr>
        <xdr:cNvPicPr>
          <a:picLocks noChangeAspect="1"/>
        </xdr:cNvPicPr>
      </xdr:nvPicPr>
      <xdr:blipFill rotWithShape="1">
        <a:blip xmlns:r="http://schemas.openxmlformats.org/officeDocument/2006/relationships" r:embed="rId3"/>
        <a:srcRect l="23874" t="8180" r="2071" b="39499"/>
        <a:stretch/>
      </xdr:blipFill>
      <xdr:spPr>
        <a:xfrm>
          <a:off x="5334000" y="15779750"/>
          <a:ext cx="13541376" cy="5381626"/>
        </a:xfrm>
        <a:prstGeom prst="rect">
          <a:avLst/>
        </a:prstGeom>
      </xdr:spPr>
    </xdr:pic>
    <xdr:clientData/>
  </xdr:twoCellAnchor>
  <xdr:twoCellAnchor editAs="oneCell">
    <xdr:from>
      <xdr:col>2</xdr:col>
      <xdr:colOff>539750</xdr:colOff>
      <xdr:row>107</xdr:row>
      <xdr:rowOff>31750</xdr:rowOff>
    </xdr:from>
    <xdr:to>
      <xdr:col>20</xdr:col>
      <xdr:colOff>158750</xdr:colOff>
      <xdr:row>129</xdr:row>
      <xdr:rowOff>31750</xdr:rowOff>
    </xdr:to>
    <xdr:pic>
      <xdr:nvPicPr>
        <xdr:cNvPr id="5" name="4 Imagen">
          <a:extLst>
            <a:ext uri="{FF2B5EF4-FFF2-40B4-BE49-F238E27FC236}">
              <a16:creationId xmlns:a16="http://schemas.microsoft.com/office/drawing/2014/main" id="{00000000-0008-0000-0600-000005000000}"/>
            </a:ext>
          </a:extLst>
        </xdr:cNvPr>
        <xdr:cNvPicPr>
          <a:picLocks noChangeAspect="1"/>
        </xdr:cNvPicPr>
      </xdr:nvPicPr>
      <xdr:blipFill rotWithShape="1">
        <a:blip xmlns:r="http://schemas.openxmlformats.org/officeDocument/2006/relationships" r:embed="rId4"/>
        <a:srcRect l="24656" t="19447" r="2418" b="39807"/>
        <a:stretch/>
      </xdr:blipFill>
      <xdr:spPr>
        <a:xfrm>
          <a:off x="5429250" y="21145500"/>
          <a:ext cx="13335000" cy="4191000"/>
        </a:xfrm>
        <a:prstGeom prst="rect">
          <a:avLst/>
        </a:prstGeom>
      </xdr:spPr>
    </xdr:pic>
    <xdr:clientData/>
  </xdr:twoCellAnchor>
  <xdr:twoCellAnchor editAs="oneCell">
    <xdr:from>
      <xdr:col>2</xdr:col>
      <xdr:colOff>635000</xdr:colOff>
      <xdr:row>129</xdr:row>
      <xdr:rowOff>95250</xdr:rowOff>
    </xdr:from>
    <xdr:to>
      <xdr:col>20</xdr:col>
      <xdr:colOff>158750</xdr:colOff>
      <xdr:row>152</xdr:row>
      <xdr:rowOff>63500</xdr:rowOff>
    </xdr:to>
    <xdr:pic>
      <xdr:nvPicPr>
        <xdr:cNvPr id="6" name="5 Imagen">
          <a:extLst>
            <a:ext uri="{FF2B5EF4-FFF2-40B4-BE49-F238E27FC236}">
              <a16:creationId xmlns:a16="http://schemas.microsoft.com/office/drawing/2014/main" id="{00000000-0008-0000-0600-000006000000}"/>
            </a:ext>
          </a:extLst>
        </xdr:cNvPr>
        <xdr:cNvPicPr>
          <a:picLocks noChangeAspect="1"/>
        </xdr:cNvPicPr>
      </xdr:nvPicPr>
      <xdr:blipFill rotWithShape="1">
        <a:blip xmlns:r="http://schemas.openxmlformats.org/officeDocument/2006/relationships" r:embed="rId5"/>
        <a:srcRect l="24917" t="19447" r="2679" b="38264"/>
        <a:stretch/>
      </xdr:blipFill>
      <xdr:spPr>
        <a:xfrm>
          <a:off x="5524500" y="25400000"/>
          <a:ext cx="13239750" cy="4349750"/>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0</xdr:col>
      <xdr:colOff>352425</xdr:colOff>
      <xdr:row>0</xdr:row>
      <xdr:rowOff>57149</xdr:rowOff>
    </xdr:from>
    <xdr:to>
      <xdr:col>11</xdr:col>
      <xdr:colOff>723900</xdr:colOff>
      <xdr:row>29</xdr:row>
      <xdr:rowOff>123825</xdr:rowOff>
    </xdr:to>
    <xdr:pic>
      <xdr:nvPicPr>
        <xdr:cNvPr id="2" name="1 Imagen">
          <a:extLst>
            <a:ext uri="{FF2B5EF4-FFF2-40B4-BE49-F238E27FC236}">
              <a16:creationId xmlns:a16="http://schemas.microsoft.com/office/drawing/2014/main" id="{00000000-0008-0000-0700-000002000000}"/>
            </a:ext>
          </a:extLst>
        </xdr:cNvPr>
        <xdr:cNvPicPr>
          <a:picLocks noChangeAspect="1"/>
        </xdr:cNvPicPr>
      </xdr:nvPicPr>
      <xdr:blipFill rotWithShape="1">
        <a:blip xmlns:r="http://schemas.openxmlformats.org/officeDocument/2006/relationships" r:embed="rId1"/>
        <a:srcRect l="24737" t="7316" r="24293" b="14711"/>
        <a:stretch/>
      </xdr:blipFill>
      <xdr:spPr>
        <a:xfrm>
          <a:off x="352425" y="57149"/>
          <a:ext cx="8753475" cy="8020051"/>
        </a:xfrm>
        <a:prstGeom prst="rect">
          <a:avLst/>
        </a:prstGeom>
      </xdr:spPr>
    </xdr:pic>
    <xdr:clientData/>
  </xdr:twoCellAnchor>
  <xdr:twoCellAnchor editAs="oneCell">
    <xdr:from>
      <xdr:col>0</xdr:col>
      <xdr:colOff>152400</xdr:colOff>
      <xdr:row>27</xdr:row>
      <xdr:rowOff>161925</xdr:rowOff>
    </xdr:from>
    <xdr:to>
      <xdr:col>11</xdr:col>
      <xdr:colOff>495300</xdr:colOff>
      <xdr:row>46</xdr:row>
      <xdr:rowOff>130107</xdr:rowOff>
    </xdr:to>
    <xdr:pic>
      <xdr:nvPicPr>
        <xdr:cNvPr id="3" name="2 Imagen">
          <a:extLst>
            <a:ext uri="{FF2B5EF4-FFF2-40B4-BE49-F238E27FC236}">
              <a16:creationId xmlns:a16="http://schemas.microsoft.com/office/drawing/2014/main" id="{00000000-0008-0000-0700-000003000000}"/>
            </a:ext>
          </a:extLst>
        </xdr:cNvPr>
        <xdr:cNvPicPr>
          <a:picLocks noChangeAspect="1"/>
        </xdr:cNvPicPr>
      </xdr:nvPicPr>
      <xdr:blipFill rotWithShape="1">
        <a:blip xmlns:r="http://schemas.openxmlformats.org/officeDocument/2006/relationships" r:embed="rId2"/>
        <a:srcRect l="23284" t="30282" r="25616" b="25917"/>
        <a:stretch/>
      </xdr:blipFill>
      <xdr:spPr>
        <a:xfrm>
          <a:off x="152400" y="8115300"/>
          <a:ext cx="8724900" cy="4206807"/>
        </a:xfrm>
        <a:prstGeom prst="rect">
          <a:avLst/>
        </a:prstGeom>
      </xdr:spPr>
    </xdr:pic>
    <xdr:clientData/>
  </xdr:twoCellAnchor>
  <mc:AlternateContent xmlns:mc="http://schemas.openxmlformats.org/markup-compatibility/2006">
    <mc:Choice xmlns:a14="http://schemas.microsoft.com/office/drawing/2010/main" Requires="a14">
      <xdr:twoCellAnchor editAs="oneCell">
        <xdr:from>
          <xdr:col>13</xdr:col>
          <xdr:colOff>0</xdr:colOff>
          <xdr:row>12</xdr:row>
          <xdr:rowOff>0</xdr:rowOff>
        </xdr:from>
        <xdr:to>
          <xdr:col>14</xdr:col>
          <xdr:colOff>7324725</xdr:colOff>
          <xdr:row>12</xdr:row>
          <xdr:rowOff>228600</xdr:rowOff>
        </xdr:to>
        <xdr:sp macro="" textlink="">
          <xdr:nvSpPr>
            <xdr:cNvPr id="12331" name="Control 43" hidden="1">
              <a:extLst>
                <a:ext uri="{63B3BB69-23CF-44E3-9099-C40C66FF867C}">
                  <a14:compatExt spid="_x0000_s12331"/>
                </a:ext>
                <a:ext uri="{FF2B5EF4-FFF2-40B4-BE49-F238E27FC236}">
                  <a16:creationId xmlns:a16="http://schemas.microsoft.com/office/drawing/2014/main" id="{00000000-0008-0000-0700-00002B300000}"/>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14</xdr:col>
          <xdr:colOff>0</xdr:colOff>
          <xdr:row>12</xdr:row>
          <xdr:rowOff>0</xdr:rowOff>
        </xdr:from>
        <xdr:to>
          <xdr:col>14</xdr:col>
          <xdr:colOff>552450</xdr:colOff>
          <xdr:row>12</xdr:row>
          <xdr:rowOff>228600</xdr:rowOff>
        </xdr:to>
        <xdr:sp macro="" textlink="">
          <xdr:nvSpPr>
            <xdr:cNvPr id="12332" name="Control 44" hidden="1">
              <a:extLst>
                <a:ext uri="{63B3BB69-23CF-44E3-9099-C40C66FF867C}">
                  <a14:compatExt spid="_x0000_s12332"/>
                </a:ext>
                <a:ext uri="{FF2B5EF4-FFF2-40B4-BE49-F238E27FC236}">
                  <a16:creationId xmlns:a16="http://schemas.microsoft.com/office/drawing/2014/main" id="{00000000-0008-0000-0700-00002C300000}"/>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0</xdr:colOff>
          <xdr:row>14</xdr:row>
          <xdr:rowOff>9525</xdr:rowOff>
        </xdr:from>
        <xdr:to>
          <xdr:col>13</xdr:col>
          <xdr:colOff>2619375</xdr:colOff>
          <xdr:row>15</xdr:row>
          <xdr:rowOff>47625</xdr:rowOff>
        </xdr:to>
        <xdr:sp macro="" textlink="">
          <xdr:nvSpPr>
            <xdr:cNvPr id="12333" name="Control 45" hidden="1">
              <a:extLst>
                <a:ext uri="{63B3BB69-23CF-44E3-9099-C40C66FF867C}">
                  <a14:compatExt spid="_x0000_s12333"/>
                </a:ext>
                <a:ext uri="{FF2B5EF4-FFF2-40B4-BE49-F238E27FC236}">
                  <a16:creationId xmlns:a16="http://schemas.microsoft.com/office/drawing/2014/main" id="{00000000-0008-0000-0700-00002D300000}"/>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14</xdr:col>
          <xdr:colOff>0</xdr:colOff>
          <xdr:row>15</xdr:row>
          <xdr:rowOff>9525</xdr:rowOff>
        </xdr:from>
        <xdr:to>
          <xdr:col>14</xdr:col>
          <xdr:colOff>1038225</xdr:colOff>
          <xdr:row>16</xdr:row>
          <xdr:rowOff>47625</xdr:rowOff>
        </xdr:to>
        <xdr:sp macro="" textlink="">
          <xdr:nvSpPr>
            <xdr:cNvPr id="12334" name="Control 46" hidden="1">
              <a:extLst>
                <a:ext uri="{63B3BB69-23CF-44E3-9099-C40C66FF867C}">
                  <a14:compatExt spid="_x0000_s12334"/>
                </a:ext>
                <a:ext uri="{FF2B5EF4-FFF2-40B4-BE49-F238E27FC236}">
                  <a16:creationId xmlns:a16="http://schemas.microsoft.com/office/drawing/2014/main" id="{00000000-0008-0000-0700-00002E300000}"/>
                </a:ext>
              </a:extLst>
            </xdr:cNvPr>
            <xdr:cNvSpPr/>
          </xdr:nvSpPr>
          <xdr:spPr bwMode="auto">
            <a:xfrm>
              <a:off x="0" y="0"/>
              <a:ext cx="0" cy="0"/>
            </a:xfrm>
            <a:prstGeom prst="rect">
              <a:avLst/>
            </a:prstGeom>
            <a:noFill/>
            <a:ln w="9525">
              <a:miter lim="800000"/>
              <a:headEnd/>
              <a:tailEnd/>
            </a:ln>
          </xdr:spPr>
        </xdr:sp>
        <xdr:clientData/>
      </xdr:twoCellAnchor>
    </mc:Choice>
    <mc:Fallback/>
  </mc:AlternateContent>
  <xdr:twoCellAnchor editAs="oneCell">
    <xdr:from>
      <xdr:col>13</xdr:col>
      <xdr:colOff>0</xdr:colOff>
      <xdr:row>17</xdr:row>
      <xdr:rowOff>0</xdr:rowOff>
    </xdr:from>
    <xdr:to>
      <xdr:col>13</xdr:col>
      <xdr:colOff>285750</xdr:colOff>
      <xdr:row>18</xdr:row>
      <xdr:rowOff>95250</xdr:rowOff>
    </xdr:to>
    <xdr:pic>
      <xdr:nvPicPr>
        <xdr:cNvPr id="50" name="49 Imagen" descr="http://mod.ine.gob.bo/pdes/public/images/1s.png">
          <a:extLst>
            <a:ext uri="{FF2B5EF4-FFF2-40B4-BE49-F238E27FC236}">
              <a16:creationId xmlns:a16="http://schemas.microsoft.com/office/drawing/2014/main" id="{00000000-0008-0000-0700-000032000000}"/>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a:off x="19812000" y="14144625"/>
          <a:ext cx="285750" cy="2857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14</xdr:col>
      <xdr:colOff>0</xdr:colOff>
      <xdr:row>18</xdr:row>
      <xdr:rowOff>0</xdr:rowOff>
    </xdr:from>
    <xdr:to>
      <xdr:col>14</xdr:col>
      <xdr:colOff>276225</xdr:colOff>
      <xdr:row>18</xdr:row>
      <xdr:rowOff>142875</xdr:rowOff>
    </xdr:to>
    <xdr:pic>
      <xdr:nvPicPr>
        <xdr:cNvPr id="51" name="50 Imagen" descr="http://mod.ine.gob.bo/pdes/public/images/flecha.png">
          <a:extLst>
            <a:ext uri="{FF2B5EF4-FFF2-40B4-BE49-F238E27FC236}">
              <a16:creationId xmlns:a16="http://schemas.microsoft.com/office/drawing/2014/main" id="{00000000-0008-0000-0700-000033000000}"/>
            </a:ext>
          </a:extLst>
        </xdr:cNvPr>
        <xdr:cNvPicPr>
          <a:picLocks noChangeAspect="1" noChangeArrowheads="1"/>
        </xdr:cNvPicPr>
      </xdr:nvPicPr>
      <xdr:blipFill>
        <a:blip xmlns:r="http://schemas.openxmlformats.org/officeDocument/2006/relationships" r:embed="rId4" cstate="print">
          <a:extLst>
            <a:ext uri="{28A0092B-C50C-407E-A947-70E740481C1C}">
              <a14:useLocalDpi xmlns:a14="http://schemas.microsoft.com/office/drawing/2010/main" val="0"/>
            </a:ext>
          </a:extLst>
        </a:blip>
        <a:srcRect/>
        <a:stretch>
          <a:fillRect/>
        </a:stretch>
      </xdr:blipFill>
      <xdr:spPr bwMode="auto">
        <a:xfrm>
          <a:off x="20574000" y="14335125"/>
          <a:ext cx="276225" cy="1428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15</xdr:col>
      <xdr:colOff>0</xdr:colOff>
      <xdr:row>17</xdr:row>
      <xdr:rowOff>0</xdr:rowOff>
    </xdr:from>
    <xdr:to>
      <xdr:col>15</xdr:col>
      <xdr:colOff>285750</xdr:colOff>
      <xdr:row>18</xdr:row>
      <xdr:rowOff>95250</xdr:rowOff>
    </xdr:to>
    <xdr:pic>
      <xdr:nvPicPr>
        <xdr:cNvPr id="52" name="51 Imagen" descr="http://mod.ine.gob.bo/pdes/public/images/2s.png">
          <a:extLst>
            <a:ext uri="{FF2B5EF4-FFF2-40B4-BE49-F238E27FC236}">
              <a16:creationId xmlns:a16="http://schemas.microsoft.com/office/drawing/2014/main" id="{00000000-0008-0000-0700-000034000000}"/>
            </a:ext>
          </a:extLst>
        </xdr:cNvPr>
        <xdr:cNvPicPr>
          <a:picLocks noChangeAspect="1" noChangeArrowheads="1"/>
        </xdr:cNvPicPr>
      </xdr:nvPicPr>
      <xdr:blipFill>
        <a:blip xmlns:r="http://schemas.openxmlformats.org/officeDocument/2006/relationships" r:embed="rId5" cstate="print">
          <a:extLst>
            <a:ext uri="{28A0092B-C50C-407E-A947-70E740481C1C}">
              <a14:useLocalDpi xmlns:a14="http://schemas.microsoft.com/office/drawing/2010/main" val="0"/>
            </a:ext>
          </a:extLst>
        </a:blip>
        <a:srcRect/>
        <a:stretch>
          <a:fillRect/>
        </a:stretch>
      </xdr:blipFill>
      <xdr:spPr bwMode="auto">
        <a:xfrm>
          <a:off x="21336000" y="14144625"/>
          <a:ext cx="285750" cy="2857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mc:AlternateContent xmlns:mc="http://schemas.openxmlformats.org/markup-compatibility/2006">
    <mc:Choice xmlns:a14="http://schemas.microsoft.com/office/drawing/2010/main" Requires="a14">
      <xdr:twoCellAnchor editAs="oneCell">
        <xdr:from>
          <xdr:col>14</xdr:col>
          <xdr:colOff>0</xdr:colOff>
          <xdr:row>20</xdr:row>
          <xdr:rowOff>9525</xdr:rowOff>
        </xdr:from>
        <xdr:to>
          <xdr:col>15</xdr:col>
          <xdr:colOff>1019175</xdr:colOff>
          <xdr:row>21</xdr:row>
          <xdr:rowOff>28575</xdr:rowOff>
        </xdr:to>
        <xdr:sp macro="" textlink="">
          <xdr:nvSpPr>
            <xdr:cNvPr id="12338" name="Control 50" hidden="1">
              <a:extLst>
                <a:ext uri="{63B3BB69-23CF-44E3-9099-C40C66FF867C}">
                  <a14:compatExt spid="_x0000_s12338"/>
                </a:ext>
                <a:ext uri="{FF2B5EF4-FFF2-40B4-BE49-F238E27FC236}">
                  <a16:creationId xmlns:a16="http://schemas.microsoft.com/office/drawing/2014/main" id="{00000000-0008-0000-0700-000032300000}"/>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9525</xdr:colOff>
          <xdr:row>20</xdr:row>
          <xdr:rowOff>9525</xdr:rowOff>
        </xdr:from>
        <xdr:to>
          <xdr:col>38</xdr:col>
          <xdr:colOff>114300</xdr:colOff>
          <xdr:row>21</xdr:row>
          <xdr:rowOff>28575</xdr:rowOff>
        </xdr:to>
        <xdr:sp macro="" textlink="">
          <xdr:nvSpPr>
            <xdr:cNvPr id="12339" name="Control 51" hidden="1">
              <a:extLst>
                <a:ext uri="{63B3BB69-23CF-44E3-9099-C40C66FF867C}">
                  <a14:compatExt spid="_x0000_s12339"/>
                </a:ext>
                <a:ext uri="{FF2B5EF4-FFF2-40B4-BE49-F238E27FC236}">
                  <a16:creationId xmlns:a16="http://schemas.microsoft.com/office/drawing/2014/main" id="{00000000-0008-0000-0700-000033300000}"/>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14</xdr:col>
          <xdr:colOff>0</xdr:colOff>
          <xdr:row>21</xdr:row>
          <xdr:rowOff>9525</xdr:rowOff>
        </xdr:from>
        <xdr:to>
          <xdr:col>14</xdr:col>
          <xdr:colOff>10506075</xdr:colOff>
          <xdr:row>22</xdr:row>
          <xdr:rowOff>28575</xdr:rowOff>
        </xdr:to>
        <xdr:sp macro="" textlink="">
          <xdr:nvSpPr>
            <xdr:cNvPr id="12340" name="Control 52" hidden="1">
              <a:extLst>
                <a:ext uri="{63B3BB69-23CF-44E3-9099-C40C66FF867C}">
                  <a14:compatExt spid="_x0000_s12340"/>
                </a:ext>
                <a:ext uri="{FF2B5EF4-FFF2-40B4-BE49-F238E27FC236}">
                  <a16:creationId xmlns:a16="http://schemas.microsoft.com/office/drawing/2014/main" id="{00000000-0008-0000-0700-000034300000}"/>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9525</xdr:colOff>
          <xdr:row>21</xdr:row>
          <xdr:rowOff>9525</xdr:rowOff>
        </xdr:from>
        <xdr:to>
          <xdr:col>16</xdr:col>
          <xdr:colOff>1133475</xdr:colOff>
          <xdr:row>22</xdr:row>
          <xdr:rowOff>28575</xdr:rowOff>
        </xdr:to>
        <xdr:sp macro="" textlink="">
          <xdr:nvSpPr>
            <xdr:cNvPr id="12341" name="Control 53" hidden="1">
              <a:extLst>
                <a:ext uri="{63B3BB69-23CF-44E3-9099-C40C66FF867C}">
                  <a14:compatExt spid="_x0000_s12341"/>
                </a:ext>
                <a:ext uri="{FF2B5EF4-FFF2-40B4-BE49-F238E27FC236}">
                  <a16:creationId xmlns:a16="http://schemas.microsoft.com/office/drawing/2014/main" id="{00000000-0008-0000-0700-000035300000}"/>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14</xdr:col>
          <xdr:colOff>0</xdr:colOff>
          <xdr:row>22</xdr:row>
          <xdr:rowOff>9525</xdr:rowOff>
        </xdr:from>
        <xdr:to>
          <xdr:col>14</xdr:col>
          <xdr:colOff>12649200</xdr:colOff>
          <xdr:row>23</xdr:row>
          <xdr:rowOff>28575</xdr:rowOff>
        </xdr:to>
        <xdr:sp macro="" textlink="">
          <xdr:nvSpPr>
            <xdr:cNvPr id="12342" name="Control 54" hidden="1">
              <a:extLst>
                <a:ext uri="{63B3BB69-23CF-44E3-9099-C40C66FF867C}">
                  <a14:compatExt spid="_x0000_s12342"/>
                </a:ext>
                <a:ext uri="{FF2B5EF4-FFF2-40B4-BE49-F238E27FC236}">
                  <a16:creationId xmlns:a16="http://schemas.microsoft.com/office/drawing/2014/main" id="{00000000-0008-0000-0700-000036300000}"/>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9525</xdr:colOff>
          <xdr:row>22</xdr:row>
          <xdr:rowOff>9525</xdr:rowOff>
        </xdr:from>
        <xdr:to>
          <xdr:col>16</xdr:col>
          <xdr:colOff>1133475</xdr:colOff>
          <xdr:row>23</xdr:row>
          <xdr:rowOff>28575</xdr:rowOff>
        </xdr:to>
        <xdr:sp macro="" textlink="">
          <xdr:nvSpPr>
            <xdr:cNvPr id="12343" name="Control 55" hidden="1">
              <a:extLst>
                <a:ext uri="{63B3BB69-23CF-44E3-9099-C40C66FF867C}">
                  <a14:compatExt spid="_x0000_s12343"/>
                </a:ext>
                <a:ext uri="{FF2B5EF4-FFF2-40B4-BE49-F238E27FC236}">
                  <a16:creationId xmlns:a16="http://schemas.microsoft.com/office/drawing/2014/main" id="{00000000-0008-0000-0700-000037300000}"/>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14</xdr:col>
          <xdr:colOff>0</xdr:colOff>
          <xdr:row>23</xdr:row>
          <xdr:rowOff>76200</xdr:rowOff>
        </xdr:from>
        <xdr:to>
          <xdr:col>14</xdr:col>
          <xdr:colOff>1781175</xdr:colOff>
          <xdr:row>25</xdr:row>
          <xdr:rowOff>104775</xdr:rowOff>
        </xdr:to>
        <xdr:sp macro="" textlink="">
          <xdr:nvSpPr>
            <xdr:cNvPr id="12344" name="Control 56" hidden="1">
              <a:extLst>
                <a:ext uri="{63B3BB69-23CF-44E3-9099-C40C66FF867C}">
                  <a14:compatExt spid="_x0000_s12344"/>
                </a:ext>
                <a:ext uri="{FF2B5EF4-FFF2-40B4-BE49-F238E27FC236}">
                  <a16:creationId xmlns:a16="http://schemas.microsoft.com/office/drawing/2014/main" id="{00000000-0008-0000-0700-000038300000}"/>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38100</xdr:colOff>
          <xdr:row>23</xdr:row>
          <xdr:rowOff>76200</xdr:rowOff>
        </xdr:from>
        <xdr:to>
          <xdr:col>16</xdr:col>
          <xdr:colOff>1819275</xdr:colOff>
          <xdr:row>25</xdr:row>
          <xdr:rowOff>104775</xdr:rowOff>
        </xdr:to>
        <xdr:sp macro="" textlink="">
          <xdr:nvSpPr>
            <xdr:cNvPr id="12345" name="Control 57" hidden="1">
              <a:extLst>
                <a:ext uri="{63B3BB69-23CF-44E3-9099-C40C66FF867C}">
                  <a14:compatExt spid="_x0000_s12345"/>
                </a:ext>
                <a:ext uri="{FF2B5EF4-FFF2-40B4-BE49-F238E27FC236}">
                  <a16:creationId xmlns:a16="http://schemas.microsoft.com/office/drawing/2014/main" id="{00000000-0008-0000-0700-000039300000}"/>
                </a:ext>
              </a:extLst>
            </xdr:cNvPr>
            <xdr:cNvSpPr/>
          </xdr:nvSpPr>
          <xdr:spPr bwMode="auto">
            <a:xfrm>
              <a:off x="0" y="0"/>
              <a:ext cx="0" cy="0"/>
            </a:xfrm>
            <a:prstGeom prst="rect">
              <a:avLst/>
            </a:prstGeom>
            <a:noFill/>
            <a:ln w="9525">
              <a:miter lim="800000"/>
              <a:headEnd/>
              <a:tailEnd/>
            </a:ln>
          </xdr:spPr>
        </xdr:sp>
        <xdr:clientData/>
      </xdr:twoCellAnchor>
    </mc:Choice>
    <mc:Fallback/>
  </mc:AlternateContent>
  <xdr:twoCellAnchor editAs="oneCell">
    <xdr:from>
      <xdr:col>13</xdr:col>
      <xdr:colOff>0</xdr:colOff>
      <xdr:row>25</xdr:row>
      <xdr:rowOff>0</xdr:rowOff>
    </xdr:from>
    <xdr:to>
      <xdr:col>13</xdr:col>
      <xdr:colOff>285750</xdr:colOff>
      <xdr:row>26</xdr:row>
      <xdr:rowOff>76200</xdr:rowOff>
    </xdr:to>
    <xdr:pic>
      <xdr:nvPicPr>
        <xdr:cNvPr id="61" name="60 Imagen" descr="http://mod.ine.gob.bo/pdes/public/images/3s.png">
          <a:extLst>
            <a:ext uri="{FF2B5EF4-FFF2-40B4-BE49-F238E27FC236}">
              <a16:creationId xmlns:a16="http://schemas.microsoft.com/office/drawing/2014/main" id="{00000000-0008-0000-0700-00003D000000}"/>
            </a:ext>
          </a:extLst>
        </xdr:cNvPr>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a:off x="19812000" y="16163925"/>
          <a:ext cx="285750" cy="2857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mc:AlternateContent xmlns:mc="http://schemas.openxmlformats.org/markup-compatibility/2006">
    <mc:Choice xmlns:a14="http://schemas.microsoft.com/office/drawing/2010/main" Requires="a14">
      <xdr:twoCellAnchor editAs="oneCell">
        <xdr:from>
          <xdr:col>14</xdr:col>
          <xdr:colOff>0</xdr:colOff>
          <xdr:row>26</xdr:row>
          <xdr:rowOff>180975</xdr:rowOff>
        </xdr:from>
        <xdr:to>
          <xdr:col>14</xdr:col>
          <xdr:colOff>2847975</xdr:colOff>
          <xdr:row>28</xdr:row>
          <xdr:rowOff>190500</xdr:rowOff>
        </xdr:to>
        <xdr:sp macro="" textlink="">
          <xdr:nvSpPr>
            <xdr:cNvPr id="12347" name="Control 59" hidden="1">
              <a:extLst>
                <a:ext uri="{63B3BB69-23CF-44E3-9099-C40C66FF867C}">
                  <a14:compatExt spid="_x0000_s12347"/>
                </a:ext>
                <a:ext uri="{FF2B5EF4-FFF2-40B4-BE49-F238E27FC236}">
                  <a16:creationId xmlns:a16="http://schemas.microsoft.com/office/drawing/2014/main" id="{00000000-0008-0000-0700-00003B300000}"/>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14</xdr:col>
          <xdr:colOff>0</xdr:colOff>
          <xdr:row>27</xdr:row>
          <xdr:rowOff>28575</xdr:rowOff>
        </xdr:from>
        <xdr:to>
          <xdr:col>14</xdr:col>
          <xdr:colOff>1952625</xdr:colOff>
          <xdr:row>28</xdr:row>
          <xdr:rowOff>47625</xdr:rowOff>
        </xdr:to>
        <xdr:sp macro="" textlink="">
          <xdr:nvSpPr>
            <xdr:cNvPr id="12348" name="Control 60" hidden="1">
              <a:extLst>
                <a:ext uri="{63B3BB69-23CF-44E3-9099-C40C66FF867C}">
                  <a14:compatExt spid="_x0000_s12348"/>
                </a:ext>
                <a:ext uri="{FF2B5EF4-FFF2-40B4-BE49-F238E27FC236}">
                  <a16:creationId xmlns:a16="http://schemas.microsoft.com/office/drawing/2014/main" id="{00000000-0008-0000-0700-00003C300000}"/>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9525</xdr:colOff>
          <xdr:row>27</xdr:row>
          <xdr:rowOff>28575</xdr:rowOff>
        </xdr:from>
        <xdr:to>
          <xdr:col>16</xdr:col>
          <xdr:colOff>1962150</xdr:colOff>
          <xdr:row>28</xdr:row>
          <xdr:rowOff>47625</xdr:rowOff>
        </xdr:to>
        <xdr:sp macro="" textlink="">
          <xdr:nvSpPr>
            <xdr:cNvPr id="12349" name="Control 61" hidden="1">
              <a:extLst>
                <a:ext uri="{63B3BB69-23CF-44E3-9099-C40C66FF867C}">
                  <a14:compatExt spid="_x0000_s12349"/>
                </a:ext>
                <a:ext uri="{FF2B5EF4-FFF2-40B4-BE49-F238E27FC236}">
                  <a16:creationId xmlns:a16="http://schemas.microsoft.com/office/drawing/2014/main" id="{00000000-0008-0000-0700-00003D300000}"/>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14</xdr:col>
          <xdr:colOff>0</xdr:colOff>
          <xdr:row>28</xdr:row>
          <xdr:rowOff>28575</xdr:rowOff>
        </xdr:from>
        <xdr:to>
          <xdr:col>14</xdr:col>
          <xdr:colOff>1952625</xdr:colOff>
          <xdr:row>29</xdr:row>
          <xdr:rowOff>47625</xdr:rowOff>
        </xdr:to>
        <xdr:sp macro="" textlink="">
          <xdr:nvSpPr>
            <xdr:cNvPr id="12350" name="Control 62" hidden="1">
              <a:extLst>
                <a:ext uri="{63B3BB69-23CF-44E3-9099-C40C66FF867C}">
                  <a14:compatExt spid="_x0000_s12350"/>
                </a:ext>
                <a:ext uri="{FF2B5EF4-FFF2-40B4-BE49-F238E27FC236}">
                  <a16:creationId xmlns:a16="http://schemas.microsoft.com/office/drawing/2014/main" id="{00000000-0008-0000-0700-00003E300000}"/>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9525</xdr:colOff>
          <xdr:row>28</xdr:row>
          <xdr:rowOff>28575</xdr:rowOff>
        </xdr:from>
        <xdr:to>
          <xdr:col>16</xdr:col>
          <xdr:colOff>1962150</xdr:colOff>
          <xdr:row>29</xdr:row>
          <xdr:rowOff>47625</xdr:rowOff>
        </xdr:to>
        <xdr:sp macro="" textlink="">
          <xdr:nvSpPr>
            <xdr:cNvPr id="12351" name="Control 63" hidden="1">
              <a:extLst>
                <a:ext uri="{63B3BB69-23CF-44E3-9099-C40C66FF867C}">
                  <a14:compatExt spid="_x0000_s12351"/>
                </a:ext>
                <a:ext uri="{FF2B5EF4-FFF2-40B4-BE49-F238E27FC236}">
                  <a16:creationId xmlns:a16="http://schemas.microsoft.com/office/drawing/2014/main" id="{00000000-0008-0000-0700-00003F300000}"/>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0</xdr:colOff>
          <xdr:row>29</xdr:row>
          <xdr:rowOff>28575</xdr:rowOff>
        </xdr:from>
        <xdr:to>
          <xdr:col>13</xdr:col>
          <xdr:colOff>1123950</xdr:colOff>
          <xdr:row>29</xdr:row>
          <xdr:rowOff>257175</xdr:rowOff>
        </xdr:to>
        <xdr:sp macro="" textlink="">
          <xdr:nvSpPr>
            <xdr:cNvPr id="12352" name="Control 64" hidden="1">
              <a:extLst>
                <a:ext uri="{63B3BB69-23CF-44E3-9099-C40C66FF867C}">
                  <a14:compatExt spid="_x0000_s12352"/>
                </a:ext>
                <a:ext uri="{FF2B5EF4-FFF2-40B4-BE49-F238E27FC236}">
                  <a16:creationId xmlns:a16="http://schemas.microsoft.com/office/drawing/2014/main" id="{00000000-0008-0000-0700-000040300000}"/>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14</xdr:col>
          <xdr:colOff>0</xdr:colOff>
          <xdr:row>29</xdr:row>
          <xdr:rowOff>28575</xdr:rowOff>
        </xdr:from>
        <xdr:to>
          <xdr:col>14</xdr:col>
          <xdr:colOff>1504950</xdr:colOff>
          <xdr:row>29</xdr:row>
          <xdr:rowOff>257175</xdr:rowOff>
        </xdr:to>
        <xdr:sp macro="" textlink="">
          <xdr:nvSpPr>
            <xdr:cNvPr id="12353" name="Control 65" hidden="1">
              <a:extLst>
                <a:ext uri="{63B3BB69-23CF-44E3-9099-C40C66FF867C}">
                  <a14:compatExt spid="_x0000_s12353"/>
                </a:ext>
                <a:ext uri="{FF2B5EF4-FFF2-40B4-BE49-F238E27FC236}">
                  <a16:creationId xmlns:a16="http://schemas.microsoft.com/office/drawing/2014/main" id="{00000000-0008-0000-0700-000041300000}"/>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38100</xdr:colOff>
          <xdr:row>29</xdr:row>
          <xdr:rowOff>114300</xdr:rowOff>
        </xdr:from>
        <xdr:to>
          <xdr:col>16</xdr:col>
          <xdr:colOff>1819275</xdr:colOff>
          <xdr:row>29</xdr:row>
          <xdr:rowOff>542925</xdr:rowOff>
        </xdr:to>
        <xdr:sp macro="" textlink="">
          <xdr:nvSpPr>
            <xdr:cNvPr id="12354" name="Control 66" hidden="1">
              <a:extLst>
                <a:ext uri="{63B3BB69-23CF-44E3-9099-C40C66FF867C}">
                  <a14:compatExt spid="_x0000_s12354"/>
                </a:ext>
                <a:ext uri="{FF2B5EF4-FFF2-40B4-BE49-F238E27FC236}">
                  <a16:creationId xmlns:a16="http://schemas.microsoft.com/office/drawing/2014/main" id="{00000000-0008-0000-0700-000042300000}"/>
                </a:ext>
              </a:extLst>
            </xdr:cNvPr>
            <xdr:cNvSpPr/>
          </xdr:nvSpPr>
          <xdr:spPr bwMode="auto">
            <a:xfrm>
              <a:off x="0" y="0"/>
              <a:ext cx="0" cy="0"/>
            </a:xfrm>
            <a:prstGeom prst="rect">
              <a:avLst/>
            </a:prstGeom>
            <a:noFill/>
            <a:ln w="9525">
              <a:miter lim="800000"/>
              <a:headEnd/>
              <a:tailEnd/>
            </a:ln>
          </xdr:spPr>
        </xdr:sp>
        <xdr:clientData/>
      </xdr:twoCellAnchor>
    </mc:Choice>
    <mc:Fallback/>
  </mc:AlternateContent>
  <xdr:twoCellAnchor editAs="oneCell">
    <xdr:from>
      <xdr:col>13</xdr:col>
      <xdr:colOff>0</xdr:colOff>
      <xdr:row>31</xdr:row>
      <xdr:rowOff>0</xdr:rowOff>
    </xdr:from>
    <xdr:to>
      <xdr:col>13</xdr:col>
      <xdr:colOff>285750</xdr:colOff>
      <xdr:row>32</xdr:row>
      <xdr:rowOff>95250</xdr:rowOff>
    </xdr:to>
    <xdr:pic>
      <xdr:nvPicPr>
        <xdr:cNvPr id="70" name="69 Imagen" descr="http://mod.ine.gob.bo/pdes/public/images/4s.png">
          <a:extLst>
            <a:ext uri="{FF2B5EF4-FFF2-40B4-BE49-F238E27FC236}">
              <a16:creationId xmlns:a16="http://schemas.microsoft.com/office/drawing/2014/main" id="{00000000-0008-0000-0700-000046000000}"/>
            </a:ext>
          </a:extLst>
        </xdr:cNvPr>
        <xdr:cNvPicPr>
          <a:picLocks noChangeAspect="1" noChangeArrowheads="1"/>
        </xdr:cNvPicPr>
      </xdr:nvPicPr>
      <xdr:blipFill>
        <a:blip xmlns:r="http://schemas.openxmlformats.org/officeDocument/2006/relationships" r:embed="rId7" cstate="print">
          <a:extLst>
            <a:ext uri="{28A0092B-C50C-407E-A947-70E740481C1C}">
              <a14:useLocalDpi xmlns:a14="http://schemas.microsoft.com/office/drawing/2010/main" val="0"/>
            </a:ext>
          </a:extLst>
        </a:blip>
        <a:srcRect/>
        <a:stretch>
          <a:fillRect/>
        </a:stretch>
      </xdr:blipFill>
      <xdr:spPr bwMode="auto">
        <a:xfrm>
          <a:off x="19812000" y="18240375"/>
          <a:ext cx="285750" cy="2857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mc:AlternateContent xmlns:mc="http://schemas.openxmlformats.org/markup-compatibility/2006">
    <mc:Choice xmlns:a14="http://schemas.microsoft.com/office/drawing/2010/main" Requires="a14">
      <xdr:twoCellAnchor editAs="oneCell">
        <xdr:from>
          <xdr:col>14</xdr:col>
          <xdr:colOff>0</xdr:colOff>
          <xdr:row>33</xdr:row>
          <xdr:rowOff>152400</xdr:rowOff>
        </xdr:from>
        <xdr:to>
          <xdr:col>14</xdr:col>
          <xdr:colOff>1781175</xdr:colOff>
          <xdr:row>35</xdr:row>
          <xdr:rowOff>180975</xdr:rowOff>
        </xdr:to>
        <xdr:sp macro="" textlink="">
          <xdr:nvSpPr>
            <xdr:cNvPr id="12356" name="Control 68" hidden="1">
              <a:extLst>
                <a:ext uri="{63B3BB69-23CF-44E3-9099-C40C66FF867C}">
                  <a14:compatExt spid="_x0000_s12356"/>
                </a:ext>
                <a:ext uri="{FF2B5EF4-FFF2-40B4-BE49-F238E27FC236}">
                  <a16:creationId xmlns:a16="http://schemas.microsoft.com/office/drawing/2014/main" id="{00000000-0008-0000-0700-000044300000}"/>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38100</xdr:colOff>
          <xdr:row>33</xdr:row>
          <xdr:rowOff>152400</xdr:rowOff>
        </xdr:from>
        <xdr:to>
          <xdr:col>16</xdr:col>
          <xdr:colOff>1819275</xdr:colOff>
          <xdr:row>35</xdr:row>
          <xdr:rowOff>180975</xdr:rowOff>
        </xdr:to>
        <xdr:sp macro="" textlink="">
          <xdr:nvSpPr>
            <xdr:cNvPr id="12357" name="Control 69" hidden="1">
              <a:extLst>
                <a:ext uri="{63B3BB69-23CF-44E3-9099-C40C66FF867C}">
                  <a14:compatExt spid="_x0000_s12357"/>
                </a:ext>
                <a:ext uri="{FF2B5EF4-FFF2-40B4-BE49-F238E27FC236}">
                  <a16:creationId xmlns:a16="http://schemas.microsoft.com/office/drawing/2014/main" id="{00000000-0008-0000-0700-000045300000}"/>
                </a:ext>
              </a:extLst>
            </xdr:cNvPr>
            <xdr:cNvSpPr/>
          </xdr:nvSpPr>
          <xdr:spPr bwMode="auto">
            <a:xfrm>
              <a:off x="0" y="0"/>
              <a:ext cx="0" cy="0"/>
            </a:xfrm>
            <a:prstGeom prst="rect">
              <a:avLst/>
            </a:prstGeom>
            <a:noFill/>
            <a:ln w="9525">
              <a:miter lim="800000"/>
              <a:headEnd/>
              <a:tailEnd/>
            </a:ln>
          </xdr:spPr>
        </xdr:sp>
        <xdr:clientData/>
      </xdr:twoCellAnchor>
    </mc:Choice>
    <mc:Fallback/>
  </mc:AlternateContent>
  <xdr:twoCellAnchor editAs="oneCell">
    <xdr:from>
      <xdr:col>13</xdr:col>
      <xdr:colOff>0</xdr:colOff>
      <xdr:row>35</xdr:row>
      <xdr:rowOff>0</xdr:rowOff>
    </xdr:from>
    <xdr:to>
      <xdr:col>13</xdr:col>
      <xdr:colOff>285750</xdr:colOff>
      <xdr:row>36</xdr:row>
      <xdr:rowOff>76200</xdr:rowOff>
    </xdr:to>
    <xdr:pic>
      <xdr:nvPicPr>
        <xdr:cNvPr id="73" name="72 Imagen" descr="http://mod.ine.gob.bo/pdes/public/images/5s.png">
          <a:extLst>
            <a:ext uri="{FF2B5EF4-FFF2-40B4-BE49-F238E27FC236}">
              <a16:creationId xmlns:a16="http://schemas.microsoft.com/office/drawing/2014/main" id="{00000000-0008-0000-0700-000049000000}"/>
            </a:ext>
          </a:extLst>
        </xdr:cNvPr>
        <xdr:cNvPicPr>
          <a:picLocks noChangeAspect="1" noChangeArrowheads="1"/>
        </xdr:cNvPicPr>
      </xdr:nvPicPr>
      <xdr:blipFill>
        <a:blip xmlns:r="http://schemas.openxmlformats.org/officeDocument/2006/relationships" r:embed="rId8" cstate="print">
          <a:extLst>
            <a:ext uri="{28A0092B-C50C-407E-A947-70E740481C1C}">
              <a14:useLocalDpi xmlns:a14="http://schemas.microsoft.com/office/drawing/2010/main" val="0"/>
            </a:ext>
          </a:extLst>
        </a:blip>
        <a:srcRect/>
        <a:stretch>
          <a:fillRect/>
        </a:stretch>
      </xdr:blipFill>
      <xdr:spPr bwMode="auto">
        <a:xfrm>
          <a:off x="19812000" y="20240625"/>
          <a:ext cx="285750" cy="2857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mc:AlternateContent xmlns:mc="http://schemas.openxmlformats.org/markup-compatibility/2006">
    <mc:Choice xmlns:a14="http://schemas.microsoft.com/office/drawing/2010/main" Requires="a14">
      <xdr:twoCellAnchor editAs="oneCell">
        <xdr:from>
          <xdr:col>14</xdr:col>
          <xdr:colOff>0</xdr:colOff>
          <xdr:row>36</xdr:row>
          <xdr:rowOff>152400</xdr:rowOff>
        </xdr:from>
        <xdr:to>
          <xdr:col>14</xdr:col>
          <xdr:colOff>2619375</xdr:colOff>
          <xdr:row>37</xdr:row>
          <xdr:rowOff>171450</xdr:rowOff>
        </xdr:to>
        <xdr:sp macro="" textlink="">
          <xdr:nvSpPr>
            <xdr:cNvPr id="12359" name="Control 71" hidden="1">
              <a:extLst>
                <a:ext uri="{63B3BB69-23CF-44E3-9099-C40C66FF867C}">
                  <a14:compatExt spid="_x0000_s12359"/>
                </a:ext>
                <a:ext uri="{FF2B5EF4-FFF2-40B4-BE49-F238E27FC236}">
                  <a16:creationId xmlns:a16="http://schemas.microsoft.com/office/drawing/2014/main" id="{00000000-0008-0000-0700-000047300000}"/>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14</xdr:col>
          <xdr:colOff>0</xdr:colOff>
          <xdr:row>37</xdr:row>
          <xdr:rowOff>47625</xdr:rowOff>
        </xdr:from>
        <xdr:to>
          <xdr:col>14</xdr:col>
          <xdr:colOff>2619375</xdr:colOff>
          <xdr:row>38</xdr:row>
          <xdr:rowOff>66675</xdr:rowOff>
        </xdr:to>
        <xdr:sp macro="" textlink="">
          <xdr:nvSpPr>
            <xdr:cNvPr id="12360" name="Control 72" hidden="1">
              <a:extLst>
                <a:ext uri="{63B3BB69-23CF-44E3-9099-C40C66FF867C}">
                  <a14:compatExt spid="_x0000_s12360"/>
                </a:ext>
                <a:ext uri="{FF2B5EF4-FFF2-40B4-BE49-F238E27FC236}">
                  <a16:creationId xmlns:a16="http://schemas.microsoft.com/office/drawing/2014/main" id="{00000000-0008-0000-0700-000048300000}"/>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9525</xdr:colOff>
          <xdr:row>37</xdr:row>
          <xdr:rowOff>47625</xdr:rowOff>
        </xdr:from>
        <xdr:to>
          <xdr:col>16</xdr:col>
          <xdr:colOff>2581275</xdr:colOff>
          <xdr:row>38</xdr:row>
          <xdr:rowOff>66675</xdr:rowOff>
        </xdr:to>
        <xdr:sp macro="" textlink="">
          <xdr:nvSpPr>
            <xdr:cNvPr id="12361" name="Control 73" hidden="1">
              <a:extLst>
                <a:ext uri="{63B3BB69-23CF-44E3-9099-C40C66FF867C}">
                  <a14:compatExt spid="_x0000_s12361"/>
                </a:ext>
                <a:ext uri="{FF2B5EF4-FFF2-40B4-BE49-F238E27FC236}">
                  <a16:creationId xmlns:a16="http://schemas.microsoft.com/office/drawing/2014/main" id="{00000000-0008-0000-0700-000049300000}"/>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14</xdr:col>
          <xdr:colOff>0</xdr:colOff>
          <xdr:row>38</xdr:row>
          <xdr:rowOff>47625</xdr:rowOff>
        </xdr:from>
        <xdr:to>
          <xdr:col>14</xdr:col>
          <xdr:colOff>2619375</xdr:colOff>
          <xdr:row>39</xdr:row>
          <xdr:rowOff>66675</xdr:rowOff>
        </xdr:to>
        <xdr:sp macro="" textlink="">
          <xdr:nvSpPr>
            <xdr:cNvPr id="12362" name="Control 74" hidden="1">
              <a:extLst>
                <a:ext uri="{63B3BB69-23CF-44E3-9099-C40C66FF867C}">
                  <a14:compatExt spid="_x0000_s12362"/>
                </a:ext>
                <a:ext uri="{FF2B5EF4-FFF2-40B4-BE49-F238E27FC236}">
                  <a16:creationId xmlns:a16="http://schemas.microsoft.com/office/drawing/2014/main" id="{00000000-0008-0000-0700-00004A300000}"/>
                </a:ext>
              </a:extLst>
            </xdr:cNvPr>
            <xdr:cNvSpPr/>
          </xdr:nvSpPr>
          <xdr:spPr bwMode="auto">
            <a:xfrm>
              <a:off x="0" y="0"/>
              <a:ext cx="0" cy="0"/>
            </a:xfrm>
            <a:prstGeom prst="rect">
              <a:avLst/>
            </a:prstGeom>
            <a:noFill/>
            <a:ln w="9525">
              <a:miter lim="800000"/>
              <a:headEnd/>
              <a:tailEnd/>
            </a:ln>
          </xdr:spPr>
        </xdr:sp>
        <xdr:clientData/>
      </xdr:twoCellAnchor>
    </mc:Choice>
    <mc:Fallback/>
  </mc:AlternateContent>
  <xdr:twoCellAnchor editAs="oneCell">
    <xdr:from>
      <xdr:col>13</xdr:col>
      <xdr:colOff>0</xdr:colOff>
      <xdr:row>42</xdr:row>
      <xdr:rowOff>0</xdr:rowOff>
    </xdr:from>
    <xdr:to>
      <xdr:col>13</xdr:col>
      <xdr:colOff>285750</xdr:colOff>
      <xdr:row>43</xdr:row>
      <xdr:rowOff>76200</xdr:rowOff>
    </xdr:to>
    <xdr:pic>
      <xdr:nvPicPr>
        <xdr:cNvPr id="78" name="77 Imagen" descr="http://mod.ine.gob.bo/pdes/public/images/6s.png">
          <a:extLst>
            <a:ext uri="{FF2B5EF4-FFF2-40B4-BE49-F238E27FC236}">
              <a16:creationId xmlns:a16="http://schemas.microsoft.com/office/drawing/2014/main" id="{00000000-0008-0000-0700-00004E000000}"/>
            </a:ext>
          </a:extLst>
        </xdr:cNvPr>
        <xdr:cNvPicPr>
          <a:picLocks noChangeAspect="1" noChangeArrowheads="1"/>
        </xdr:cNvPicPr>
      </xdr:nvPicPr>
      <xdr:blipFill>
        <a:blip xmlns:r="http://schemas.openxmlformats.org/officeDocument/2006/relationships" r:embed="rId9" cstate="print">
          <a:extLst>
            <a:ext uri="{28A0092B-C50C-407E-A947-70E740481C1C}">
              <a14:useLocalDpi xmlns:a14="http://schemas.microsoft.com/office/drawing/2010/main" val="0"/>
            </a:ext>
          </a:extLst>
        </a:blip>
        <a:srcRect/>
        <a:stretch>
          <a:fillRect/>
        </a:stretch>
      </xdr:blipFill>
      <xdr:spPr bwMode="auto">
        <a:xfrm>
          <a:off x="19812000" y="24488775"/>
          <a:ext cx="285750" cy="2857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mc:AlternateContent xmlns:mc="http://schemas.openxmlformats.org/markup-compatibility/2006">
    <mc:Choice xmlns:a14="http://schemas.microsoft.com/office/drawing/2010/main" Requires="a14">
      <xdr:twoCellAnchor editAs="oneCell">
        <xdr:from>
          <xdr:col>15</xdr:col>
          <xdr:colOff>0</xdr:colOff>
          <xdr:row>43</xdr:row>
          <xdr:rowOff>66675</xdr:rowOff>
        </xdr:from>
        <xdr:to>
          <xdr:col>16</xdr:col>
          <xdr:colOff>647700</xdr:colOff>
          <xdr:row>44</xdr:row>
          <xdr:rowOff>104775</xdr:rowOff>
        </xdr:to>
        <xdr:sp macro="" textlink="">
          <xdr:nvSpPr>
            <xdr:cNvPr id="12364" name="Control 76" hidden="1">
              <a:extLst>
                <a:ext uri="{63B3BB69-23CF-44E3-9099-C40C66FF867C}">
                  <a14:compatExt spid="_x0000_s12364"/>
                </a:ext>
                <a:ext uri="{FF2B5EF4-FFF2-40B4-BE49-F238E27FC236}">
                  <a16:creationId xmlns:a16="http://schemas.microsoft.com/office/drawing/2014/main" id="{00000000-0008-0000-0700-00004C300000}"/>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0</xdr:colOff>
          <xdr:row>45</xdr:row>
          <xdr:rowOff>66675</xdr:rowOff>
        </xdr:from>
        <xdr:to>
          <xdr:col>16</xdr:col>
          <xdr:colOff>647700</xdr:colOff>
          <xdr:row>46</xdr:row>
          <xdr:rowOff>85725</xdr:rowOff>
        </xdr:to>
        <xdr:sp macro="" textlink="">
          <xdr:nvSpPr>
            <xdr:cNvPr id="12365" name="Control 77" hidden="1">
              <a:extLst>
                <a:ext uri="{63B3BB69-23CF-44E3-9099-C40C66FF867C}">
                  <a14:compatExt spid="_x0000_s12365"/>
                </a:ext>
                <a:ext uri="{FF2B5EF4-FFF2-40B4-BE49-F238E27FC236}">
                  <a16:creationId xmlns:a16="http://schemas.microsoft.com/office/drawing/2014/main" id="{00000000-0008-0000-0700-00004D300000}"/>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0</xdr:colOff>
          <xdr:row>46</xdr:row>
          <xdr:rowOff>66675</xdr:rowOff>
        </xdr:from>
        <xdr:to>
          <xdr:col>16</xdr:col>
          <xdr:colOff>647700</xdr:colOff>
          <xdr:row>47</xdr:row>
          <xdr:rowOff>104775</xdr:rowOff>
        </xdr:to>
        <xdr:sp macro="" textlink="">
          <xdr:nvSpPr>
            <xdr:cNvPr id="12366" name="Control 78" hidden="1">
              <a:extLst>
                <a:ext uri="{63B3BB69-23CF-44E3-9099-C40C66FF867C}">
                  <a14:compatExt spid="_x0000_s12366"/>
                </a:ext>
                <a:ext uri="{FF2B5EF4-FFF2-40B4-BE49-F238E27FC236}">
                  <a16:creationId xmlns:a16="http://schemas.microsoft.com/office/drawing/2014/main" id="{00000000-0008-0000-0700-00004E300000}"/>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0</xdr:colOff>
          <xdr:row>48</xdr:row>
          <xdr:rowOff>66675</xdr:rowOff>
        </xdr:from>
        <xdr:to>
          <xdr:col>16</xdr:col>
          <xdr:colOff>647700</xdr:colOff>
          <xdr:row>49</xdr:row>
          <xdr:rowOff>85725</xdr:rowOff>
        </xdr:to>
        <xdr:sp macro="" textlink="">
          <xdr:nvSpPr>
            <xdr:cNvPr id="12367" name="Control 79" hidden="1">
              <a:extLst>
                <a:ext uri="{63B3BB69-23CF-44E3-9099-C40C66FF867C}">
                  <a14:compatExt spid="_x0000_s12367"/>
                </a:ext>
                <a:ext uri="{FF2B5EF4-FFF2-40B4-BE49-F238E27FC236}">
                  <a16:creationId xmlns:a16="http://schemas.microsoft.com/office/drawing/2014/main" id="{00000000-0008-0000-0700-00004F300000}"/>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0</xdr:colOff>
          <xdr:row>49</xdr:row>
          <xdr:rowOff>66675</xdr:rowOff>
        </xdr:from>
        <xdr:to>
          <xdr:col>16</xdr:col>
          <xdr:colOff>647700</xdr:colOff>
          <xdr:row>50</xdr:row>
          <xdr:rowOff>104775</xdr:rowOff>
        </xdr:to>
        <xdr:sp macro="" textlink="">
          <xdr:nvSpPr>
            <xdr:cNvPr id="12368" name="Control 80" hidden="1">
              <a:extLst>
                <a:ext uri="{63B3BB69-23CF-44E3-9099-C40C66FF867C}">
                  <a14:compatExt spid="_x0000_s12368"/>
                </a:ext>
                <a:ext uri="{FF2B5EF4-FFF2-40B4-BE49-F238E27FC236}">
                  <a16:creationId xmlns:a16="http://schemas.microsoft.com/office/drawing/2014/main" id="{00000000-0008-0000-0700-000050300000}"/>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0</xdr:colOff>
          <xdr:row>51</xdr:row>
          <xdr:rowOff>66675</xdr:rowOff>
        </xdr:from>
        <xdr:to>
          <xdr:col>16</xdr:col>
          <xdr:colOff>647700</xdr:colOff>
          <xdr:row>52</xdr:row>
          <xdr:rowOff>85725</xdr:rowOff>
        </xdr:to>
        <xdr:sp macro="" textlink="">
          <xdr:nvSpPr>
            <xdr:cNvPr id="12369" name="Control 81" hidden="1">
              <a:extLst>
                <a:ext uri="{63B3BB69-23CF-44E3-9099-C40C66FF867C}">
                  <a14:compatExt spid="_x0000_s12369"/>
                </a:ext>
                <a:ext uri="{FF2B5EF4-FFF2-40B4-BE49-F238E27FC236}">
                  <a16:creationId xmlns:a16="http://schemas.microsoft.com/office/drawing/2014/main" id="{00000000-0008-0000-0700-000051300000}"/>
                </a:ext>
              </a:extLst>
            </xdr:cNvPr>
            <xdr:cNvSpPr/>
          </xdr:nvSpPr>
          <xdr:spPr bwMode="auto">
            <a:xfrm>
              <a:off x="0" y="0"/>
              <a:ext cx="0" cy="0"/>
            </a:xfrm>
            <a:prstGeom prst="rect">
              <a:avLst/>
            </a:prstGeom>
            <a:noFill/>
            <a:ln w="9525">
              <a:miter lim="800000"/>
              <a:headEnd/>
              <a:tailEnd/>
            </a:ln>
          </xdr:spPr>
        </xdr:sp>
        <xdr:clientData/>
      </xdr:twoCellAnchor>
    </mc:Choice>
    <mc:Fallback/>
  </mc:AlternateContent>
  <xdr:twoCellAnchor editAs="oneCell">
    <xdr:from>
      <xdr:col>13</xdr:col>
      <xdr:colOff>0</xdr:colOff>
      <xdr:row>53</xdr:row>
      <xdr:rowOff>0</xdr:rowOff>
    </xdr:from>
    <xdr:to>
      <xdr:col>13</xdr:col>
      <xdr:colOff>285750</xdr:colOff>
      <xdr:row>54</xdr:row>
      <xdr:rowOff>76200</xdr:rowOff>
    </xdr:to>
    <xdr:pic>
      <xdr:nvPicPr>
        <xdr:cNvPr id="85" name="84 Imagen" descr="http://mod.ine.gob.bo/pdes/public/images/7s.png">
          <a:extLst>
            <a:ext uri="{FF2B5EF4-FFF2-40B4-BE49-F238E27FC236}">
              <a16:creationId xmlns:a16="http://schemas.microsoft.com/office/drawing/2014/main" id="{00000000-0008-0000-0700-000055000000}"/>
            </a:ext>
          </a:extLst>
        </xdr:cNvPr>
        <xdr:cNvPicPr>
          <a:picLocks noChangeAspect="1" noChangeArrowheads="1"/>
        </xdr:cNvPicPr>
      </xdr:nvPicPr>
      <xdr:blipFill>
        <a:blip xmlns:r="http://schemas.openxmlformats.org/officeDocument/2006/relationships" r:embed="rId10" cstate="print">
          <a:extLst>
            <a:ext uri="{28A0092B-C50C-407E-A947-70E740481C1C}">
              <a14:useLocalDpi xmlns:a14="http://schemas.microsoft.com/office/drawing/2010/main" val="0"/>
            </a:ext>
          </a:extLst>
        </a:blip>
        <a:srcRect/>
        <a:stretch>
          <a:fillRect/>
        </a:stretch>
      </xdr:blipFill>
      <xdr:spPr bwMode="auto">
        <a:xfrm>
          <a:off x="19812000" y="26812875"/>
          <a:ext cx="285750" cy="2857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mc:AlternateContent xmlns:mc="http://schemas.openxmlformats.org/markup-compatibility/2006">
    <mc:Choice xmlns:a14="http://schemas.microsoft.com/office/drawing/2010/main" Requires="a14">
      <xdr:twoCellAnchor editAs="oneCell">
        <xdr:from>
          <xdr:col>14</xdr:col>
          <xdr:colOff>0</xdr:colOff>
          <xdr:row>55</xdr:row>
          <xdr:rowOff>114300</xdr:rowOff>
        </xdr:from>
        <xdr:to>
          <xdr:col>14</xdr:col>
          <xdr:colOff>2847975</xdr:colOff>
          <xdr:row>57</xdr:row>
          <xdr:rowOff>142875</xdr:rowOff>
        </xdr:to>
        <xdr:sp macro="" textlink="">
          <xdr:nvSpPr>
            <xdr:cNvPr id="12371" name="Control 83" hidden="1">
              <a:extLst>
                <a:ext uri="{63B3BB69-23CF-44E3-9099-C40C66FF867C}">
                  <a14:compatExt spid="_x0000_s12371"/>
                </a:ext>
                <a:ext uri="{FF2B5EF4-FFF2-40B4-BE49-F238E27FC236}">
                  <a16:creationId xmlns:a16="http://schemas.microsoft.com/office/drawing/2014/main" id="{00000000-0008-0000-0700-000053300000}"/>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0</xdr:colOff>
          <xdr:row>58</xdr:row>
          <xdr:rowOff>76200</xdr:rowOff>
        </xdr:from>
        <xdr:to>
          <xdr:col>13</xdr:col>
          <xdr:colOff>1257300</xdr:colOff>
          <xdr:row>60</xdr:row>
          <xdr:rowOff>19050</xdr:rowOff>
        </xdr:to>
        <xdr:sp macro="" textlink="">
          <xdr:nvSpPr>
            <xdr:cNvPr id="12372" name="Control 84" hidden="1">
              <a:extLst>
                <a:ext uri="{63B3BB69-23CF-44E3-9099-C40C66FF867C}">
                  <a14:compatExt spid="_x0000_s12372"/>
                </a:ext>
                <a:ext uri="{FF2B5EF4-FFF2-40B4-BE49-F238E27FC236}">
                  <a16:creationId xmlns:a16="http://schemas.microsoft.com/office/drawing/2014/main" id="{00000000-0008-0000-0700-000054300000}"/>
                </a:ext>
              </a:extLst>
            </xdr:cNvPr>
            <xdr:cNvSpPr/>
          </xdr:nvSpPr>
          <xdr:spPr bwMode="auto">
            <a:xfrm>
              <a:off x="0" y="0"/>
              <a:ext cx="0" cy="0"/>
            </a:xfrm>
            <a:prstGeom prst="rect">
              <a:avLst/>
            </a:prstGeom>
            <a:noFill/>
            <a:ln w="9525">
              <a:miter lim="800000"/>
              <a:headEnd/>
              <a:tailEnd/>
            </a:ln>
          </xdr:spPr>
        </xdr:sp>
        <xdr:clientData/>
      </xdr:twoCellAnchor>
    </mc:Choice>
    <mc:Fallback/>
  </mc:AlternateContent>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E:\Informacion\2018TAREAS\ODS\MATRICES%20CONCLUIDAS\NUEVAS%20MATRICES%20AJUSTANDO%20FORMULAS\Matriz%20de%20Metadatos%20MJTI%20%20CONSOLIDADO%20MJTI%2018%2005%2018-Proyecciones-FI-MJTI.xls"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file:///C:\Users\sclaros\Desktop\Gesti&#243;n%202018\PDES%20-%20ODS\MCyT\4%20Matriz%20Viceministerio%20de%20Turismo%2003.05.18.xlsx"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file:///C:\Users\sclaros\Desktop\1%20FLUVIAL%20Matriz_Metadatos_Indicadores_PDS_ODS_4Abril2018_Noche%20(5).xlsx"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file:///E:\Informacion\2018TAREAS\ODS\MATRICES%20CONCLUIDAS\NUEVAS%20MATRICES%20AJUSTANDO%20FORMULAS\ultimo%20sectores%20energia%20hidrocarb%20mineria%20DB\5%20Matriz_Metadatos_Indicadores_PDS_ODS_Pilar%207%20MMM.xlsx" TargetMode="External"/></Relationships>
</file>

<file path=xl/externalLinks/_rels/externalLink5.xml.rels><?xml version="1.0" encoding="UTF-8" standalone="yes"?>
<Relationships xmlns="http://schemas.openxmlformats.org/package/2006/relationships"><Relationship Id="rId1" Type="http://schemas.openxmlformats.org/officeDocument/2006/relationships/externalLinkPath" Target="file:///E:\Informacion\2018TAREAS\ODS\MATRICES%20CONCLUIDAS\NUEVAS%20MATRICES%20AJUSTANDO%20FORMULAS\ultimo%20sectores%20energia%20hidrocarb%20mineria%20DB\2018-04-30%20MATRIZ%20METADATOS%20INDICADORES%20MH.xlsx" TargetMode="External"/></Relationships>
</file>

<file path=xl/externalLinks/_rels/externalLink6.xml.rels><?xml version="1.0" encoding="UTF-8" standalone="yes"?>
<Relationships xmlns="http://schemas.openxmlformats.org/package/2006/relationships"><Relationship Id="rId1" Type="http://schemas.openxmlformats.org/officeDocument/2006/relationships/externalLinkPath" Target="file:///C:\Users\lsoriagalvarro\Downloads\Copy%20of%20PARA%20META%201,2,5%20Y%206%20%20%20%20%20%20%2008%2005%20%202018rev%20(1).xlsx" TargetMode="External"/></Relationships>
</file>

<file path=xl/externalLinks/_rels/externalLink7.xml.rels><?xml version="1.0" encoding="UTF-8" standalone="yes"?>
<Relationships xmlns="http://schemas.openxmlformats.org/package/2006/relationships"><Relationship Id="rId1" Type="http://schemas.openxmlformats.org/officeDocument/2006/relationships/externalLinkPath" Target="file:///K:\Users\Ayala\Desktop\TELESALUD%20matriz%20metadatos%20ind%20(fin).xlsx" TargetMode="External"/></Relationships>
</file>

<file path=xl/externalLinks/_rels/externalLink8.xml.rels><?xml version="1.0" encoding="UTF-8" standalone="yes"?>
<Relationships xmlns="http://schemas.openxmlformats.org/package/2006/relationships"><Relationship Id="rId1" Type="http://schemas.openxmlformats.org/officeDocument/2006/relationships/externalLinkPath" Target="file:///E:\backup%20alcamacho%20marzo%202018\Evaluaci&#243;n%20de%20medio%20termino\Matriz%20DGP.xlsx" TargetMode="External"/></Relationships>
</file>

<file path=xl/externalLinks/_rels/externalLink9.xml.rels><?xml version="1.0" encoding="UTF-8" standalone="yes"?>
<Relationships xmlns="http://schemas.openxmlformats.org/package/2006/relationships"><Relationship Id="rId1" Type="http://schemas.openxmlformats.org/officeDocument/2006/relationships/externalLinkPath" Target="file:///F:\MATRIZ%20METADATOS%20PILARES%201%20Y%2011%20MIN%20GOB%20%2016.04.2018%20(1)patricia.xlsx" TargetMode="External"/></Relationships>
</file>

<file path=xl/externalLinks/_rels/externalLink10.xml.rels><?xml version="1.0" encoding="UTF-8" standalone="yes"?>
<Relationships xmlns="http://schemas.openxmlformats.org/package/2006/relationships"><Relationship Id="rId1" Type="http://schemas.openxmlformats.org/officeDocument/2006/relationships/externalLinkPath" Target="file:///E:\Users\Plani-2017\Desktop\PDES-ODS\REUNIONES%20LUNES\MATRIZ%20METADATOS%20PILARES%201%20Y%2011%20MIN%20GOB%20%2016.04.2018.xlsx" TargetMode="External"/></Relationships>
</file>

<file path=xl/externalLinks/_rels/externalLink11.xml.rels><?xml version="1.0" encoding="UTF-8" standalone="yes"?>
<Relationships xmlns="http://schemas.openxmlformats.org/package/2006/relationships"><Relationship Id="rId1" Type="http://schemas.openxmlformats.org/officeDocument/2006/relationships/externalLinkPath" Target="file:///C:\Users\Plani-2017\Desktop\PDES-ODS\REUNIONES%20LUNES\MATRIZ%20METADATOS%20PILARES%201%20Y%2011%20MIN%20GOB%20%2016.04.2018.xlsx" TargetMode="External"/></Relationships>
</file>

<file path=xl/externalLinks/_rels/externalLink12.xml.rels><?xml version="1.0" encoding="UTF-8" standalone="yes"?>
<Relationships xmlns="http://schemas.openxmlformats.org/package/2006/relationships"><Relationship Id="rId1" Type="http://schemas.openxmlformats.org/officeDocument/2006/relationships/externalLinkPath" Target="file:///C:\Users\Plani-2017\Desktop\PDES-ODS\MATRICES%20UO\Matriz_Metadatos_%20DIGEM)IG.xlsx" TargetMode="External"/></Relationships>
</file>

<file path=xl/externalLinks/_rels/externalLink13.xml.rels><?xml version="1.0" encoding="UTF-8" standalone="yes"?>
<Relationships xmlns="http://schemas.openxmlformats.org/package/2006/relationships"><Relationship Id="rId1" Type="http://schemas.openxmlformats.org/officeDocument/2006/relationships/externalLinkPath" Target="file:///C:\Users\Plani-2017\Desktop\PDES-ODS\MATRICES%20UO\MATRIZ%20METADATOS%20PILARES%201%20Y%2011%20%20.xlsx" TargetMode="External"/></Relationships>
</file>

<file path=xl/externalLinks/_rels/externalLink14.xml.rels><?xml version="1.0" encoding="UTF-8" standalone="yes"?>
<Relationships xmlns="http://schemas.openxmlformats.org/package/2006/relationships"><Relationship Id="rId1" Type="http://schemas.openxmlformats.org/officeDocument/2006/relationships/externalLinkPath" Target="file:///C:\Users\Plani-2017\Desktop\PDES-ODS\MATRICES%20UO\MATRIZ%20METADATOSdgrp.2018.xlsx" TargetMode="External"/></Relationships>
</file>

<file path=xl/externalLinks/_rels/externalLink15.xml.rels><?xml version="1.0" encoding="UTF-8" standalone="yes"?>
<Relationships xmlns="http://schemas.openxmlformats.org/package/2006/relationships"><Relationship Id="rId1" Type="http://schemas.openxmlformats.org/officeDocument/2006/relationships/externalLinkPath" Target="file:///E:\OTROS\ODS\informe%20seguimiento%20ODS%20PDES%202018\comision%20transparencia%20seguridad\reuni&#243;n%20defensa%2019abr2018\Matriz_Metadatos_Indicadores_PDS_ODS_DEFENSA%2019abr2018.xlsx" TargetMode="External"/></Relationships>
</file>

<file path=xl/externalLinks/_rels/externalLink16.xml.rels><?xml version="1.0" encoding="UTF-8" standalone="yes"?>
<Relationships xmlns="http://schemas.openxmlformats.org/package/2006/relationships"><Relationship Id="rId1" Type="http://schemas.openxmlformats.org/officeDocument/2006/relationships/externalLinkPath" Target="file:///E:\Informacion\2018TAREAS\ODS\MATRICES%20CONCLUIDAS\NUEVAS%20MATRICES%20AJUSTANDO%20FORMULAS\9%20Agua%20y%20Saneamiento%20Basico.xlsx" TargetMode="External"/></Relationships>
</file>

<file path=xl/externalLinks/_rels/externalLink17.xml.rels><?xml version="1.0" encoding="UTF-8" standalone="yes"?>
<Relationships xmlns="http://schemas.openxmlformats.org/package/2006/relationships"><Relationship Id="rId1" Type="http://schemas.openxmlformats.org/officeDocument/2006/relationships/externalLinkPath" Target="file:///E:\Informacion\2018TAREAS\ODS\MATRICES%20CONCLUIDAS\8%20Disfrute%20y%20felicidad\27%20Interculturalidad.xlsx" TargetMode="External"/></Relationships>
</file>

<file path=xl/externalLinks/_rels/externalLink18.xml.rels><?xml version="1.0" encoding="UTF-8" standalone="yes"?>
<Relationships xmlns="http://schemas.openxmlformats.org/package/2006/relationships"><Relationship Id="rId1" Type="http://schemas.openxmlformats.org/officeDocument/2006/relationships/externalLinkPath" Target="file:///E:\Informacion\2018TAREAS\ODS\MATRICES%20CONCLUIDAS\NUEVAS%20MATRICES%20AJUSTANDO%20FORMULAS\Viceministerio%20de%20Descolonizacion16052018%20UDAPE%20FINAL-Proyecciones-FI-MCyT.xlsx" TargetMode="External"/></Relationships>
</file>

<file path=xl/externalLinks/_rels/externalLink19.xml.rels><?xml version="1.0" encoding="UTF-8" standalone="yes"?>
<Relationships xmlns="http://schemas.openxmlformats.org/package/2006/relationships"><Relationship Id="rId1" Type="http://schemas.openxmlformats.org/officeDocument/2006/relationships/externalLinkPath" Target="file:///C:\Users\Ronald\Downloads\DGLCR.xlsx" TargetMode="External"/></Relationships>
</file>

<file path=xl/externalLinks/_rels/externalLink20.xml.rels><?xml version="1.0" encoding="UTF-8" standalone="yes"?>
<Relationships xmlns="http://schemas.openxmlformats.org/package/2006/relationships"><Relationship Id="rId1" Type="http://schemas.openxmlformats.org/officeDocument/2006/relationships/externalLinkPath" Target="file:///C:\Users\Plani-2017\Desktop\PDES-ODS\REUNIONES%20LUNES\MATRIZ%20METADATOS%20PILARES%201%20Y%2011%20MIN%20GOB%20lunes.xlsx" TargetMode="External"/></Relationships>
</file>

<file path=xl/externalLinks/_rels/externalLink21.xml.rels><?xml version="1.0" encoding="UTF-8" standalone="yes"?>
<Relationships xmlns="http://schemas.openxmlformats.org/package/2006/relationships"><Relationship Id="rId1" Type="http://schemas.openxmlformats.org/officeDocument/2006/relationships/externalLinkPath" Target="/Backup%20scarrasco/descargas/Matriz_Metadatos_Indicadores_PDS_ODS_28Marzo2018_Noche%20(1).xlsx" TargetMode="External"/></Relationships>
</file>

<file path=xl/externalLinks/_rels/externalLink22.xml.rels><?xml version="1.0" encoding="UTF-8" standalone="yes"?>
<Relationships xmlns="http://schemas.openxmlformats.org/package/2006/relationships"><Relationship Id="rId1" Type="http://schemas.openxmlformats.org/officeDocument/2006/relationships/externalLinkPath" Target="file:///C:\Users\flanda\AppData\Local\Microsoft\Windows\Temporary%20Internet%20Files\Content.Outlook\Q4KGZ23O\Pilar_6_Matriz_Metadatos_Indicadores_PDS_ODS_GT.xlsx" TargetMode="External"/></Relationships>
</file>

<file path=xl/externalLinks/_rels/externalLink23.xml.rels><?xml version="1.0" encoding="UTF-8" standalone="yes"?>
<Relationships xmlns="http://schemas.openxmlformats.org/package/2006/relationships"><Relationship Id="rId1" Type="http://schemas.openxmlformats.org/officeDocument/2006/relationships/externalLinkPath" Target="file:///E:\Informacion\2018TAREAS\ODS\MATRICES%20CONCLUIDAS\2%20Servicios%20Basicos\7%20Deportes.xlsx" TargetMode="External"/></Relationships>
</file>

<file path=xl/externalLinks/_rels/externalLink24.xml.rels><?xml version="1.0" encoding="UTF-8" standalone="yes"?>
<Relationships xmlns="http://schemas.openxmlformats.org/package/2006/relationships"><Relationship Id="rId1" Type="http://schemas.openxmlformats.org/officeDocument/2006/relationships/externalLinkPath" Target="file:///F:\oDS\25%20ABRIL%20MATRIZ%20PDES%20-%20ODS.xlsx" TargetMode="External"/></Relationships>
</file>

<file path=xl/externalLinks/_rels/externalLink25.xml.rels><?xml version="1.0" encoding="UTF-8" standalone="yes"?>
<Relationships xmlns="http://schemas.openxmlformats.org/package/2006/relationships"><Relationship Id="rId1" Type="http://schemas.openxmlformats.org/officeDocument/2006/relationships/externalLinkPath" Target="file:///C:\Users\framirez\AppData\Local\Microsoft\Windows\Temporary%20Internet%20Files\Content.Outlook\WKRBQRGH\INIAF%20PROPUESTA%20(2).xlsx" TargetMode="External"/></Relationships>
</file>

<file path=xl/externalLinks/_rels/externalLink26.xml.rels><?xml version="1.0" encoding="UTF-8" standalone="yes"?>
<Relationships xmlns="http://schemas.openxmlformats.org/package/2006/relationships"><Relationship Id="rId1" Type="http://schemas.openxmlformats.org/officeDocument/2006/relationships/externalLinkPath" Target="file:///H:\OSMAR\2018\ODS\Para_Informe\Matrices%20Finales\272_274.xlsx" TargetMode="External"/></Relationships>
</file>

<file path=xl/externalLinks/_rels/externalLink27.xml.rels><?xml version="1.0" encoding="UTF-8" standalone="yes"?>
<Relationships xmlns="http://schemas.openxmlformats.org/package/2006/relationships"><Relationship Id="rId1" Type="http://schemas.openxmlformats.org/officeDocument/2006/relationships/externalLinkPath" Target="/MMAyA_DGP%20Oscar%20AA/19%20Evaluacion%20PDES/4%20Matrices%20enviadas%2020-04-2018/Matriz%20metadatos%20DGGDF_262_263.xlsx" TargetMode="External"/></Relationships>
</file>

<file path=xl/externalLinks/_rels/externalLink28.xml.rels><?xml version="1.0" encoding="UTF-8" standalone="yes"?>
<Relationships xmlns="http://schemas.openxmlformats.org/package/2006/relationships"><Relationship Id="rId1" Type="http://schemas.openxmlformats.org/officeDocument/2006/relationships/externalLinkPath" Target="file:///F:\PDES-ODS\Matriz_Metadatos_Indicadores_PDS_ODS_28Marzo2018_Noche.xlsx" TargetMode="External"/></Relationships>
</file>

<file path=xl/externalLinks/_rels/externalLink29.xml.rels><?xml version="1.0" encoding="UTF-8" standalone="yes"?>
<Relationships xmlns="http://schemas.openxmlformats.org/package/2006/relationships"><Relationship Id="rId1" Type="http://schemas.openxmlformats.org/officeDocument/2006/relationships/externalLinkPath" Target="file:///E:\Informacion\2018TAREAS\ODS\MATRICES%20CONCLUIDAS\5%20Financiero\Matriz%20Pilar%205%20PDES\5.4%20Triplicar%20las%20Reservas%20Financieras%20Internacionales%20-%20copia%20(4)\Matriz_Metadatos_Indicadores_PDS_ODS_08%20Mayo%202018_REFI.xlsx" TargetMode="External"/></Relationships>
</file>

<file path=xl/externalLinks/_rels/externalLink30.xml.rels><?xml version="1.0" encoding="UTF-8" standalone="yes"?>
<Relationships xmlns="http://schemas.openxmlformats.org/package/2006/relationships"><Relationship Id="rId1" Type="http://schemas.openxmlformats.org/officeDocument/2006/relationships/externalLinkPath" Target="file:///C:\Users\rlopez\Desktop\MEFP%20Matriz_Metadatos_Indicadores_PDS_ODS_DGCP%20Y%20DGAPF.xlsx" TargetMode="External"/></Relationships>
</file>

<file path=xl/externalLinks/_rels/externalLink31.xml.rels><?xml version="1.0" encoding="UTF-8" standalone="yes"?>
<Relationships xmlns="http://schemas.openxmlformats.org/package/2006/relationships"><Relationship Id="rId1" Type="http://schemas.openxmlformats.org/officeDocument/2006/relationships/externalLinkPath" Target="file:///C:\Users\fcarrasco\Downloads\Matriz_Metadatos_Indicadores_PDS_ODS_24.04.18_ME%20eINE.XLSX" TargetMode="External"/></Relationships>
</file>

<file path=xl/externalLinks/_rels/externalLink32.xml.rels><?xml version="1.0" encoding="UTF-8" standalone="yes"?>
<Relationships xmlns="http://schemas.openxmlformats.org/package/2006/relationships"><Relationship Id="rId1" Type="http://schemas.openxmlformats.org/officeDocument/2006/relationships/externalLinkPath" Target="file:///E:\REUNI&#211;N%20CIMPDS\Educaci&#243;n\Matriz_Metadatos_Indicadores_PDS_ODS_12.04.18_INE.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Glosario"/>
      <sheetName val="Matriz_Metadatos_P1M1"/>
      <sheetName val="Hoja1"/>
      <sheetName val="TablaDinamica"/>
      <sheetName val="Ficha_P21"/>
      <sheetName val="Ficha_INE_PDES"/>
      <sheetName val="P1"/>
      <sheetName val="P2"/>
      <sheetName val="P3"/>
      <sheetName val="P4"/>
      <sheetName val="P5"/>
      <sheetName val="P6"/>
      <sheetName val="P7"/>
      <sheetName val="P8"/>
      <sheetName val="P9"/>
      <sheetName val="P10"/>
      <sheetName val="P11"/>
      <sheetName val="P12"/>
      <sheetName val="ID_Pilar"/>
      <sheetName val="ID_Meta"/>
      <sheetName val="ID_Resultados"/>
      <sheetName val="Combos"/>
      <sheetName val="ID_ODS"/>
      <sheetName val="Lista_Resultados_PDES"/>
      <sheetName val="Diseño_Ficha_Indicador"/>
      <sheetName val="Diseño_Ficha_FuenteDatos"/>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Glosario"/>
      <sheetName val="Matriz_Metadatos_Todo"/>
      <sheetName val="TablaDinamica"/>
      <sheetName val="Ficha_P21"/>
      <sheetName val="Ficha_INE_PDES"/>
      <sheetName val="P1"/>
      <sheetName val="P2"/>
      <sheetName val="P3"/>
      <sheetName val="P4"/>
      <sheetName val="P5"/>
      <sheetName val="P6"/>
      <sheetName val="P7"/>
      <sheetName val="P8"/>
      <sheetName val="P9"/>
      <sheetName val="P10"/>
      <sheetName val="P11"/>
      <sheetName val="P12"/>
      <sheetName val="ID_Pilar"/>
      <sheetName val="ID_Meta"/>
      <sheetName val="ID_Resultados"/>
      <sheetName val="PDES_ODS"/>
      <sheetName val="Combos"/>
      <sheetName val="Lista_Resultados_PDES"/>
      <sheetName val="Diseño_Ficha_Indicador"/>
      <sheetName val="Diseño_Ficha_FuenteDatos"/>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Glosario"/>
      <sheetName val="Matriz_Metadatos_Todo"/>
      <sheetName val="TablaDinamica"/>
      <sheetName val="Ficha_P21"/>
      <sheetName val="Ficha_INE_PDES"/>
      <sheetName val="P1"/>
      <sheetName val="P3"/>
      <sheetName val="P4"/>
      <sheetName val="P5"/>
      <sheetName val="P6"/>
      <sheetName val="P7"/>
      <sheetName val="P8"/>
      <sheetName val="P9"/>
      <sheetName val="P10"/>
      <sheetName val="P11"/>
      <sheetName val="P12"/>
      <sheetName val="ID_Pilar"/>
      <sheetName val="ID_Meta"/>
      <sheetName val="ID_Resultados"/>
      <sheetName val="PDES_ODS"/>
      <sheetName val="Combos"/>
      <sheetName val="Lista_Resultados_PDES"/>
      <sheetName val="Diseño_Ficha_Indicador"/>
      <sheetName val="Diseño_Ficha_FuenteDatos"/>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Glosario"/>
      <sheetName val="Matriz_Metadatos_Todo"/>
      <sheetName val="TablaDinamica"/>
      <sheetName val="Ficha_P21"/>
      <sheetName val="Ficha_INE_PDES"/>
      <sheetName val="P1"/>
      <sheetName val="P2"/>
      <sheetName val="P3"/>
      <sheetName val="P4"/>
      <sheetName val="P5"/>
      <sheetName val="P6"/>
      <sheetName val="P7"/>
      <sheetName val="P8"/>
      <sheetName val="P9"/>
      <sheetName val="P10"/>
      <sheetName val="P11"/>
      <sheetName val="P12"/>
      <sheetName val="ID_Pilar"/>
      <sheetName val="ID_Meta"/>
      <sheetName val="ID_Resultados"/>
      <sheetName val="PDES_ODS"/>
      <sheetName val="Combos"/>
      <sheetName val="Lista_Resultados_PDES"/>
      <sheetName val="Diseño_Ficha_Indicador"/>
      <sheetName val="Diseño_Ficha_FuenteDatos"/>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Set>
  </externalBook>
</externalLink>
</file>

<file path=xl/externalLinks/externalLink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Glosario"/>
      <sheetName val="Matriz_Metadatos_Todo"/>
      <sheetName val="TablaDinamica"/>
      <sheetName val="Ficha_P21"/>
      <sheetName val="Ficha_INE_PDES"/>
      <sheetName val="P1"/>
      <sheetName val="P2"/>
      <sheetName val="P3"/>
      <sheetName val="P4"/>
      <sheetName val="P5"/>
      <sheetName val="P6"/>
      <sheetName val="P7"/>
      <sheetName val="P8"/>
      <sheetName val="P9"/>
      <sheetName val="P10"/>
      <sheetName val="P11"/>
      <sheetName val="P12"/>
      <sheetName val="ID_Pilar"/>
      <sheetName val="ID_Meta"/>
      <sheetName val="ID_Resultados"/>
      <sheetName val="PDES_ODS"/>
      <sheetName val="Combos"/>
      <sheetName val="Lista_Resultados_PDES"/>
      <sheetName val="Diseño_Ficha_Indicador"/>
      <sheetName val="Diseño_Ficha_FuenteDatos"/>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Set>
  </externalBook>
</externalLink>
</file>

<file path=xl/externalLinks/externalLink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Matriz_Metadatos_Todo"/>
      <sheetName val="TablaDinamica"/>
      <sheetName val="Ficha_P21"/>
      <sheetName val="Ficha_INE_PDES"/>
      <sheetName val="ID_Pilar"/>
      <sheetName val="ID_Meta"/>
      <sheetName val="ID_Resultados"/>
      <sheetName val="PDES_ODS"/>
      <sheetName val="Combos"/>
      <sheetName val="Lista_Resultados_PDES"/>
      <sheetName val="Diseño_Ficha_Indicador"/>
      <sheetName val="Diseño_Ficha_FuenteDatos"/>
    </sheetNames>
    <sheetDataSet>
      <sheetData sheetId="0"/>
      <sheetData sheetId="1"/>
      <sheetData sheetId="2"/>
      <sheetData sheetId="3"/>
      <sheetData sheetId="4"/>
      <sheetData sheetId="5"/>
      <sheetData sheetId="6"/>
      <sheetData sheetId="7"/>
      <sheetData sheetId="8"/>
      <sheetData sheetId="9"/>
      <sheetData sheetId="10"/>
      <sheetData sheetId="11"/>
    </sheetDataSet>
  </externalBook>
</externalLink>
</file>

<file path=xl/externalLinks/externalLink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Glosario"/>
      <sheetName val="Matriz_Metadatos_Todo"/>
      <sheetName val="TablaDinamica"/>
      <sheetName val="Ficha_P21"/>
      <sheetName val="Ficha_INE_PDES"/>
      <sheetName val="P1"/>
      <sheetName val="P2"/>
      <sheetName val="P3"/>
      <sheetName val="P4"/>
      <sheetName val="P5"/>
      <sheetName val="P7"/>
      <sheetName val="P6"/>
      <sheetName val="P8"/>
      <sheetName val="P9"/>
      <sheetName val="P10"/>
      <sheetName val="P11"/>
      <sheetName val="P12"/>
      <sheetName val="ID_Pilar"/>
      <sheetName val="ID_Meta"/>
      <sheetName val="ID_Resultados"/>
      <sheetName val="PDES_ODS"/>
      <sheetName val="Combos"/>
      <sheetName val="Lista_Resultados_PDES"/>
      <sheetName val="Diseño_Ficha_Indicador"/>
      <sheetName val="Diseño_Ficha_FuenteDatos"/>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Set>
  </externalBook>
</externalLink>
</file>

<file path=xl/externalLinks/externalLink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Glosario"/>
      <sheetName val="Matriz_Metadatos_Todo"/>
      <sheetName val="TablaDinamica"/>
      <sheetName val="Ficha_P21"/>
      <sheetName val="Ficha_INE_PDES"/>
      <sheetName val="P1"/>
      <sheetName val="P2"/>
      <sheetName val="P3"/>
      <sheetName val="P4"/>
      <sheetName val="P5"/>
      <sheetName val="P6"/>
      <sheetName val="P7"/>
      <sheetName val="P8"/>
      <sheetName val="P9"/>
      <sheetName val="P10"/>
      <sheetName val="P11"/>
      <sheetName val="P12"/>
      <sheetName val="ID_Pilar"/>
      <sheetName val="ID_Meta"/>
      <sheetName val="ID_Resultados"/>
      <sheetName val="PDES_ODS"/>
      <sheetName val="Combos"/>
      <sheetName val="Lista_Resultados_PDES"/>
      <sheetName val="Diseño_Ficha_Indicador"/>
      <sheetName val="Diseño_Ficha_FuenteDatos"/>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Set>
  </externalBook>
</externalLink>
</file>

<file path=xl/externalLinks/externalLink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Glosario"/>
      <sheetName val="Matriz_Metadatos_Todo"/>
      <sheetName val="TablaDinamica"/>
      <sheetName val="Ficha_P21"/>
      <sheetName val="Ficha_INE_PDES"/>
      <sheetName val="P1"/>
      <sheetName val="P2"/>
      <sheetName val="P3"/>
      <sheetName val="P4"/>
      <sheetName val="P5"/>
      <sheetName val="P6"/>
      <sheetName val="P7"/>
      <sheetName val="P8"/>
      <sheetName val="P9"/>
      <sheetName val="P10"/>
      <sheetName val="P11"/>
      <sheetName val="P12"/>
      <sheetName val="ID_Pilar"/>
      <sheetName val="ID_Meta"/>
      <sheetName val="ID_Resultados"/>
      <sheetName val="PDES_ODS"/>
      <sheetName val="Combos"/>
      <sheetName val="Lista_Resultados_PDES"/>
      <sheetName val="Diseño_Ficha_Indicador"/>
      <sheetName val="Diseño_Ficha_FuenteDatos"/>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Set>
  </externalBook>
</externalLink>
</file>

<file path=xl/externalLinks/externalLink1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Glosario"/>
      <sheetName val="Matriz_Metadatos_Todo"/>
      <sheetName val="TablaDinamica"/>
      <sheetName val="Ficha_P21"/>
      <sheetName val="Ficha_INE_PDES"/>
      <sheetName val="P1"/>
      <sheetName val="P2"/>
      <sheetName val="P3"/>
      <sheetName val="P4"/>
      <sheetName val="P5"/>
      <sheetName val="P6"/>
      <sheetName val="P7"/>
      <sheetName val="P8"/>
      <sheetName val="P9"/>
      <sheetName val="P10"/>
      <sheetName val="P11"/>
      <sheetName val="P12"/>
      <sheetName val="ID_Pilar"/>
      <sheetName val="ID_Meta"/>
      <sheetName val="ID_Resultados"/>
      <sheetName val="PDES_ODS"/>
      <sheetName val="Combos"/>
      <sheetName val="Lista_Resultados_PDES"/>
      <sheetName val="Diseño_Ficha_Indicador"/>
      <sheetName val="Diseño_Ficha_FuenteDatos"/>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Set>
  </externalBook>
</externalLink>
</file>

<file path=xl/externalLinks/externalLink1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Glosario"/>
      <sheetName val="Matriz_Metadatos_Todo"/>
      <sheetName val="TablaDinamica"/>
      <sheetName val="Ficha_P21"/>
      <sheetName val="Ficha_INE_PDES"/>
      <sheetName val="P1"/>
      <sheetName val="P2"/>
      <sheetName val="P3"/>
      <sheetName val="P4"/>
      <sheetName val="P5"/>
      <sheetName val="P6"/>
      <sheetName val="P7"/>
      <sheetName val="P8"/>
      <sheetName val="P9"/>
      <sheetName val="P10"/>
      <sheetName val="P11"/>
      <sheetName val="P12"/>
      <sheetName val="ID_Pilar"/>
      <sheetName val="ID_Meta"/>
      <sheetName val="ID_Resultados"/>
      <sheetName val="PDES_ODS"/>
      <sheetName val="Combos"/>
      <sheetName val="Lista_Resultados_PDES"/>
      <sheetName val="Diseño_Ficha_Indicador"/>
      <sheetName val="Diseño_Ficha_FuenteDatos"/>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Set>
  </externalBook>
</externalLink>
</file>

<file path=xl/externalLinks/externalLink1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Glosario"/>
      <sheetName val="Matriz_Metadatos_Todo"/>
      <sheetName val="TablaDinamica"/>
      <sheetName val="Ficha_P21"/>
      <sheetName val="Ficha_INE_PDES"/>
      <sheetName val="P1"/>
      <sheetName val="P2"/>
      <sheetName val="P3"/>
      <sheetName val="P4"/>
      <sheetName val="P5"/>
      <sheetName val="P6"/>
      <sheetName val="P7"/>
      <sheetName val="P8"/>
      <sheetName val="P9"/>
      <sheetName val="P10"/>
      <sheetName val="P11"/>
      <sheetName val="P12"/>
      <sheetName val="ID_Pilar"/>
      <sheetName val="ID_Meta"/>
      <sheetName val="ID_Resultados"/>
      <sheetName val="PDES_ODS"/>
      <sheetName val="Combos"/>
      <sheetName val="Lista_Resultados_PDES"/>
      <sheetName val="Diseño_Ficha_Indicador"/>
      <sheetName val="Diseño_Ficha_FuenteDatos"/>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Set>
  </externalBook>
</externalLink>
</file>

<file path=xl/externalLinks/externalLink1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Glosario"/>
      <sheetName val="Matriz_Metadatos_Todo"/>
      <sheetName val="Hoja1"/>
      <sheetName val="TablaDinamica"/>
      <sheetName val="Ficha_P21"/>
      <sheetName val="Ficha_INE_PDES"/>
      <sheetName val="P1"/>
      <sheetName val="P2"/>
      <sheetName val="P3"/>
      <sheetName val="P4"/>
      <sheetName val="P5"/>
      <sheetName val="P6"/>
      <sheetName val="P7"/>
      <sheetName val="P8"/>
      <sheetName val="P9"/>
      <sheetName val="P10"/>
      <sheetName val="P11"/>
      <sheetName val="P12"/>
      <sheetName val="ID_Pilar"/>
      <sheetName val="ID_Meta"/>
      <sheetName val="ID_Resultados"/>
      <sheetName val="PDES_ODS"/>
      <sheetName val="Combos"/>
      <sheetName val="Lista_Resultados_PDES"/>
      <sheetName val="Diseño_Ficha_Indicador"/>
      <sheetName val="Diseño_Ficha_FuenteDatos"/>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Set>
  </externalBook>
</externalLink>
</file>

<file path=xl/externalLinks/externalLink1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Glosario"/>
      <sheetName val="Matriz_Metadatos_Todo"/>
      <sheetName val="TablaDinamica"/>
      <sheetName val="Ficha_P21"/>
      <sheetName val="Ficha_INE_PDES"/>
      <sheetName val="P1"/>
      <sheetName val="P2"/>
      <sheetName val="P3"/>
      <sheetName val="P4"/>
      <sheetName val="P5"/>
      <sheetName val="P6"/>
      <sheetName val="P7"/>
      <sheetName val="P8"/>
      <sheetName val="P9"/>
      <sheetName val="P10"/>
      <sheetName val="P11"/>
      <sheetName val="P12"/>
      <sheetName val="ID_Pilar"/>
      <sheetName val="ID_Meta"/>
      <sheetName val="ID_Resultados"/>
      <sheetName val="PDES_ODS"/>
      <sheetName val="Combos"/>
      <sheetName val="Lista_Resultados_PDES"/>
      <sheetName val="Diseño_Ficha_Indicador"/>
      <sheetName val="Diseño_Ficha_FuenteDatos"/>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Set>
  </externalBook>
</externalLink>
</file>

<file path=xl/externalLinks/externalLink1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Glosario"/>
      <sheetName val="Matriz_Metadatos_Todo"/>
      <sheetName val="TablaDinamica"/>
      <sheetName val="Ficha_P21"/>
      <sheetName val="Ficha_INE_PDES"/>
      <sheetName val="P1"/>
      <sheetName val="P2"/>
      <sheetName val="P3"/>
      <sheetName val="P4"/>
      <sheetName val="P5"/>
      <sheetName val="P6"/>
      <sheetName val="P7"/>
      <sheetName val="P8"/>
      <sheetName val="P9"/>
      <sheetName val="P10"/>
      <sheetName val="P11"/>
      <sheetName val="P12"/>
      <sheetName val="ID_Pilar"/>
      <sheetName val="ID_Meta"/>
      <sheetName val="ID_Resultados"/>
      <sheetName val="PDES_ODS"/>
      <sheetName val="Combos"/>
      <sheetName val="Lista_Resultados_PDES"/>
      <sheetName val="Diseño_Ficha_Indicador"/>
      <sheetName val="Diseño_Ficha_FuenteDatos"/>
    </sheetNames>
    <sheetDataSet>
      <sheetData sheetId="0" refreshError="1"/>
      <sheetData sheetId="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sheetData sheetId="22" refreshError="1"/>
      <sheetData sheetId="23" refreshError="1"/>
      <sheetData sheetId="24" refreshError="1"/>
    </sheetDataSet>
  </externalBook>
</externalLink>
</file>

<file path=xl/externalLinks/externalLink1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Glosario"/>
      <sheetName val="Matriz_Metadatos_Todo"/>
      <sheetName val="Hoja1"/>
      <sheetName val="Hoja2"/>
      <sheetName val="Hoja3"/>
      <sheetName val="TablaDinamica"/>
      <sheetName val="Ficha_P21"/>
      <sheetName val="Ficha_INE_PDES"/>
      <sheetName val="P1"/>
      <sheetName val="P2"/>
      <sheetName val="P3"/>
      <sheetName val="P4"/>
      <sheetName val="P5"/>
      <sheetName val="P6"/>
      <sheetName val="P7"/>
      <sheetName val="P8"/>
      <sheetName val="P9"/>
      <sheetName val="P10"/>
      <sheetName val="P11"/>
      <sheetName val="P12"/>
      <sheetName val="ID_Pilar"/>
      <sheetName val="ID_Meta"/>
      <sheetName val="ID_Resultados"/>
      <sheetName val="PDES_ODS"/>
      <sheetName val="Combos"/>
      <sheetName val="Lista_Resultados_PDES"/>
      <sheetName val="Diseño_Ficha_Indicador"/>
      <sheetName val="Diseño_Ficha_FuenteDatos"/>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Set>
  </externalBook>
</externalLink>
</file>

<file path=xl/externalLinks/externalLink1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Glosario"/>
      <sheetName val="Matriz_Metadatos_Interculturali"/>
      <sheetName val="TablaDinamica"/>
      <sheetName val="Ficha_P21"/>
      <sheetName val="Ficha_INE_PDES"/>
      <sheetName val="P1"/>
      <sheetName val="P12"/>
      <sheetName val="ID_Pilar"/>
      <sheetName val="ID_Meta"/>
      <sheetName val="ID_Resultados"/>
      <sheetName val="PDES_ODS"/>
      <sheetName val="Combos"/>
      <sheetName val="Lista_Resultados_PDES"/>
      <sheetName val="Diseño_Ficha_Indicador"/>
      <sheetName val="Diseño_Ficha_FuenteDatos"/>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Set>
  </externalBook>
</externalLink>
</file>

<file path=xl/externalLinks/externalLink1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Glosario"/>
      <sheetName val="Matriz_Metadatos_Descolonizacio"/>
      <sheetName val="TablaDinamica"/>
      <sheetName val="Ficha_P21"/>
      <sheetName val="Ficha_INE_PDES"/>
      <sheetName val="P1"/>
      <sheetName val="P10"/>
      <sheetName val="P12"/>
      <sheetName val="ID_Pilar"/>
      <sheetName val="ID_Meta"/>
      <sheetName val="ID_Resultados"/>
      <sheetName val="PDES_ODS"/>
      <sheetName val="Combos"/>
      <sheetName val="Lista_Resultados_PDES"/>
      <sheetName val="Diseño_Ficha_Indicador"/>
      <sheetName val="Diseño_Ficha_FuenteDatos"/>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Set>
  </externalBook>
</externalLink>
</file>

<file path=xl/externalLinks/externalLink1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Glosario"/>
      <sheetName val="Matriz_Metadatos_Descolonizacio"/>
      <sheetName val="TablaDinamica"/>
      <sheetName val="Ficha_P21"/>
      <sheetName val="Ficha_INE_PDES"/>
      <sheetName val="P1"/>
      <sheetName val="P10"/>
      <sheetName val="P12"/>
      <sheetName val="ID_Pilar"/>
      <sheetName val="ID_Meta"/>
      <sheetName val="ID_Resultados"/>
      <sheetName val="PDES_ODS"/>
      <sheetName val="Combos"/>
      <sheetName val="Lista_Resultados_PDES"/>
      <sheetName val="Diseño_Ficha_Indicador"/>
      <sheetName val="Diseño_Ficha_FuenteDatos"/>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Set>
  </externalBook>
</externalLink>
</file>

<file path=xl/externalLinks/externalLink2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Glosario"/>
      <sheetName val="Matriz_Metadatos_Todo"/>
      <sheetName val="TablaDinamica"/>
      <sheetName val="Ficha_P21"/>
      <sheetName val="Ficha_INE_PDES"/>
      <sheetName val="P1"/>
      <sheetName val="P2"/>
      <sheetName val="P3"/>
      <sheetName val="P4"/>
      <sheetName val="P5"/>
      <sheetName val="P6"/>
      <sheetName val="P7"/>
      <sheetName val="P8"/>
      <sheetName val="P9"/>
      <sheetName val="P10"/>
      <sheetName val="P11"/>
      <sheetName val="P12"/>
      <sheetName val="ID_Pilar"/>
      <sheetName val="ID_Meta"/>
      <sheetName val="ID_Resultados"/>
      <sheetName val="PDES_ODS"/>
      <sheetName val="Combos"/>
      <sheetName val="Lista_Resultados_PDES"/>
      <sheetName val="Diseño_Ficha_Indicador"/>
      <sheetName val="Diseño_Ficha_FuenteDatos"/>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Set>
  </externalBook>
</externalLink>
</file>

<file path=xl/externalLinks/externalLink2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Glosario"/>
      <sheetName val="Matriz_Metadatos_Todo"/>
      <sheetName val="TablaDinamica"/>
      <sheetName val="Ficha_P21"/>
      <sheetName val="Ficha_INE_PDES"/>
      <sheetName val="P1"/>
      <sheetName val="P2"/>
      <sheetName val="P3"/>
      <sheetName val="P4"/>
      <sheetName val="P5"/>
      <sheetName val="P6"/>
      <sheetName val="P7"/>
      <sheetName val="P8"/>
      <sheetName val="P9"/>
      <sheetName val="P10"/>
      <sheetName val="P11"/>
      <sheetName val="P12"/>
      <sheetName val="ID_Pilar"/>
      <sheetName val="ID_Meta"/>
      <sheetName val="ID_Resultados"/>
      <sheetName val="PDES_ODS"/>
      <sheetName val="Combos"/>
      <sheetName val="Lista_Resultados_PDES"/>
      <sheetName val="Diseño_Ficha_Indicador"/>
      <sheetName val="Diseño_Ficha_FuenteDatos"/>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Set>
  </externalBook>
</externalLink>
</file>

<file path=xl/externalLinks/externalLink2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Glosario"/>
      <sheetName val="Matriz_Metadatos_Todo"/>
      <sheetName val="TablaDinamica"/>
      <sheetName val="Ficha_P21"/>
      <sheetName val="Ficha_INE_PDES"/>
      <sheetName val="P1"/>
      <sheetName val="P2"/>
      <sheetName val="P3"/>
      <sheetName val="P4"/>
      <sheetName val="P5"/>
      <sheetName val="P6"/>
      <sheetName val="P7"/>
      <sheetName val="P8"/>
      <sheetName val="P9"/>
      <sheetName val="P10"/>
      <sheetName val="P11"/>
      <sheetName val="P12"/>
      <sheetName val="ID_Pilar"/>
      <sheetName val="ID_Meta"/>
      <sheetName val="ID_Resultados"/>
      <sheetName val="PDES_ODS"/>
      <sheetName val="Combos"/>
      <sheetName val="Lista_Resultados_PDES"/>
      <sheetName val="Diseño_Ficha_Indicador"/>
      <sheetName val="Diseño_Ficha_FuenteDatos"/>
      <sheetName val="Hoja1"/>
      <sheetName val="Hoja2"/>
      <sheetName val="Hoja3"/>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Set>
  </externalBook>
</externalLink>
</file>

<file path=xl/externalLinks/externalLink2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Glosario"/>
      <sheetName val="Matriz_Metadatos_Todo"/>
      <sheetName val="TablaDinamica"/>
      <sheetName val="Ficha_P21"/>
      <sheetName val="Ficha_INE_PDES"/>
      <sheetName val="Matriz MDS"/>
      <sheetName val="P1"/>
      <sheetName val="P2"/>
      <sheetName val="P3"/>
      <sheetName val="P4"/>
      <sheetName val="P5"/>
      <sheetName val="P6"/>
      <sheetName val="P7"/>
      <sheetName val="P8"/>
      <sheetName val="P9"/>
      <sheetName val="P10"/>
      <sheetName val="P11"/>
      <sheetName val="P12"/>
      <sheetName val="ID_Pilar"/>
      <sheetName val="ID_Meta"/>
      <sheetName val="ID_Resultados"/>
      <sheetName val="PDES_ODS"/>
      <sheetName val="Combos"/>
      <sheetName val="Lista_Resultados_PDES"/>
      <sheetName val="Diseño_Ficha_Indicador"/>
      <sheetName val="Diseño_Ficha_FuenteDatos"/>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Set>
  </externalBook>
</externalLink>
</file>

<file path=xl/externalLinks/externalLink2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Glosario"/>
      <sheetName val="Matriz_Metadatos_Todo"/>
      <sheetName val="Hoja1"/>
      <sheetName val="TablaDinamica"/>
      <sheetName val="Ficha_P21"/>
      <sheetName val="Ficha_INE_PDES"/>
      <sheetName val="P1"/>
      <sheetName val="P2"/>
      <sheetName val="P3"/>
      <sheetName val="P4"/>
      <sheetName val="P5"/>
      <sheetName val="P6"/>
      <sheetName val="P7"/>
      <sheetName val="P8"/>
      <sheetName val="P9"/>
      <sheetName val="P10"/>
      <sheetName val="P11"/>
      <sheetName val="P12"/>
      <sheetName val="ID_Pilar"/>
      <sheetName val="ID_Meta"/>
      <sheetName val="ID_Resultados"/>
      <sheetName val="PDES_ODS"/>
      <sheetName val="Combos"/>
      <sheetName val="Lista_Resultados_PDES"/>
      <sheetName val="Diseño_Ficha_Indicador"/>
      <sheetName val="Diseño_Ficha_FuenteDatos"/>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Set>
  </externalBook>
</externalLink>
</file>

<file path=xl/externalLinks/externalLink2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Glosario"/>
      <sheetName val="Matriz_Metadatos_Todo"/>
      <sheetName val="TablaDinamica"/>
      <sheetName val="Ficha_P21"/>
      <sheetName val="Ficha_INE_PDES"/>
      <sheetName val="P1"/>
      <sheetName val="P2"/>
      <sheetName val="P3"/>
      <sheetName val="P4"/>
      <sheetName val="P5"/>
      <sheetName val="P6"/>
      <sheetName val="P7"/>
      <sheetName val="P8"/>
      <sheetName val="P9"/>
      <sheetName val="P10"/>
      <sheetName val="P11"/>
      <sheetName val="P12"/>
      <sheetName val="ID_Pilar"/>
      <sheetName val="ID_Meta"/>
      <sheetName val="ID_Resultados"/>
      <sheetName val="PDES_ODS"/>
      <sheetName val="Combos"/>
      <sheetName val="Lista_Resultados_PDES"/>
      <sheetName val="Diseño_Ficha_Indicador"/>
      <sheetName val="Diseño_Ficha_FuenteDatos"/>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Set>
  </externalBook>
</externalLink>
</file>

<file path=xl/externalLinks/externalLink2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Glosario"/>
      <sheetName val="Matriz_Metadatos_1erOrden"/>
      <sheetName val="Matriz_Metadatos_2doOrden"/>
      <sheetName val="Matriz_Metadatos_Todo"/>
      <sheetName val="TablaDinamica"/>
      <sheetName val="Ficha_P21"/>
      <sheetName val="Ficha_INE_PDES"/>
      <sheetName val="P1"/>
      <sheetName val="P2"/>
      <sheetName val="P3"/>
      <sheetName val="P4"/>
      <sheetName val="P5"/>
      <sheetName val="P6"/>
      <sheetName val="P7"/>
      <sheetName val="P8"/>
      <sheetName val="P9"/>
      <sheetName val="P10"/>
      <sheetName val="P11"/>
      <sheetName val="P12"/>
      <sheetName val="ID_Pilar"/>
      <sheetName val="ID_Meta"/>
      <sheetName val="ID_Resultados"/>
      <sheetName val="PDES_ODS"/>
      <sheetName val="Combos"/>
      <sheetName val="Lista_Resultados_PDES"/>
      <sheetName val="Diseño_Ficha_Indicador"/>
      <sheetName val="Diseño_Ficha_FuenteDatos"/>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Set>
  </externalBook>
</externalLink>
</file>

<file path=xl/externalLinks/externalLink2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Glosario"/>
      <sheetName val="Matriz_Metadatos_Todo"/>
      <sheetName val="TablaDinamica"/>
      <sheetName val="Ficha_P21"/>
      <sheetName val="Ficha_INE_PDES"/>
      <sheetName val="P1"/>
      <sheetName val="P2"/>
      <sheetName val="P3"/>
      <sheetName val="P4"/>
      <sheetName val="P5"/>
      <sheetName val="P6"/>
      <sheetName val="P7"/>
      <sheetName val="P8"/>
      <sheetName val="P9"/>
      <sheetName val="P10"/>
      <sheetName val="P11"/>
      <sheetName val="P12"/>
      <sheetName val="ID_Pilar"/>
      <sheetName val="ID_Meta"/>
      <sheetName val="ID_Resultados"/>
      <sheetName val="PDES_ODS"/>
      <sheetName val="Combos"/>
      <sheetName val="Lista_Resultados_PDES"/>
      <sheetName val="Diseño_Ficha_Indicador"/>
      <sheetName val="Diseño_Ficha_FuenteDatos"/>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Set>
  </externalBook>
</externalLink>
</file>

<file path=xl/externalLinks/externalLink2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Glosario"/>
      <sheetName val="Matriz_Metadatos_Todo"/>
      <sheetName val="TablaDinamica"/>
      <sheetName val="Ficha_P21"/>
      <sheetName val="Ficha_INE_PDES"/>
      <sheetName val="P1"/>
      <sheetName val="P2"/>
      <sheetName val="P3"/>
      <sheetName val="P4"/>
      <sheetName val="P5"/>
      <sheetName val="P6"/>
      <sheetName val="P7"/>
      <sheetName val="P8"/>
      <sheetName val="P9"/>
      <sheetName val="P10"/>
      <sheetName val="P11"/>
      <sheetName val="P12"/>
      <sheetName val="ID_Pilar"/>
      <sheetName val="ID_Meta"/>
      <sheetName val="ID_Resultados"/>
      <sheetName val="PDES_ODS"/>
      <sheetName val="Combos"/>
      <sheetName val="Lista_Resultados_PDES"/>
      <sheetName val="Diseño_Ficha_Indicador"/>
      <sheetName val="Diseño_Ficha_FuenteDatos"/>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sheetData sheetId="22" refreshError="1"/>
      <sheetData sheetId="23" refreshError="1"/>
      <sheetData sheetId="24" refreshError="1"/>
    </sheetDataSet>
  </externalBook>
</externalLink>
</file>

<file path=xl/externalLinks/externalLink2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Glosario"/>
      <sheetName val="Matriz_Metadatos_Todo"/>
      <sheetName val="TablaDinamica"/>
      <sheetName val="Ficha_P21"/>
      <sheetName val="Ficha_INE_PDES"/>
      <sheetName val="P1"/>
      <sheetName val="P2"/>
      <sheetName val="P3"/>
      <sheetName val="P4"/>
      <sheetName val="P5"/>
      <sheetName val="P6"/>
      <sheetName val="P7"/>
      <sheetName val="P8"/>
      <sheetName val="P9"/>
      <sheetName val="P10"/>
      <sheetName val="P11"/>
      <sheetName val="P12"/>
      <sheetName val="ID_Pilar"/>
      <sheetName val="ID_Meta"/>
      <sheetName val="ID_Resultados"/>
      <sheetName val="PDES_ODS"/>
      <sheetName val="Combos"/>
      <sheetName val="Lista_Resultados_PDES"/>
      <sheetName val="Diseño_Ficha_Indicador"/>
      <sheetName val="Diseño_Ficha_FuenteDatos"/>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Set>
  </externalBook>
</externalLink>
</file>

<file path=xl/externalLinks/externalLink3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Glosario"/>
      <sheetName val="Matriz_Metadatos_Todo"/>
      <sheetName val="TablaDinamica"/>
      <sheetName val="Ficha_P21"/>
      <sheetName val="Ficha_INE_PDES"/>
      <sheetName val="P1"/>
      <sheetName val="P2"/>
      <sheetName val="P3"/>
      <sheetName val="P4"/>
      <sheetName val="P5"/>
      <sheetName val="P6"/>
      <sheetName val="P7"/>
      <sheetName val="P8"/>
      <sheetName val="P9"/>
      <sheetName val="P10"/>
      <sheetName val="P11"/>
      <sheetName val="P12"/>
      <sheetName val="ID_Pilar"/>
      <sheetName val="ID_Meta"/>
      <sheetName val="ID_Resultados"/>
      <sheetName val="PDES_ODS"/>
      <sheetName val="Combos"/>
      <sheetName val="Lista_Resultados_PDES"/>
      <sheetName val="Diseño_Ficha_Indicador"/>
      <sheetName val="Diseño_Ficha_FuenteDatos"/>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Set>
  </externalBook>
</externalLink>
</file>

<file path=xl/externalLinks/externalLink3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mbos"/>
      <sheetName val="Glosario"/>
      <sheetName val="Matriz_Metadatos_Todo"/>
      <sheetName val="TablaDinamica"/>
      <sheetName val="Ficha_P21"/>
      <sheetName val="Ficha_INE_PDES"/>
      <sheetName val="P1"/>
      <sheetName val="P2"/>
      <sheetName val="P3"/>
      <sheetName val="P4"/>
      <sheetName val="P5"/>
      <sheetName val="P6"/>
      <sheetName val="P7"/>
      <sheetName val="P8"/>
      <sheetName val="P9"/>
      <sheetName val="P10"/>
      <sheetName val="P11"/>
      <sheetName val="P12"/>
      <sheetName val="ID_Pilar"/>
      <sheetName val="ID_Meta"/>
      <sheetName val="ID_Resultados"/>
      <sheetName val="PDES_ODS"/>
      <sheetName val="Lista_Resultados_PDES"/>
      <sheetName val="Diseño_Ficha_Indicador"/>
      <sheetName val="Diseño_Ficha_FuenteDatos"/>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Set>
  </externalBook>
</externalLink>
</file>

<file path=xl/externalLinks/externalLink3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Glosario"/>
      <sheetName val="Matriz_Metadatos_Todo"/>
      <sheetName val="TablaDinamica"/>
      <sheetName val="Ficha_P21"/>
      <sheetName val="Ficha_INE_PDES"/>
      <sheetName val="P1"/>
      <sheetName val="P2"/>
      <sheetName val="P3"/>
      <sheetName val="P4"/>
      <sheetName val="P5"/>
      <sheetName val="P6"/>
      <sheetName val="P7"/>
      <sheetName val="P8"/>
      <sheetName val="P9"/>
      <sheetName val="P10"/>
      <sheetName val="P11"/>
      <sheetName val="P12"/>
      <sheetName val="ID_Pilar"/>
      <sheetName val="ID_Meta"/>
      <sheetName val="ID_Resultados"/>
      <sheetName val="PDES_ODS"/>
      <sheetName val="Combos"/>
      <sheetName val="Lista_Resultados_PDES"/>
      <sheetName val="Diseño_Ficha_Indicador"/>
      <sheetName val="Diseño_Ficha_FuenteDatos"/>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Set>
  </externalBook>
</externalLink>
</file>

<file path=xl/pivotCache/_rels/pivotCacheDefinition1.xml.rels><?xml version="1.0" encoding="UTF-8" standalone="yes"?>
<Relationships xmlns="http://schemas.openxmlformats.org/package/2006/relationships"><Relationship Id="rId2" Type="http://schemas.openxmlformats.org/officeDocument/2006/relationships/externalLinkPath" Target="file:///E:\Informacion\2018TAREAS\ODS\MATRICES%20CONCLUIDAS\NUEVAS%20MATRICES%20AJUSTANDO%20FORMULAS\CONSOLIDADO%20MATRICES%20PDES-ODS%2028052018b.xlsx" TargetMode="External"/><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Carmen Maria Ugarteche Soriano" refreshedDate="43180.821005324076" createdVersion="4" refreshedVersion="4" minRefreshableVersion="3" recordCount="355" xr:uid="{00000000-000A-0000-FFFF-FFFF02000000}">
  <cacheSource type="worksheet">
    <worksheetSource ref="A2:CV1048576" sheet="Lista_Resultados_PDES" r:id="rId2"/>
  </cacheSource>
  <cacheFields count="100">
    <cacheField name="Cod_Pilar" numFmtId="0">
      <sharedItems containsString="0" containsBlank="1" containsNumber="1" containsInteger="1" minValue="1" maxValue="343" count="15">
        <n v="1"/>
        <n v="2"/>
        <n v="3"/>
        <n v="4"/>
        <n v="5"/>
        <n v="6"/>
        <n v="7"/>
        <n v="8"/>
        <n v="9"/>
        <n v="10"/>
        <n v="11"/>
        <n v="12"/>
        <n v="13"/>
        <n v="343"/>
        <m/>
      </sharedItems>
    </cacheField>
    <cacheField name="Descripción Pilar" numFmtId="0">
      <sharedItems containsBlank="1" containsMixedTypes="1" containsNumber="1" containsInteger="1" minValue="343" maxValue="343" count="15">
        <s v="Erradicación de la extrema pobreza"/>
        <s v="Universalización de los servicios básicos"/>
        <s v="Salud, Educación y  Deporte para la formación de un ser humano integral "/>
        <s v="Soberanía científica y tecnológica con identidad propia "/>
        <s v="Soberanía comunitaria, financiera, sin servilismo al capitalismo financiero"/>
        <s v="Soberanía productiva con diversificación desarrollo integral sin la dictadura del mercado capitalista"/>
        <s v="Soberanía sobre nuestros recursos naturales "/>
        <s v="Soberanía alimentaria "/>
        <s v="Soberanía ambiental con desarrollo integral, respetando los derechos de la Madre Tierra"/>
        <s v="Integración complementaria de los pueblos con soberanía "/>
        <s v="Soberanía y transparencia en la gestión pública "/>
        <s v="Disfrute y felicidad"/>
        <s v="Reencuentro soberano con nuestra alegría, felicidad, prosperidad y nuestro mar."/>
        <n v="343"/>
        <m/>
      </sharedItems>
    </cacheField>
    <cacheField name="Cod_Meta" numFmtId="0">
      <sharedItems containsString="0" containsBlank="1" containsNumber="1" containsInteger="1" minValue="1" maxValue="341" count="14">
        <n v="1"/>
        <n v="2"/>
        <n v="3"/>
        <n v="4"/>
        <n v="5"/>
        <n v="6"/>
        <m/>
        <n v="7"/>
        <n v="8"/>
        <n v="9"/>
        <n v="10"/>
        <n v="11"/>
        <n v="12"/>
        <n v="341"/>
      </sharedItems>
    </cacheField>
    <cacheField name="Descripción Meta" numFmtId="0">
      <sharedItems containsBlank="1" containsMixedTypes="1" containsNumber="1" containsInteger="1" minValue="343" maxValue="343" count="71">
        <s v="Erradicación de la pobreza extrema material y reducción significativa de la pobreza moderada."/>
        <s v="Combatir la pobreza social."/>
        <s v="En Bolivia, ya no existen las comunidades cautivas, ninguna forma de pongueaje y esclavismo, y explotación en el trabajo infantil"/>
        <s v="Combatir la discriminación y el racismo."/>
        <s v="Combatir la pobreza espiritual."/>
        <s v="Construir un ser humano integral para Vivir Bien."/>
        <s v="El 100% de las bolivianas y los bolivianos cuentan con servicios de agua y alcantarillado sanitario."/>
        <s v="El 100% de las bolivianas y los bolivianos cuentan con servicios de comunicación telefónica e internet"/>
        <s v="El 100% de las bolivianas y los bolivianos cuentan con servicios  de energía eléctrica y luz"/>
        <s v="El 100% de las bolivianas y los bolivianos están integrados a través de sistemas de transporte en sus diferentes modalidades."/>
        <s v="El 100% de las bolivianas y los bolivianos acceden a viviendas dignas con servicios básicos."/>
        <s v="Las bolivianas y bolivianos cuentan con servicio de gas domiciliario"/>
        <s v="Acceso universal al servicio de salud."/>
        <s v="Integración de salud convencional y ancestral con personal altamente comprometido y capacitado."/>
        <s v="Acceso universal a la educación."/>
        <s v="Fortalecimiento del sistema educativo."/>
        <s v="Garantía del deporte como derecho desde el Estado."/>
        <s v="Acceso universal al deporte."/>
        <s v="Investigación y desarrollo de tecnología."/>
        <s v="Innovación Tecnológica de Alimentos Nutritivos."/>
        <s v="Tecnología con saberes."/>
        <s v="Medicina ancestral y natural."/>
        <s v="Formación y especialización profesional científica."/>
        <s v="Independencia financiera externa"/>
        <s v="Sistema financiero para el desarrollo integral."/>
        <s v="Inversión Extranjera Social"/>
        <s v="Triplicar las Reservas Financieras Internacionales."/>
        <s v="Mercados justos."/>
        <s v="Consolidación del sector hidrocarburífero, minero y otros."/>
        <s v="País productor, transformador y exportador “Complejos productivos” y Turismo."/>
        <s v="Producción agropecuaria con énfasis en la agricultura familiar comunitaria y campesina."/>
        <s v="Sistemas productivos óptimos: agropecuaria."/>
        <s v="Los bosques escenarios integrales de producción y transformación de alimentos y recursos de la biodiversidad."/>
        <s v="Sistemas productivos eficientes."/>
        <s v="Sistemas universales de acceso a insumos, tecnología, asistencia técnica y otros servicios de apoyo a la producción."/>
        <s v="Saneamiento de la propiedad agraria."/>
        <s v="Democratización de los medios y factores de producción con énfasis en el sector micro empresarial y comunitario."/>
        <s v="Empleo para una Vida Digna."/>
        <s v="Desarrollo integral, empleo digno y crecimiento económico en todos los municipios y departamentos."/>
        <s v="Aprovechamiento de los beneficios de los tratados comerciales, con promoción a la exportación de los productos elaborados en el país."/>
        <s v="Los recursos naturales y servicios estratégicos sin excepción han sido nacionalizados y están siendo administrados por el Estado Plurinacional de Bolivia"/>
        <s v="Fortalecimiento de los procesos de industrialización y transformación en armonía y equilibrio con la Madre Tierra: eléctrico"/>
        <s v="Eliminar el hambre, la desnutrición y reducir la malnutrición."/>
        <s v="Acceso universal a la Alimentación Complementaria Escolar (ACE)."/>
        <s v="Soberanía a través de la producción local de alimentos."/>
        <s v="En Bolivia se reconoce y fomenta la diversificación de la producción, la protección a las variedades locales y el fomento a las culturas y tradiciones alimentarias."/>
        <s v="Bolivia ha puesto en marcha programas intersectoriales en el marco de la Política de Alimentación y Nutrición"/>
        <s v="Reconocimiento internacional de los derechos de la Madre Tierra."/>
        <s v="Reconocimiento de mecanismos internacionales no basados en el mercado y promoción de la gestión comunitaria de pueblos indígenas y comunidades locales."/>
        <s v="Desarrollo del conjunto de las actividades económico -productivas, en el marco del respeto y complementariedad con los derechos de la Madre Tierra."/>
        <s v="Sistema Plurinacional de Áreas Protegidas."/>
        <s v="Desarrollo de sistemas productivos sustentables en el marco de procesos de gestión territorial."/>
        <s v="Incremento de la cobertura boscosa."/>
        <s v="Agua y prevención de riesgos por cambio climático: gestión integral."/>
        <s v="Aire Puro, ríos sin contaminación y procesamiento de residuos sólidos y líquidos."/>
        <s v="Acuerdos Internacionales para resolver la crisis climática que incorporan la posición boliviana sobre el cambio climático."/>
        <s v="Construcción de mecanismos para el Desarrollo Integral y la Integración entre los Estados y sus Pueblos"/>
        <s v="Construcción de mecanismos para el Desarrollo Integral y la Integración entre los Estados y sus Pueblos."/>
        <s v="Fortalecimiento de los procesos de Integración Multilateral y profundización del Relacionamiento Bilateral."/>
        <s v="Promoción de una organización mundial de los pueblos y de la Madre Tierra sin hegemonías en el marco de la democracia de los pueblos."/>
        <s v="Atención digna para los bolivianos y bolivianas en el exterior."/>
        <s v="Gestión pública transparente, con servidores públicos éticos, competentes y comprometidos que luchan contra la corrupción."/>
        <s v="Sistema judicial transparente que garantiza justicia para todos y todas."/>
        <s v="Seguridad Ciudadana para una Vida sin Violencia"/>
        <s v="Defensa Integral del Estado y Complementariedad en el Desarrollo Nacional"/>
        <s v="Gobierno multinivel fortalecido, articulado, eficiente, participativo y con tecnología."/>
        <s v="Promover los derechos del pueblo boliviano y de la Madre Tierra para vivir en una sociedad justa, equitativa, sin pobreza."/>
        <s v="Práctica y fortalecimiento de las virtudes humanas y solidarias para llevar una vida armoniosa."/>
        <s v="Reencuentro soberano con nuestra  prosperidad y nuestro mar."/>
        <n v="343"/>
        <m/>
      </sharedItems>
    </cacheField>
    <cacheField name="Cod_Resul" numFmtId="0">
      <sharedItems containsBlank="1" containsMixedTypes="1" containsNumber="1" containsInteger="1" minValue="1" maxValue="343" count="28">
        <n v="1"/>
        <n v="2"/>
        <n v="3"/>
        <n v="4"/>
        <n v="5"/>
        <n v="6"/>
        <n v="7"/>
        <n v="8"/>
        <n v="9"/>
        <n v="10"/>
        <n v="11"/>
        <n v="12"/>
        <s v="1r"/>
        <n v="13"/>
        <n v="14"/>
        <n v="15"/>
        <n v="16"/>
        <n v="17"/>
        <n v="18"/>
        <n v="19"/>
        <n v="20"/>
        <n v="21"/>
        <n v="22"/>
        <n v="23"/>
        <n v="24"/>
        <n v="25"/>
        <n v="343"/>
        <m/>
      </sharedItems>
    </cacheField>
    <cacheField name="Cod_PMR" numFmtId="0">
      <sharedItems containsBlank="1" containsMixedTypes="1" containsNumber="1" containsInteger="1" minValue="343" maxValue="343" count="345">
        <s v="1.1.1"/>
        <s v="1.1.2"/>
        <s v="1.1.3"/>
        <s v="1.1.4"/>
        <s v="1.1.5"/>
        <s v="1.1.6"/>
        <s v="1.1.7"/>
        <s v="1.1.8"/>
        <s v="1.1.9"/>
        <s v="1.1.10"/>
        <s v="1.1.11"/>
        <s v="1.1.12"/>
        <s v="1.2.1"/>
        <s v="1.2.2"/>
        <s v="1.2.3"/>
        <s v="1.2.4"/>
        <s v="1.2.5"/>
        <s v="1.2.6"/>
        <s v="1.3.1"/>
        <s v="1.3.2"/>
        <s v="1.3.3"/>
        <s v="1.3.4"/>
        <s v="1.3.5"/>
        <s v="1.4.1"/>
        <s v="1.4.2"/>
        <s v="1.4.3"/>
        <s v="1.4.4"/>
        <s v="1.4.5"/>
        <s v="1.5.1"/>
        <s v="1.5.2"/>
        <s v="1.5.3"/>
        <s v="1.5.4"/>
        <s v="1.5.5"/>
        <s v="1.5.6"/>
        <s v="1.5.7"/>
        <s v="1.6.1"/>
        <s v="1.6.2"/>
        <s v="1.6.3"/>
        <s v="2.1.1"/>
        <s v="2.1.2"/>
        <s v="2.1.3"/>
        <s v="2.1.4"/>
        <s v="2.2.1"/>
        <s v="2.2.2"/>
        <s v="2.3.1"/>
        <s v="2.3.2"/>
        <s v="2.3.3"/>
        <s v="2.4.1r"/>
        <s v="2.4.1"/>
        <s v="2.4.2"/>
        <s v="2.4.3"/>
        <s v="2.4.5"/>
        <s v="2.4.6"/>
        <s v="2.4.7"/>
        <s v="2.4.8"/>
        <s v="2.4.9"/>
        <s v="2.4.10"/>
        <s v="2.4.11"/>
        <s v="2.4.12"/>
        <s v="2.4.13"/>
        <s v="2.4.14"/>
        <s v="2.4.15"/>
        <s v="2.4.16"/>
        <s v="2.4.17"/>
        <s v="2.4.18"/>
        <s v="2.4.19"/>
        <s v="2.4.20"/>
        <s v="2.4.21"/>
        <s v="2.4.22"/>
        <s v="2.4.23"/>
        <s v="2.5.1"/>
        <s v="2.5.2"/>
        <s v="2.5.3"/>
        <s v="2.6.1"/>
        <s v="2.6.2"/>
        <s v="2.6.3"/>
        <s v="3.1.1"/>
        <s v="3.1.2"/>
        <s v="3.1.3"/>
        <s v="3.1.4"/>
        <s v="3.1.5"/>
        <s v="3.1.6"/>
        <s v="3.1.7"/>
        <s v="3.1.8"/>
        <s v="3.1.9"/>
        <s v="3.1.10"/>
        <s v="3.1.11"/>
        <s v="3.1.12"/>
        <s v="3.2.1"/>
        <s v="3.2.2"/>
        <s v="3.2.3"/>
        <s v="3.2.4"/>
        <s v="3.2.5"/>
        <s v="3.2.6"/>
        <s v="3.3.1"/>
        <s v="3.3.2"/>
        <s v="3.3.3"/>
        <s v="3.3.4"/>
        <s v="3.3.5"/>
        <s v="3.3.6"/>
        <s v="3.3.7"/>
        <s v="3.4.1"/>
        <s v="3.4.2"/>
        <s v="3.4.3"/>
        <s v="3.4.4"/>
        <s v="3.4.5"/>
        <s v="3.4.6"/>
        <s v="3.4.7"/>
        <s v="3.4.8"/>
        <s v="3.4.9"/>
        <s v="3.4.10"/>
        <s v="3.5.1"/>
        <s v="3.6.1"/>
        <s v="3.6.2"/>
        <s v="3.6.3"/>
        <s v="3.6.4"/>
        <s v="3.6.5"/>
        <s v="3.6.6"/>
        <s v="3.6.7"/>
        <s v="4.1.1"/>
        <s v="4.1.2"/>
        <s v="4.1.3"/>
        <s v="4.1.4"/>
        <s v="4.1.5"/>
        <s v="4.1.6"/>
        <s v="4.1.7"/>
        <s v="4.1.8"/>
        <s v="4.2.1"/>
        <s v="4.3.1"/>
        <s v="4.3.2"/>
        <s v="4.4.1"/>
        <s v="4.4.2"/>
        <s v="4.4.3"/>
        <s v="4.5.1"/>
        <s v="4.5.2"/>
        <s v="5.1.1"/>
        <s v="5.1.2"/>
        <s v="5.1.3"/>
        <s v="5.2.1"/>
        <s v="5.3.1"/>
        <s v="5.3.2"/>
        <s v="5.4.1"/>
        <s v="5.5.1"/>
        <s v="5.5.2"/>
        <s v="5.5.3"/>
        <s v="5.5.4"/>
        <s v="6. 1.1"/>
        <s v="6. 1.2"/>
        <s v="6. 2.1"/>
        <s v="6. 2.2"/>
        <s v="6. 2.3"/>
        <s v="6. 2.4"/>
        <s v="6. 2.5"/>
        <s v="6. 2.6"/>
        <s v="6. 2.7"/>
        <s v="6. 3.1"/>
        <s v="6. 3.2"/>
        <s v="6. 3.3"/>
        <s v="6. 3.4"/>
        <s v="6. 3.5"/>
        <s v="6.4.1"/>
        <s v="6.4.2"/>
        <s v="6.4.3"/>
        <s v="6.4.4"/>
        <s v="6.5.1"/>
        <s v="6.5.2"/>
        <s v="6.5.3"/>
        <s v="6.5.4"/>
        <s v="6.6.1"/>
        <s v="6.6.2"/>
        <s v="6.6.3"/>
        <s v="6.7.1"/>
        <s v="6.7.2"/>
        <s v="6.7.3"/>
        <s v="6.7.4"/>
        <s v="6.7.5"/>
        <s v="6.8.1"/>
        <s v="6.8.2"/>
        <s v="6.8.3"/>
        <s v="6.9.1"/>
        <s v="6.9.2"/>
        <s v="6.9.3"/>
        <s v="6.9.4"/>
        <s v="6.9.5"/>
        <s v="6.9.6"/>
        <s v="6.10.1"/>
        <s v="6.10.2"/>
        <s v="6.11.1"/>
        <s v="6.11.2"/>
        <s v="6.12.1"/>
        <s v="6.12.2"/>
        <s v="6.12.3"/>
        <s v="7.1.1"/>
        <s v="7.1.2"/>
        <s v="7.1.3"/>
        <s v="7.1.4"/>
        <s v="7.2.1"/>
        <s v="7.2.2"/>
        <s v="7.2.3"/>
        <s v="7.2.4"/>
        <s v="7.2.5"/>
        <s v="7.2.6"/>
        <s v="7.2.7"/>
        <s v="7.2.8"/>
        <s v="7.2.9"/>
        <s v="7.2.10"/>
        <s v="7.2.11"/>
        <s v="7.2.12"/>
        <s v="7.2.13"/>
        <s v="7.2.14"/>
        <s v="7.2.15"/>
        <s v="7.2.16"/>
        <s v="7.2.17"/>
        <s v="7.2.18"/>
        <s v="7.2.19"/>
        <s v="7.2.20"/>
        <s v="7.2.21"/>
        <s v="7.2.22"/>
        <s v="7.2.23"/>
        <s v="7.2.24"/>
        <s v="7.2.25"/>
        <s v="8.1.1"/>
        <s v="8.1.2"/>
        <s v="8.1.3"/>
        <s v="8.1.4"/>
        <s v="8.1.5"/>
        <s v="8.1.6"/>
        <s v="8.2.1"/>
        <s v="8.2.2"/>
        <s v="8.2.3"/>
        <s v="8.2.4"/>
        <s v="8.3.1"/>
        <s v="8.3.2"/>
        <s v="8.3.3"/>
        <s v="8.3.4"/>
        <s v="8.3.5"/>
        <s v="8.4.1"/>
        <s v="8.4.2"/>
        <s v="8.4.3"/>
        <s v="8.4.4"/>
        <s v="8.5.1"/>
        <s v="8.5.2"/>
        <s v="9.1.1"/>
        <s v="9.1.2"/>
        <s v="9.2.1"/>
        <s v="9.2.2"/>
        <s v="9.3.1"/>
        <s v="9.3.2"/>
        <s v="9.3.3"/>
        <s v="9.3.4"/>
        <s v="9.3.5"/>
        <s v="9.4.1"/>
        <s v="9.4.2"/>
        <s v="9.4.3"/>
        <s v="9.4.4"/>
        <s v="9.5.1"/>
        <s v="9.5.2"/>
        <s v="9.5.3"/>
        <s v="9.5.4"/>
        <s v="9.5.5"/>
        <s v="9.5.6"/>
        <s v="9.5.7"/>
        <s v="9.6.1"/>
        <s v="9.6.2"/>
        <s v="9.6.3"/>
        <s v="9.7.1"/>
        <s v="9.7.2"/>
        <s v="9.7.3"/>
        <s v="9.7.4"/>
        <s v="9.7.5"/>
        <s v="9.7.6"/>
        <s v="9.7.7"/>
        <s v="9.8.1"/>
        <s v="9.8.2"/>
        <s v="9.8.3"/>
        <s v="9.8.4"/>
        <s v="9.8.5"/>
        <s v="9.8.6"/>
        <s v="10.1.1"/>
        <s v="10.2.1"/>
        <s v="10.2.2"/>
        <s v="10.3.1r"/>
        <s v="10.3.1"/>
        <s v="10.3.2"/>
        <s v="10.3.3"/>
        <s v="10.3.4"/>
        <s v="10.4.1"/>
        <s v="10.4.2"/>
        <s v="10.4.3"/>
        <s v="10.4.4"/>
        <s v="10.4.5"/>
        <s v="10.5.1"/>
        <s v="10.5.2"/>
        <s v="10.5.3"/>
        <s v="10.6.1"/>
        <s v="10.6.2"/>
        <s v="10.6.3"/>
        <s v="11.1.1"/>
        <s v="11.1.2"/>
        <s v="11.1.3"/>
        <s v="11.1.4"/>
        <s v="11.1.5"/>
        <s v="11.1.6"/>
        <s v="11.1.7"/>
        <s v="11.2.1"/>
        <s v="11.2.2"/>
        <s v="11.2.3"/>
        <s v="11.2.4"/>
        <s v="11.2.5"/>
        <s v="11.3.1"/>
        <s v="11.3.2"/>
        <s v="11.3.3"/>
        <s v="11.3.4"/>
        <s v="11.3.5"/>
        <s v="11.3.6"/>
        <s v="11.3.7"/>
        <s v="11.3.8"/>
        <s v="11.3.9"/>
        <s v="11.4.1"/>
        <s v="11.4.2"/>
        <s v="11.4.3"/>
        <s v="11.4.4"/>
        <s v="11.4.5"/>
        <s v="11.4.6"/>
        <s v="11.5.1"/>
        <s v="11.5.2"/>
        <s v="11.5.3"/>
        <s v="11.5.4"/>
        <s v="12.1.1"/>
        <s v="12.1.2"/>
        <s v="12.1.3"/>
        <s v="12.1.4"/>
        <s v="12.1.5"/>
        <s v="12.2.1"/>
        <s v="12.2.2"/>
        <s v="12.2.3"/>
        <s v="12.2.4"/>
        <s v="12.2.5"/>
        <s v="12.2.6"/>
        <s v="12.2.7"/>
        <s v="12.2.8"/>
        <s v="12.2.9"/>
        <s v="13.1.1"/>
        <n v="343"/>
        <m/>
      </sharedItems>
    </cacheField>
    <cacheField name="Cod_Resul_Corr" numFmtId="0">
      <sharedItems containsBlank="1" containsMixedTypes="1" containsNumber="1" containsInteger="1" minValue="1" maxValue="343" count="345">
        <n v="1"/>
        <n v="2"/>
        <n v="3"/>
        <n v="4"/>
        <n v="5"/>
        <n v="6"/>
        <n v="7"/>
        <n v="8"/>
        <n v="9"/>
        <n v="10"/>
        <n v="11"/>
        <n v="12"/>
        <n v="13"/>
        <n v="14"/>
        <n v="15"/>
        <n v="16"/>
        <n v="17"/>
        <n v="18"/>
        <n v="19"/>
        <n v="20"/>
        <n v="21"/>
        <n v="22"/>
        <n v="23"/>
        <n v="24"/>
        <n v="25"/>
        <n v="26"/>
        <n v="27"/>
        <n v="28"/>
        <n v="29"/>
        <n v="30"/>
        <n v="31"/>
        <n v="32"/>
        <n v="33"/>
        <n v="34"/>
        <n v="35"/>
        <n v="36"/>
        <n v="37"/>
        <n v="38"/>
        <n v="39"/>
        <n v="40"/>
        <n v="41"/>
        <n v="42"/>
        <n v="43"/>
        <n v="44"/>
        <n v="45"/>
        <n v="46"/>
        <n v="47"/>
        <s v="48r"/>
        <n v="48"/>
        <n v="49"/>
        <n v="50"/>
        <n v="51"/>
        <n v="52"/>
        <n v="53"/>
        <n v="54"/>
        <n v="55"/>
        <n v="56"/>
        <n v="57"/>
        <n v="58"/>
        <n v="59"/>
        <n v="60"/>
        <n v="61"/>
        <n v="62"/>
        <n v="63"/>
        <n v="64"/>
        <n v="65"/>
        <n v="66"/>
        <n v="67"/>
        <n v="68"/>
        <n v="69"/>
        <n v="70"/>
        <n v="71"/>
        <n v="72"/>
        <n v="73"/>
        <n v="74"/>
        <n v="75"/>
        <n v="76"/>
        <n v="77"/>
        <n v="78"/>
        <n v="79"/>
        <n v="80"/>
        <n v="81"/>
        <n v="82"/>
        <n v="83"/>
        <n v="84"/>
        <n v="85"/>
        <n v="86"/>
        <n v="87"/>
        <n v="88"/>
        <n v="89"/>
        <n v="90"/>
        <n v="91"/>
        <n v="92"/>
        <n v="93"/>
        <n v="94"/>
        <n v="95"/>
        <n v="96"/>
        <n v="97"/>
        <n v="98"/>
        <n v="99"/>
        <n v="100"/>
        <n v="101"/>
        <n v="102"/>
        <n v="103"/>
        <n v="104"/>
        <n v="105"/>
        <n v="106"/>
        <n v="107"/>
        <n v="108"/>
        <n v="109"/>
        <n v="110"/>
        <n v="111"/>
        <n v="112"/>
        <n v="113"/>
        <n v="114"/>
        <n v="115"/>
        <n v="116"/>
        <n v="117"/>
        <n v="118"/>
        <n v="119"/>
        <n v="120"/>
        <n v="121"/>
        <n v="122"/>
        <n v="123"/>
        <n v="124"/>
        <n v="125"/>
        <n v="126"/>
        <n v="127"/>
        <n v="128"/>
        <n v="129"/>
        <n v="130"/>
        <n v="131"/>
        <n v="132"/>
        <n v="133"/>
        <n v="134"/>
        <n v="135"/>
        <n v="136"/>
        <n v="137"/>
        <n v="138"/>
        <n v="139"/>
        <n v="140"/>
        <n v="141"/>
        <n v="142"/>
        <n v="143"/>
        <n v="144"/>
        <n v="145"/>
        <n v="146"/>
        <n v="147"/>
        <n v="148"/>
        <n v="149"/>
        <n v="150"/>
        <n v="151"/>
        <n v="152"/>
        <n v="153"/>
        <n v="154"/>
        <n v="155"/>
        <n v="156"/>
        <n v="157"/>
        <n v="158"/>
        <n v="159"/>
        <n v="160"/>
        <n v="161"/>
        <n v="162"/>
        <n v="163"/>
        <n v="164"/>
        <n v="165"/>
        <n v="166"/>
        <n v="167"/>
        <n v="168"/>
        <n v="169"/>
        <n v="170"/>
        <n v="171"/>
        <n v="172"/>
        <n v="173"/>
        <n v="174"/>
        <n v="175"/>
        <n v="176"/>
        <n v="177"/>
        <n v="178"/>
        <n v="179"/>
        <n v="180"/>
        <n v="181"/>
        <n v="182"/>
        <n v="183"/>
        <n v="184"/>
        <n v="185"/>
        <n v="186"/>
        <n v="187"/>
        <n v="188"/>
        <n v="189"/>
        <n v="190"/>
        <n v="191"/>
        <n v="192"/>
        <n v="193"/>
        <n v="194"/>
        <n v="195"/>
        <n v="196"/>
        <n v="197"/>
        <n v="198"/>
        <n v="199"/>
        <n v="200"/>
        <n v="201"/>
        <n v="202"/>
        <n v="203"/>
        <n v="204"/>
        <n v="205"/>
        <n v="206"/>
        <n v="207"/>
        <n v="208"/>
        <n v="209"/>
        <n v="210"/>
        <n v="211"/>
        <n v="212"/>
        <n v="213"/>
        <n v="214"/>
        <n v="215"/>
        <n v="216"/>
        <n v="217"/>
        <n v="218"/>
        <n v="219"/>
        <n v="220"/>
        <n v="221"/>
        <n v="222"/>
        <n v="223"/>
        <n v="224"/>
        <n v="225"/>
        <n v="226"/>
        <n v="227"/>
        <n v="228"/>
        <n v="229"/>
        <n v="230"/>
        <n v="231"/>
        <n v="232"/>
        <n v="233"/>
        <n v="234"/>
        <n v="235"/>
        <n v="236"/>
        <n v="237"/>
        <n v="238"/>
        <n v="239"/>
        <n v="240"/>
        <n v="241"/>
        <n v="242"/>
        <n v="243"/>
        <n v="244"/>
        <n v="245"/>
        <n v="246"/>
        <n v="247"/>
        <n v="248"/>
        <n v="249"/>
        <n v="250"/>
        <n v="251"/>
        <n v="252"/>
        <n v="253"/>
        <n v="254"/>
        <n v="255"/>
        <n v="256"/>
        <n v="257"/>
        <n v="258"/>
        <n v="259"/>
        <n v="260"/>
        <n v="261"/>
        <n v="262"/>
        <n v="263"/>
        <n v="264"/>
        <n v="265"/>
        <n v="266"/>
        <n v="267"/>
        <n v="268"/>
        <n v="269"/>
        <n v="270"/>
        <n v="271"/>
        <n v="272"/>
        <n v="273"/>
        <n v="274"/>
        <n v="275"/>
        <n v="276"/>
        <n v="277"/>
        <n v="278"/>
        <n v="279"/>
        <n v="280"/>
        <s v="281r"/>
        <n v="281"/>
        <n v="282"/>
        <n v="283"/>
        <n v="284"/>
        <n v="285"/>
        <n v="286"/>
        <n v="287"/>
        <n v="288"/>
        <n v="289"/>
        <n v="290"/>
        <n v="291"/>
        <n v="292"/>
        <n v="293"/>
        <n v="294"/>
        <n v="295"/>
        <n v="296"/>
        <n v="297"/>
        <n v="298"/>
        <n v="299"/>
        <n v="300"/>
        <n v="301"/>
        <n v="302"/>
        <n v="303"/>
        <n v="304"/>
        <n v="305"/>
        <n v="306"/>
        <n v="307"/>
        <n v="308"/>
        <n v="309"/>
        <n v="310"/>
        <n v="311"/>
        <n v="312"/>
        <n v="313"/>
        <n v="314"/>
        <n v="315"/>
        <n v="316"/>
        <n v="317"/>
        <n v="318"/>
        <n v="319"/>
        <n v="320"/>
        <n v="321"/>
        <n v="322"/>
        <n v="323"/>
        <n v="324"/>
        <n v="325"/>
        <n v="326"/>
        <n v="327"/>
        <n v="328"/>
        <n v="329"/>
        <n v="330"/>
        <n v="331"/>
        <n v="332"/>
        <n v="333"/>
        <n v="334"/>
        <n v="335"/>
        <n v="336"/>
        <n v="337"/>
        <n v="338"/>
        <n v="339"/>
        <n v="340"/>
        <n v="341"/>
        <n v="343"/>
        <m/>
      </sharedItems>
    </cacheField>
    <cacheField name="Cod_Corr_PMR" numFmtId="0">
      <sharedItems containsBlank="1" containsMixedTypes="1" containsNumber="1" containsInteger="1" minValue="343" maxValue="343" count="345">
        <s v="1.1.1"/>
        <s v="1.1.2"/>
        <s v="1.1.3"/>
        <s v="1.1.4"/>
        <s v="1.1.5"/>
        <s v="1.1.6"/>
        <s v="1.1.7"/>
        <s v="1.1.8"/>
        <s v="1.1.9"/>
        <s v="1.1.10"/>
        <s v="1.1.11"/>
        <s v="1.1.12"/>
        <s v="1.2.13"/>
        <s v="1.2.14"/>
        <s v="1.2.15"/>
        <s v="1.2.16"/>
        <s v="1.2.17"/>
        <s v="1.2.18"/>
        <s v="1.3.19"/>
        <s v="1.3.20"/>
        <s v="1.3.21"/>
        <s v="1.3.22"/>
        <s v="1.3.23"/>
        <s v="1.4.24"/>
        <s v="1.4.25"/>
        <s v="1.4.26"/>
        <s v="1.4.27"/>
        <s v="1.4.28"/>
        <s v="1.5.29"/>
        <s v="1.5.30"/>
        <s v="1.5.31"/>
        <s v="1.5.32"/>
        <s v="1.5.33"/>
        <s v="1.5.34"/>
        <s v="1.5.35"/>
        <s v="1.6.36"/>
        <s v="1.6.37"/>
        <s v="1.6.38"/>
        <s v="2.1.39"/>
        <s v="2.1.40"/>
        <s v="2.1.41"/>
        <s v="2.1.42"/>
        <s v="2.2.43"/>
        <s v="2.2.44"/>
        <s v="2.3.45"/>
        <s v="2.3.46"/>
        <s v="2.3.47"/>
        <s v="2.4.48r"/>
        <s v="2.4.48"/>
        <s v="2.4.49"/>
        <s v="2.4.50"/>
        <s v="2.4.51"/>
        <s v="2.4.52"/>
        <s v="2.4.53"/>
        <s v="2.4.54"/>
        <s v="2.4.55"/>
        <s v="2.4.56"/>
        <s v="2.4.57"/>
        <s v="2.4.58"/>
        <s v="2.4.59"/>
        <s v="2.4.60"/>
        <s v="2.4.61"/>
        <s v="2.4.62"/>
        <s v="2.4.63"/>
        <s v="2.4.64"/>
        <s v="2.4.65"/>
        <s v="2.4.66"/>
        <s v="2.4.67"/>
        <s v="2.4.68"/>
        <s v="2.4.69"/>
        <s v="2.5.70"/>
        <s v="2.5.71"/>
        <s v="2.5.72"/>
        <s v="2.6.73"/>
        <s v="2.6.74"/>
        <s v="2.6.75"/>
        <s v="3.1.76"/>
        <s v="3.1.77"/>
        <s v="3.1.78"/>
        <s v="3.1.79"/>
        <s v="3.1.80"/>
        <s v="3.1.81"/>
        <s v="3.1.82"/>
        <s v="3.1.83"/>
        <s v="3.1.84"/>
        <s v="3.1.85"/>
        <s v="3.1.86"/>
        <s v="3.1.87"/>
        <s v="3.2.88"/>
        <s v="3.2.89"/>
        <s v="3.2.90"/>
        <s v="3.2.91"/>
        <s v="3.2.92"/>
        <s v="3.2.93"/>
        <s v="3.3.94"/>
        <s v="3.3.95"/>
        <s v="3.3.96"/>
        <s v="3.3.97"/>
        <s v="3.3.98"/>
        <s v="3.3.99"/>
        <s v="3.3.100"/>
        <s v="3.4.101"/>
        <s v="3.4.102"/>
        <s v="3.4.103"/>
        <s v="3.4.104"/>
        <s v="3.4.105"/>
        <s v="3.4.106"/>
        <s v="3.4.107"/>
        <s v="3.4.108"/>
        <s v="3.4.109"/>
        <s v="3.4.110"/>
        <s v="3.5.111"/>
        <s v="3.6.112"/>
        <s v="3.6.113"/>
        <s v="3.6.114"/>
        <s v="3.6.115"/>
        <s v="3.6.116"/>
        <s v="3.6.117"/>
        <s v="3.6.118"/>
        <s v="4.1.119"/>
        <s v="4.1.120"/>
        <s v="4.1.121"/>
        <s v="4.1.122"/>
        <s v="4.1.123"/>
        <s v="4.1.124"/>
        <s v="4.1.125"/>
        <s v="4.1.126"/>
        <s v="4.2.127"/>
        <s v="4.3.128"/>
        <s v="4.3.129"/>
        <s v="4.4.130"/>
        <s v="4.4.131"/>
        <s v="4.4.132"/>
        <s v="4.5.133"/>
        <s v="4.5.134"/>
        <s v="5.1.135"/>
        <s v="5.1.136"/>
        <s v="5.1.137"/>
        <s v="5.2.138"/>
        <s v="5.3.139"/>
        <s v="5.3.140"/>
        <s v="5.4.141"/>
        <s v="5.5.142"/>
        <s v="5.5.143"/>
        <s v="5.5.144"/>
        <s v="5.5.145"/>
        <s v="6.1.146"/>
        <s v="6.1.147"/>
        <s v="6.2.148"/>
        <s v="6.2.149"/>
        <s v="6.2.150"/>
        <s v="6.2.151"/>
        <s v="6.2.152"/>
        <s v="6.2.153"/>
        <s v="6.2.154"/>
        <s v="6.3.155"/>
        <s v="6.3.156"/>
        <s v="6.3.157"/>
        <s v="6.3.158"/>
        <s v="6.3.159"/>
        <s v="6.4.160"/>
        <s v="6.4.161"/>
        <s v="6.4.162"/>
        <s v="6.4.163"/>
        <s v="6.5.164"/>
        <s v="6.5.165"/>
        <s v="6.5.166"/>
        <s v="6.5.167"/>
        <s v="6.6.168"/>
        <s v="6.6.169"/>
        <s v="6.6.170"/>
        <s v="6.7.171"/>
        <s v="6.7.172"/>
        <s v="6.7.173"/>
        <s v="6.7.174"/>
        <s v="6.7.175"/>
        <s v="6.8.176"/>
        <s v="6.8.177"/>
        <s v="6.8.178"/>
        <s v="6.9.179"/>
        <s v="6.9.180"/>
        <s v="6.9.181"/>
        <s v="6.9.182"/>
        <s v="6.9.183"/>
        <s v="6.9.184"/>
        <s v="6.10.185"/>
        <s v="6.10.186"/>
        <s v="6.11.187"/>
        <s v="6.11.188"/>
        <s v="6.12.189"/>
        <s v="6.12.190"/>
        <s v="6.12.191"/>
        <s v="7.1.192"/>
        <s v="7.1.193"/>
        <s v="7.1.194"/>
        <s v="7.1.195"/>
        <s v="7.2.196"/>
        <s v="7.2.197"/>
        <s v="7.2.198"/>
        <s v="7.2.199"/>
        <s v="7.2.200"/>
        <s v="7.2.201"/>
        <s v="7.2.202"/>
        <s v="7.2.203"/>
        <s v="7.2.204"/>
        <s v="7.2.205"/>
        <s v="7.2.206"/>
        <s v="7.2.207"/>
        <s v="7.2.208"/>
        <s v="7.2.209"/>
        <s v="7.2.210"/>
        <s v="7.2.211"/>
        <s v="7.2.212"/>
        <s v="7.2.213"/>
        <s v="7.2.214"/>
        <s v="7.2.215"/>
        <s v="7.2.216"/>
        <s v="7.2.217"/>
        <s v="7.2.218"/>
        <s v="7.2.219"/>
        <s v="7.2.220"/>
        <s v="8.1.221"/>
        <s v="8.1.222"/>
        <s v="8.1.223"/>
        <s v="8.1.224"/>
        <s v="8.1.225"/>
        <s v="8.1.226"/>
        <s v="8.2.227"/>
        <s v="8.2.228"/>
        <s v="8.2.229"/>
        <s v="8.2.230"/>
        <s v="8.3.231"/>
        <s v="8.3.232"/>
        <s v="8.3.233"/>
        <s v="8.3.234"/>
        <s v="8.3.235"/>
        <s v="8.4.236"/>
        <s v="8.4.237"/>
        <s v="8.4.238"/>
        <s v="8.4.239"/>
        <s v="8.5.240"/>
        <s v="8.5.241"/>
        <s v="9.1.242"/>
        <s v="9.1.243"/>
        <s v="9.2.244"/>
        <s v="9.2.245"/>
        <s v="9.3.246"/>
        <s v="9.3.247"/>
        <s v="9.3.248"/>
        <s v="9.3.249"/>
        <s v="9.3.250"/>
        <s v="9.4.251"/>
        <s v="9.4.252"/>
        <s v="9.4.253"/>
        <s v="9.4.254"/>
        <s v="9.5.255"/>
        <s v="9.5.256"/>
        <s v="9.5.257"/>
        <s v="9.5.258"/>
        <s v="9.5.259"/>
        <s v="9.5.260"/>
        <s v="9.5.261"/>
        <s v="9.6.262"/>
        <s v="9.6.263"/>
        <s v="9.6.264"/>
        <s v="9.7.265"/>
        <s v="9.7.266"/>
        <s v="9.7.267"/>
        <s v="9.7.268"/>
        <s v="9.7.269"/>
        <s v="9.7.270"/>
        <s v="9.7.271"/>
        <s v="9.8.272"/>
        <s v="9.8.273"/>
        <s v="9.8.274"/>
        <s v="9.8.275"/>
        <s v="9.8.276"/>
        <s v="9.8.277"/>
        <s v="10.1.278"/>
        <s v="10.2.279"/>
        <s v="10.2.280"/>
        <s v="10.3.281r"/>
        <s v="10.3.281"/>
        <s v="10.3.282"/>
        <s v="10.3.283"/>
        <s v="10.3.284"/>
        <s v="10.4.285"/>
        <s v="10.4.286"/>
        <s v="10.4.287"/>
        <s v="10.4.288"/>
        <s v="10.4.289"/>
        <s v="10.5.290"/>
        <s v="10.5.291"/>
        <s v="10.5.292"/>
        <s v="10.6.293"/>
        <s v="10.6.294"/>
        <s v="10.6.295"/>
        <s v="11.1.296"/>
        <s v="11.1.297"/>
        <s v="11.1.298"/>
        <s v="11.1.299"/>
        <s v="11.1.300"/>
        <s v="11.1.301"/>
        <s v="11.1.302"/>
        <s v="11.2.303"/>
        <s v="11.2.304"/>
        <s v="11.2.305"/>
        <s v="11.2.306"/>
        <s v="11.2.307"/>
        <s v="11.3.308"/>
        <s v="11.3.309"/>
        <s v="11.3.310"/>
        <s v="11.3.311"/>
        <s v="11.3.312"/>
        <s v="11.3.313"/>
        <s v="11.3.314"/>
        <s v="11.3.315"/>
        <s v="11.3.316"/>
        <s v="11.4.317"/>
        <s v="11.4.318"/>
        <s v="11.4.319"/>
        <s v="11.4.320"/>
        <s v="11.4.321"/>
        <s v="11.4.322"/>
        <s v="11.5.323"/>
        <s v="11.5.324"/>
        <s v="11.5.325"/>
        <s v="11.5.326"/>
        <s v="12.1.327"/>
        <s v="12.1.328"/>
        <s v="12.1.329"/>
        <s v="12.1.330"/>
        <s v="12.1.331"/>
        <s v="12.2.332"/>
        <s v="12.2.333"/>
        <s v="12.2.334"/>
        <s v="12.2.335"/>
        <s v="12.2.336"/>
        <s v="12.2.337"/>
        <s v="12.2.338"/>
        <s v="12.2.339"/>
        <s v="12.2.340"/>
        <s v="13.1.341"/>
        <n v="343"/>
        <m/>
      </sharedItems>
    </cacheField>
    <cacheField name="id_indicador_PDES" numFmtId="0">
      <sharedItems containsBlank="1" containsMixedTypes="1" containsNumber="1" containsInteger="1" minValue="343" maxValue="343" count="345">
        <s v="0101001"/>
        <s v="0101002"/>
        <s v="0101003"/>
        <s v="0101004"/>
        <s v="0101005"/>
        <s v="0101006"/>
        <s v="0101007"/>
        <s v="0101008"/>
        <s v="0101009"/>
        <s v="0101010"/>
        <s v="0101011"/>
        <s v="0101012"/>
        <s v="0102013"/>
        <s v="0102014"/>
        <s v="0102015"/>
        <s v="0102016"/>
        <s v="0102017"/>
        <s v="0102018"/>
        <s v="0103019"/>
        <s v="0103020"/>
        <s v="0103021"/>
        <s v="0103022"/>
        <s v="0103023"/>
        <s v="0104024"/>
        <s v="0104025"/>
        <s v="0104026"/>
        <s v="0104027"/>
        <s v="0104028"/>
        <s v="0105029"/>
        <s v="0105030"/>
        <s v="0105031"/>
        <s v="0105032"/>
        <s v="0105033"/>
        <s v="0105034"/>
        <s v="0105035"/>
        <s v="0106036"/>
        <s v="0106037"/>
        <s v="0106038"/>
        <s v="0201039"/>
        <s v="0201040"/>
        <s v="0201041"/>
        <s v="0201042"/>
        <s v="0202043"/>
        <s v="0202044"/>
        <s v="0203045"/>
        <s v="0203046"/>
        <s v="0203047"/>
        <s v="020048r"/>
        <s v="0204048"/>
        <s v="0204049"/>
        <s v="0204050"/>
        <s v="0204051"/>
        <s v="0204052"/>
        <s v="0204053"/>
        <s v="0204054"/>
        <s v="0204055"/>
        <s v="0204056"/>
        <s v="0204057"/>
        <s v="0204058"/>
        <s v="0204059"/>
        <s v="0204060"/>
        <s v="0204061"/>
        <s v="0204062"/>
        <s v="0204063"/>
        <s v="0204064"/>
        <s v="0204065"/>
        <s v="0204066"/>
        <s v="0204067"/>
        <s v="0204068"/>
        <s v="0204069"/>
        <s v="0205070"/>
        <s v="0205071"/>
        <s v="0205072"/>
        <s v="0206073"/>
        <s v="0206074"/>
        <s v="0206075"/>
        <s v="0301076"/>
        <s v="0301077"/>
        <s v="0301078"/>
        <s v="0301079"/>
        <s v="0301080"/>
        <s v="0301081"/>
        <s v="0301082"/>
        <s v="0301083"/>
        <s v="0301084"/>
        <s v="0301085"/>
        <s v="0301086"/>
        <s v="0301087"/>
        <s v="0302088"/>
        <s v="0302089"/>
        <s v="0302090"/>
        <s v="0302091"/>
        <s v="0302092"/>
        <s v="0302093"/>
        <s v="0303094"/>
        <s v="0303095"/>
        <s v="0303096"/>
        <s v="0303097"/>
        <s v="0303098"/>
        <s v="0303099"/>
        <s v="0303100"/>
        <s v="0304101"/>
        <s v="0304102"/>
        <s v="0304103"/>
        <s v="0304104"/>
        <s v="0304105"/>
        <s v="0304106"/>
        <s v="0304107"/>
        <s v="0304108"/>
        <s v="0304109"/>
        <s v="0304110"/>
        <s v="0305111"/>
        <s v="0306112"/>
        <s v="0306113"/>
        <s v="0306114"/>
        <s v="0306115"/>
        <s v="0306116"/>
        <s v="0306117"/>
        <s v="0306118"/>
        <s v="0401119"/>
        <s v="0401120"/>
        <s v="0401121"/>
        <s v="0401122"/>
        <s v="0401123"/>
        <s v="0401124"/>
        <s v="0401125"/>
        <s v="0401126"/>
        <s v="0402127"/>
        <s v="0403128"/>
        <s v="0403129"/>
        <s v="0404130"/>
        <s v="0404131"/>
        <s v="0404132"/>
        <s v="0405133"/>
        <s v="0405134"/>
        <s v="0501135"/>
        <s v="0501136"/>
        <s v="0501137"/>
        <s v="0502138"/>
        <s v="0503139"/>
        <s v="0503140"/>
        <s v="0504141"/>
        <s v="0505142"/>
        <s v="0505143"/>
        <s v="0505144"/>
        <s v="0505145"/>
        <s v="0601146"/>
        <s v="0601147"/>
        <s v="0602148"/>
        <s v="0602149"/>
        <s v="0602150"/>
        <s v="0602151"/>
        <s v="0602152"/>
        <s v="0602153"/>
        <s v="0602154"/>
        <s v="0603155"/>
        <s v="0603156"/>
        <s v="0603157"/>
        <s v="0603158"/>
        <s v="0603159"/>
        <s v="0604160"/>
        <s v="0604161"/>
        <s v="0604162"/>
        <s v="0604163"/>
        <s v="0605164"/>
        <s v="0605165"/>
        <s v="0605166"/>
        <s v="0605167"/>
        <s v="0606168"/>
        <s v="0606169"/>
        <s v="0606170"/>
        <s v="0607171"/>
        <s v="0607172"/>
        <s v="0607173"/>
        <s v="0607174"/>
        <s v="0607175"/>
        <s v="0608176"/>
        <s v="0608177"/>
        <s v="0608178"/>
        <s v="0609179"/>
        <s v="0609180"/>
        <s v="0609181"/>
        <s v="0609182"/>
        <s v="0609183"/>
        <s v="0609184"/>
        <s v="06010185"/>
        <s v="06010186"/>
        <s v="06011187"/>
        <s v="06011188"/>
        <s v="06012189"/>
        <s v="06012190"/>
        <s v="06012191"/>
        <s v="0701192"/>
        <s v="0701193"/>
        <s v="0701194"/>
        <s v="0701195"/>
        <s v="0702196"/>
        <s v="0702197"/>
        <s v="0702198"/>
        <s v="0702199"/>
        <s v="0702200"/>
        <s v="0702201"/>
        <s v="0702202"/>
        <s v="0702203"/>
        <s v="0702204"/>
        <s v="0702205"/>
        <s v="0702206"/>
        <s v="0702207"/>
        <s v="0702208"/>
        <s v="0702209"/>
        <s v="0702210"/>
        <s v="0702211"/>
        <s v="0702212"/>
        <s v="0702213"/>
        <s v="0702214"/>
        <s v="0702215"/>
        <s v="0702216"/>
        <s v="0702217"/>
        <s v="0702218"/>
        <s v="0702219"/>
        <s v="0702220"/>
        <s v="0801221"/>
        <s v="0801222"/>
        <s v="0801223"/>
        <s v="0801224"/>
        <s v="0801225"/>
        <s v="0801226"/>
        <s v="0802227"/>
        <s v="0802228"/>
        <s v="0802229"/>
        <s v="0802230"/>
        <s v="0803231"/>
        <s v="0803232"/>
        <s v="0803233"/>
        <s v="0803234"/>
        <s v="0803235"/>
        <s v="0804236"/>
        <s v="0804237"/>
        <s v="0804238"/>
        <s v="0804239"/>
        <s v="0805240"/>
        <s v="0805241"/>
        <s v="0901242"/>
        <s v="0901243"/>
        <s v="0902244"/>
        <s v="0902245"/>
        <s v="0903246"/>
        <s v="0903247"/>
        <s v="0903248"/>
        <s v="0903249"/>
        <s v="0903250"/>
        <s v="0904251"/>
        <s v="0904252"/>
        <s v="0904253"/>
        <s v="0904254"/>
        <s v="0905255"/>
        <s v="0905256"/>
        <s v="0905257"/>
        <s v="0905258"/>
        <s v="0905259"/>
        <s v="0905260"/>
        <s v="0905261"/>
        <s v="0906262"/>
        <s v="0906263"/>
        <s v="0906264"/>
        <s v="0907265"/>
        <s v="0907266"/>
        <s v="0907267"/>
        <s v="0907268"/>
        <s v="0907269"/>
        <s v="0907270"/>
        <s v="0907271"/>
        <s v="0908272"/>
        <s v="0908273"/>
        <s v="0908274"/>
        <s v="0908275"/>
        <s v="0908276"/>
        <s v="0908277"/>
        <s v="1001278"/>
        <s v="1002279"/>
        <s v="1002280"/>
        <s v="100281r"/>
        <s v="1003281"/>
        <s v="1003282"/>
        <s v="1003283"/>
        <s v="1003284"/>
        <s v="1004285"/>
        <s v="1004286"/>
        <s v="1004287"/>
        <s v="1004288"/>
        <s v="1004289"/>
        <s v="1005290"/>
        <s v="1005291"/>
        <s v="1005292"/>
        <s v="1006293"/>
        <s v="1006294"/>
        <s v="1006295"/>
        <s v="1101296"/>
        <s v="1101297"/>
        <s v="1101298"/>
        <s v="1101299"/>
        <s v="1101300"/>
        <s v="1101301"/>
        <s v="1101302"/>
        <s v="1102303"/>
        <s v="1102304"/>
        <s v="1102305"/>
        <s v="1102306"/>
        <s v="1102307"/>
        <s v="1103308"/>
        <s v="1103309"/>
        <s v="1103310"/>
        <s v="1103311"/>
        <s v="1103312"/>
        <s v="1103313"/>
        <s v="1103314"/>
        <s v="1103315"/>
        <s v="1103316"/>
        <s v="1104317"/>
        <s v="1104318"/>
        <s v="1104319"/>
        <s v="1104320"/>
        <s v="1104321"/>
        <s v="1104322"/>
        <s v="1105323"/>
        <s v="1105324"/>
        <s v="1105325"/>
        <s v="1105326"/>
        <s v="1201327"/>
        <s v="1201328"/>
        <s v="1201329"/>
        <s v="1201330"/>
        <s v="1201331"/>
        <s v="1202332"/>
        <s v="1202333"/>
        <s v="1202334"/>
        <s v="1202335"/>
        <s v="1202336"/>
        <s v="1202337"/>
        <s v="1202338"/>
        <s v="1202339"/>
        <s v="1202340"/>
        <s v="1301341"/>
        <n v="343"/>
        <m/>
      </sharedItems>
    </cacheField>
    <cacheField name="Descripción de Resultados PDES 2016 - 2020" numFmtId="0">
      <sharedItems containsBlank="1" containsMixedTypes="1" containsNumber="1" containsInteger="1" minValue="343" maxValue="343" count="345" longText="1">
        <s v="Se ha reducido al 9,5% la población en situación de pobreza extrema."/>
        <s v="Se ha disminuido al 24% la población en situación de pobreza moderada."/>
        <s v="Se ha reducido hasta un 22% las Necesidades Básicas Insatisfechas (NBI)."/>
        <s v="Se ha reducido hasta 25 veces la relación de ingresos entre el 10% más rico y el 10% más pobre."/>
        <s v="Se ha cubierto al menos el 80% de los hogares más pobres y vulnerables con programas sociales."/>
        <s v="Se ha ampliado el apoyo integral a niñas, niños abandonados"/>
        <s v="Se ha promovido la incorporación de niñas y niños en situación de calle en familias sustitutas."/>
        <s v="Se ha incrementado la cobertura de programas y servicios de Desarrollo Infantil Temprano (DIT) en niñas y niños menores de 4 años."/>
        <s v="Se ha promovido el apoyo y atención integral a niñas, niños, jóvenes y adolescentes en situación de calle."/>
        <s v="Se ha promovido el acceso de personas con discapacidad registradas en programas integrales de inclusión social basados en la comunidad."/>
        <s v="Se han impulsado programas de rehabilitación basados en la comunidad para la restitución y el ejercicio de los derechos de las personas con discapacidad"/>
        <s v="Se ha fortalecido el apoyo integral para personas adultas mayores en centros de acogida y otros espacios para su ejercicio al derecho a una vejez digna"/>
        <s v="Se ha recuperado, fortalecido e incrementado la práctica de al menos 5 valores compartidos y prácticas comunitarias: ayni, mink´a, tama, thumpa, arete guasu y apthapi, en organizaciones barriales, comunitarias, instituciones públicas, privadas, municipios y organizaciones sociales."/>
        <s v="Se ha fortalecido la práctica y promoción de las múltiples expresiones culturales que constituyen el patrimonio material e inmaterial del Estado Plurinacional (arte, textil, pinturas, danzas, música, vestimenta, pensamiento, oralidad, memorias, y otras)"/>
        <s v="Los maestros promueven valores comunitarios, solidaridad y cooperación, están implementando la nueva currículo del Sistema Educativo Plurinacional."/>
        <s v="La sociedad boliviana, sus organizaciones e instituciones practican el equilibrio y la complementariedad de género y generacional para el Vivir Bien"/>
        <s v="Comunidades interreligiosas, juveniles, barriales, comunales efectúan acciones de servicio comunitario en solidaridad, respeto, armonía y apoyo mutuo"/>
        <s v="Se ha logrado la recuperación de las identidades individuales y colectivas para el fortalecimiento de la identidad plurinacional."/>
        <s v="Todas las comunidades indígena originarias liberadas han sido fortalecidas con capacidades integrales para la gestión de los nuevos asentamientos  "/>
        <s v="Naciones y pueblos indígena originarios en situación de alta vulnerabilidad y formas de vida transfronterizas han sido beneficiados con la implementación de políticas y programas estatales de protección, fortalecimiento y salvaguarda de sus sistemas de vida."/>
        <s v="Se han eliminado las relaciones de servidumbre en actividades agrícolas y ganaderas."/>
        <s v="Se ha avanzado significativamente hacia la reducción de la Trata y Tráfico de Personas y delitos conexos."/>
        <s v="Se ha avanzado significativamente en la erradicación de la explotación laboral de los niños y adolescentes trabajadores"/>
        <s v="Se ha avanzado sustancialmente en la reducción de la violencia escolar en centros educativo y en la erradicación de toda forma de abuso, agresión, acoso y violencia por discriminación y racismo en instituciones públicas, privadas y centros laborales."/>
        <s v="Instituciones estatales y privadas de servicio público previenen, protegen y sancionan conductas de maltratos, racistas y discriminatorias."/>
        <s v="Instituciones del Sistema Educativo y de profesionalización implementan políticas y currículas de prevención y lucha contra el racismo y toda forma de discriminación."/>
        <s v="Los medios de comunicación públicos y privados, implementan programas de sensibilización y prevención del racismo y discriminación."/>
        <s v="Se ha promovido el respeto, la solidaridad y los derechos de las personas respecto a su orientación sexual e identidad de género"/>
        <s v="Todas las mujeres que acuden a las instancias públicas a denunciar hechos de violencia reciben asistencia legal y psicológica, reduciendo el porcentaje de mujeres y niñas que han sufrido violencia física, psicológica y/o sexual."/>
        <s v="Se ha incrementado en la población boliviana la practica de valores, principios y códigos ancestrales (ama suwa, ama llulla, ama qhilla), del respeto a una/uno mismo, a las/los demás, a la Madre Tierra y lo sagrado. "/>
        <s v="Se ha reducido el consumo de bebidas alcohólicas que genera violencia y el expendio de otras bebidas nocivas para la salud."/>
        <s v="Se ha promovido la construcción de una sociedad menos consumista y menos individualista."/>
        <s v="Se han constituido centros comunitarios, vecinales, urbanos y rurales e implementado acciones preventivas de situaciones de racismo, autoritarismo, machismo y fascismo, violencia familiar y con capacidad de atención a denuncias y demandas de violencia familiar contra mujeres, niñas, niños y adolescentes, adultos mayores y personas con discapacidad."/>
        <s v="Todas las instituciones públicas, incluyendo establecimientos educativos previenen y sancionan conductas de acoso y autoritarismo."/>
        <s v="Se han implementado mecanismos y políticas para lograr la complementariedad de género y generacional."/>
        <s v="Se aplican de prácticas, valores ancestrales y constitucionales, saberes y conocimientos que promueven la construcción del nuevo ser humano integral en la sociedad boliviana hacia el Vivir Bien."/>
        <s v="Se combaten prácticas colonialistas, patriarcales y excluyentes en las entidades públicas, privadas, sociales, comunitarias y educativas."/>
        <s v="Se ha avanzado sustancialmente en la consolidación del nuevo Modelo de Estado Plurinacional Descolonizado y Despatriarcalizado en el territorio Nacional."/>
        <s v="El 95% de la población urbana cuenta con servicios de agua potable."/>
        <s v="80% de la población rural cuentan con servicios sostenibles de agua segura."/>
        <s v="El 70% de la población urbana cuenta con servicios de alcantarillado y saneamiento."/>
        <s v="El 60% de la población rural cuenta con servicios de alcantarillado y saneamiento."/>
        <s v="Se ha ampliado el servicio de telefonía móvil en localidades con población mayor a 50 habitantes."/>
        <s v="Se ha ampliado el servicio de telefonía e internet en localidades con población mayor a 50 habitantes."/>
        <s v="Se ha alcanzado un 97% de cobertura de energía eléctrica y luz a nivel nacional."/>
        <s v="Se ha logrado el 100% de cobertura de energía eléctrica y luz en el área urbana."/>
        <s v="Se ha alcanzado el 90% de cobertura de energía eléctrica y luz en el área rural."/>
        <s v="Se ha conectado a las poblaciones del país interna y externamente mediante la construcción de accesos, vías, caminos y sistemas de transporte aéreos, fluviales, ferroviarios y por cable."/>
        <s v="Dobles vías"/>
        <s v="Corredor Bioceánico."/>
        <s v="Corredor Norte – Sur."/>
        <s v="Corredor Oeste – Norte."/>
        <s v="Diagonal Jaime Mendoza."/>
        <s v="Conexiones de Capitales de Departamento."/>
        <s v="Integración de Regiones Productivas y la “Y” de la Integración."/>
        <s v="Puentes y accesos."/>
        <s v="Se ha avanzado en las gestiones para la construcción del Corredor Ferroviario Bioceánico Central (CFBC) Brasil – Bolivia - Perú que une el Puerto de Santos (Brasil) con el Puerto de Ilo (Perú)."/>
        <s v="Se ha construido el tramo ferroviario para el transporte urbano en los departamentos de Cochabamba y Santa Cruz, con la finalidad de articular las redes ferroviarias."/>
        <s v="Se ha avanzado en la construcción del tramo ferroviario Motacucito – Mutún – Puerto Busch, lo que contribuirá al desarrollo de la industria siderúrgica del país, a través de la ejecución del proyecto industrial del Mutún."/>
        <s v="Se ha construido el tramo ferroviario Montero – Bulo Bulo, el cual contribuirá a la interconexión del CFBC."/>
        <s v="Se han rehabilitado vías navegables en los ríos Ichilo - Mamaré y Beni y el dragado del Canal Tamengo I Fase."/>
        <s v="Se han construido 3 nuevos puertos en su primera fase."/>
        <s v="Se ha desarrollado zonas francas portuarias en aguas internacionales a través de convenios."/>
        <s v="Se ha puesto en marcha la terminal de carga en Puerto Busch."/>
        <s v="Se han construido 6 nuevas líneas de teleférico en las ciudades de La Paz y El Alto y nuevas líneas de transporte aéreo por cable en otras ciudades."/>
        <s v="Se ha iniciado la construcción de teleféricos en otras ciudades del país: Oruro, Potosí y Sucre."/>
        <s v="Se han construido, ampliado y equipado 6 aeropuertos internacionales: 3 en construcción y 3 en ampliación y equipamiento."/>
        <s v="Se han construido, ampliado y equipado 12 aeropuertos nacionales y turísticos del país: 5 construidos y equipados y 7 ampliados y equipados. 1 aeropuerto en estudio de pre inversión."/>
        <s v="Se ha implementado 1 HUB intercontinental en el aeropuerto de Viru Viru – Santa Cruz."/>
        <s v="Se han construido 3 corredores con plataformas logísticas en el país."/>
        <s v="Se ha reducido al menos 10% del déficit habitacional del país."/>
        <s v="Se han construido 51.290 viviendas nuevas: unifamiliares, multifamiliares y complejos habitacionales, así como reposición por atención de desastres."/>
        <s v="Se han mejorado, ampliado y/o renovado 63.710 viviendas con eficiencia energética."/>
        <s v="La cobertura de gas domiciliario llega al menos al 50% de los hogares."/>
        <s v="1,08 millones de viviendas cuentan con gas domiciliario con Sistema Convencional de Distribución."/>
        <s v="100 mil viviendas cuentan con gas domiciliario bajo el Sistema Virtual de Distribución o GNL"/>
        <s v="Se implementará el Servicio de Salud Universal"/>
        <s v="La mayor parte de la población accede a medicamentos."/>
        <s v="La mayor parte de los municipios implementan el Programa MI SALUD."/>
        <s v="La mayor parte de los municipios están conectados y equipados a la Red TELESALUD"/>
        <s v="Se ha reducido en al menos 30% la mortalidad infantil (a 35 muertes por mil nacimientos)"/>
        <s v="Se ha reducido en al menos 50% la razón de mortalidad materna (a 115 muertes por cien mil nacimientos)"/>
        <s v="Se ha incrementado la cobertura de parto institucional."/>
        <s v="Se ha reducido la proporción de adolescentes embarazadas."/>
        <s v="La mayor parte de los municipios cuentan con planes municipales de salud con enfoque intersectorial ejecutado."/>
        <s v="Se ha reducido la incidencia de casos y defunciones de enfermedades transmisibles."/>
        <s v="Se ha reducido la incidencia de casos y defunciones de enfermedades no transmisibles."/>
        <s v="Al menos 90% de los establecimientos de salud reportan información al Sistema Único de Información en Salud (SUIS)."/>
        <s v="Se ha invertido $us1.700 millones en la construcción, ampliación y equipamiento de 47 institutos y hospitales de salud de forma concurrente con las ETAs."/>
        <s v="Se han construido 4 Institutos de 4to. Nivel de Salud: Oncología, Cardiología, Gastroenterología y Nefrourología – Neurología. Se han construido y ampliado 12 hospitales de 3er. Nivel. Se han construido, ampliado y equipado 31 hospitales de 2do. Nivel."/>
        <s v="Se han construido, ampliado y equipado 180 establecimientos de salud de 1er. Nivel y se han elevado 1.430 Puestos de Salud a la categoría de Centros de Salud, con recursos de los Gobiernos Autónomos Municipales."/>
        <s v="Se han creado nuevos ítems para personal de salud, incluyendo plazas para especialistas y subespecialistas."/>
        <s v="Se han instalado nuevas unidades de hemodiálisis y laboratorios de histocompatibilidad"/>
        <s v="Se ha puesto en funcionamiento un Centro de Saberes de Medicina Tradicional Ancestral Boliviana."/>
        <s v="Se ha inscrito el 90% de las niñas, niños, adolescentes y jóvenes entre 4 y 17 años en el Subsistema de Educación Regular."/>
        <s v="Se ha incrementado el número de personas que concluyen la post-alfabetización (equivalente al 6° grado del nivel primario)."/>
        <s v="Estudiantes con discapacidad, talento extraordinario y con dificultades de aprendizaje reciben atención oportuna y pertinente."/>
        <s v="Se incrementará en al menos 40% el porcentaje de jóvenes entre 19 y 23 años inscritos en universidades, institutos técnicos u otros del nivel superior."/>
        <s v="Personas con 15 años o más acceden a formación técnica tecnológica productiva en la educación alternativa."/>
        <s v="Se han creado 4 nuevas Escuelas Bolivianas Interculturales (EBI) para la formación artística a nivel licenciatura (teatro, artes plásticas, danza, cine y audiovisuales)."/>
        <s v="Se han atendido a hijas e hijos de privados de libertad a través de Centros de apoyo Integral Pedagógico (CAIP)."/>
        <s v="La mayor parte de las unidades educativas y centros educativos del Sistema Educativo Plurinacional implementan el Modelo Educativo Socio comunitario Productivo."/>
        <s v="Las unidades educativas y centros educativos cuentan con infraestructura complementaria, materiales, equipos y mobiliario."/>
        <s v="La mayoría de maestras y maestros han concluido su formación complementaria (PROFOCOM), cuentan con formación técnica para el bachillerato técnico humanístico o han concluido con la formación pos gradual en sus especialidades."/>
        <s v="Todas las unidades educativas de secundaria participan en las olimpiadas científicas estudiantiles."/>
        <s v="Al menos el 80% de las unidades educativas cuentan con bachillerato técnico humanístico."/>
        <s v="Más de 100.000 personas han concluido el bachillerato técnico - humanístico, y han recibido sus títulos profesionales de técnico básico y técnico medio."/>
        <s v="Al menos 300 unidades, comunidades y asociaciones productivas socio comunitarias de producción y productividad constituidas, implementan proyectos productivos y tecnologías propias."/>
        <s v="Al menos 500 profesionales de excelencia de todo el país beneficiados con becas de postgrado (maestrías y doctorados), en las mejores universidades extranjeras."/>
        <s v="Se ha incorporado a la mayoría de los pueblos y naciones indígena originario campesinos con su lengua, cultura, conocimientos y saberes en los procesos educativos del Sistema Educativo Plurinacional, creándose nuevos institutos de lenguas y culturas para recuperar, revitalizar, normalizar, promocionar e investigar las lenguas indígenas."/>
        <s v="Se han construido y equipado 75 Institutos Técnico – Tecnológicos para la formación técnica – tecnológica superior."/>
        <s v="La población boliviana accede a infraestructura deportiva de calidad dotada por el nivel central y las Entidades Territoriales Autónomas para practicar o formarse en el deporte."/>
        <s v="Al menos 40% de bolivianas y bolivianos desarrollan regularmente actividades físico deportivas"/>
        <s v="Un número importante de deportistas desarrollan sus actividades deportivas con programas de entrenamiento competitivo."/>
        <s v="Unidades educativas públicas y privadas cuentan con programas deportivos específicos."/>
        <s v="Se ha incrementado el número de deportistas de alto rendimiento que participan en competiciones internacionales."/>
        <s v="Se han detectado de forma progresiva estudiantes deportistas a temprana edad con potencialidades deportivas."/>
        <s v="Se ha beneficiado a un número importante de deportistas con becas para procesos de formación en Bolivia o en el extranjero"/>
        <s v="Se han capacitado técnicos del deporte, entrenadores deportivos, y profesores de educación física con especialidad escolar adicionales para el perfeccionamiento del deporte."/>
        <s v="Los complejos productivos y las empresas reciben servicios de transferencia tecnológica."/>
        <s v="El satélite Tupac Katari se encuentra en plena capacidad operativa."/>
        <s v="Se cuenta con la Nube Soberana de Gobierno Electrónico para gestión, almacenamiento y seguridad de la información del Estado."/>
        <s v="Se ha concluido la Primera fase de la Ciudadela del Conocimiento Científico y la Tecnología."/>
        <s v="Se ha instalado el Complejo Industrial Farmacéutico para la producción de medicamentos"/>
        <s v="La Agencia de Gobierno Electrónico y Tecnologías de Información y Comunicación se encuentra operando."/>
        <s v="El Estado Plurinacional de Bolivia cuenta con acceso a la información y a la comunicación"/>
        <s v="Se ha concluido la primera fase de la Televisión Digital Libre en capitales de departamento y El Alto "/>
        <s v="Se ha innovado y diseminado tecnología para incrementar la productividad, capacidad productiva y transformación de productos nutritivos (papa, quinua, maíz, trigo, coca, tarwi, asaí, amaranto, millmi, kañawa, chía, entre otros), considerando la gestión de riesgos y el cambio climático."/>
        <s v="Se han elaborado y diseminado paquetes tecnológicos intercientíficos y de diálogo de saberes que incluyen prácticas para mejorar la producción y productividad agropecuaria con resiliencia al cambio climático, en diferentes pisos ecológicos: andenes, camellones, sistemas hidráulicos moxeño-amazónicos, sistemas de acopio (pirwas) y conservación de alimentos."/>
        <s v="Se han constituido 9 multicentros de producción agroecológica articulados al INIAF."/>
        <s v="La población boliviana tiene acceso a terapias ancestrales y productos naturales tradicionales a través del Sistema Nacional de Salud."/>
        <s v="Los prestadores de medicina tradicional han sido registrados en el Ministerio de Salud."/>
        <s v="Se han desarrollado productos naturales y de la biodiversidad de la farmacopea boliviana."/>
        <s v="Todas las entidades y empresas vinculadas al sector productivo, agua, medio ambiente, telecomunicaciones, salud y otros asignarán un porcentaje de sus recursos dirigido a la investigación científica y desarrollo de tecnología."/>
        <s v="Las empresas públicas y centros de innovación tecnológica nacional y de los gobiernos autónomos han incorporado profesionales con alto grado de formación científica y tecnológica."/>
        <s v="Se ha preservado y consolidado la gestión soberana en la formulación de políticas macroeconómicas que generen las condiciones para el crecimiento económico sostenido del país."/>
        <s v="Se ha preservado y consolidado la gestión prudente en la contratación de deuda pública para garantizar sus fuentes de financiamiento (internas y externas) y una administración sostenible y solvente en el pago de la misma."/>
        <s v="Se ha consolidado el acceso a fuentes alternativas de financiamiento externo en condiciones ventajosas para el Estado Plurinacional de Bolivia"/>
        <s v="Se ha alcanzado mayores índices de Profundización Financiera: • 60% de la cartera está destinada a los sectores productivos y vivienda de interés social (Banca Múltiple). • 50% de la cartera destinada a micro, pequeñas y medianas empresas del sector productivo (Banca PyME). • 50% de la cartera destinada a Vivienda (Entidades Financieras de Vivienda). • 75% del total de municipios cubiertos con atención de servicios financieros."/>
        <s v="Al menos 40% de la Inversión Extranjera Directa (IED) ha contribuido a diversificar la matriz productiva del país y genera valor agregado (complejos productivos industriales, de servicios y turismo); a través de sociedades en empresas estatales mixtas, en alianza con el nivel central de Estado y Entidades Territoriales Autónomas."/>
        <s v="Se ha logrado que la Inversión Extranjera directa (IED) alcance a por lo menos el 8% del PIB"/>
        <s v="Se ha alcanzado un 19,3% del PIB en Reservas Financieras Internacionales (REFI) garantizando suficiente solvencia y liquidez para atender la demanda regular de divisas en las transacciones internas de la economía y en las relaciones del Estado con el exterior."/>
        <s v="Se ha incrementado de forma significativa la participación de la producción nacional en el mercado interno y masificado la distribución de alimentos estratégicos para la población con calidad a peso y precio justo."/>
        <s v="Se ha reforzado, mejorado y ampliado la infraestructura y centros de abastecimiento por parte de los gobiernos autónomos municipales."/>
        <s v="Se ha fomentado la comercialización de productos ecológicos y orgánicos, mediante el sello social boliviano y el sello ecológico boliviano."/>
        <s v="Se han protegido los Derechos del Usuario(a) y del Consumidor(a) incrementándose el número de usuarias(os) y consumidoras(es) atendidos por los centros de defensa."/>
        <s v="Se han realizado los estudios para el desarrollo integral de industrias derivadas de los 5 Complejos Productivos Industriales Estratégicos (complejo del gas, complejo del acero, complejo del litio, complejo metalúrgico y complejo de energía)."/>
        <s v="Se ha avanzado en la implementación de por lo menos dos rubros vinculados a los Complejos Productivos Industriales Estratégicos priorizados, incluyendo desarrollo tecnológico con soluciones limpias y reducción de emisiones de gases de efecto invernadero."/>
        <s v="Se ha avanzado significativamente para que $us10.000 MM del PIB correspondan al sector agropecuario y agroindustrial en el futuro inmediato."/>
        <s v="Se ha logrado que al menos 14,4% del PIB corresponda a la industria manufacturera."/>
        <s v="Se han puesto en funcionamiento por lo menos 13 Complejos Productivos Territoriales priorizados."/>
        <s v="Se ha logrado generar un ingreso por turismo receptivo de $us1.581 MM"/>
        <s v="Se ha incrementado el número de turistas extranjeros a 2,6 millones."/>
        <s v="Se ha logrado un flujo de 4,5 millones de turistas nacionales."/>
        <s v="Se ha mejorado y ampliado la infraestructura y servicios turísticos con inversiones del sector privado y comunitario."/>
        <s v="Se ha alcanzado progresivamente una superficie cultivada de 4,7 millones de hectáreas."/>
        <s v="Se ha incrementado la producción agrícola a 24,3 millones de toneladas métricas de los productos amazónicos y andinos, incluyendo: trigo, soya, maíz, quinua, tomate, papa, café y otros."/>
        <s v="Se ha alcanzado un 10% de participación de la producción orgánica en el volumen total de producción agrícola."/>
        <s v="Se ha incrementado significativamente el rendimiento promedio de los principales grupos de cultivos agrícolas."/>
        <s v="Se ha incrementado la contribución de pequeños productores de agricultura familiar comunitaria en la producción total agropecuaria"/>
        <s v="Se ha alcanzado 3,8 millones de hectáreas de superficie mecanizada con mejor producción a través del fortalecimiento de la agricultura familiar con tecnología mecanizada y transferencia de maquinaria y equipos a pequeños y medianos productores del país."/>
        <s v="Se han alcanzado 1 millón de hectáreas que cuentan con sistemas ganaderos con manejo integral y prácticas semi - intensivas."/>
        <s v="Se ha incrementado el número de cabezas de ganado bovino, ovino, porcino, camélido, pollos y la actividad piscícola.   "/>
        <s v="Se ha alcanzado 700 mil Ha. de superficie con riego, con participación de las Entidades Territoriales Autónomas y del sector privado con una ampliación de 338 mil Ha. hasta el 2020, comprendiendo la producción de arroz bajo riego inundado, sistemas de riego revitalizados, riego tecnificado de hortalizas y frutales, sistema de riego con represas, riego a través de reúso de aguas residuales, cosecha de agua y proyectos multipropósito."/>
        <s v="Se ha alcanzado progresivamente una mayor participación del sector forestal en el PIB."/>
        <s v="Se han fortalecido las capacidades institucionales, financieras, técnicas y tecnológicas para el crecimiento de la industria forestal maderable y no maderable con alto valor agregado."/>
        <s v="Se ha logrado manejo integral y sustentable de los componentes del bosque en 13 MM de Ha., que garantizan la conservación y protección del bosque, la producción de alimentos, aportan a la economía familiar y reducen su vulnerabilidad a fenómenos adversos del cambio climático."/>
        <s v="Se ha logrado el manejo en sistemas agroforestales (café, cacao, frutas tropicales, entre otros) en al menos 200 mil Ha. de superficie de bosque"/>
        <s v="Se ha logrado que 70% de los productores agroindustriales y ganaderos implementen sistemas de producción sustentables reduciendo su vulnerabilidad y aumentando su resiliencia al cambio climático."/>
        <s v="Se ha incrementado a 500 mil Ha. la superficie con recuperación de suelos deteriorados y degradados."/>
        <s v="Se han incrementado el rendimiento promedio de los productos agrícolas más importantes vinculados con la seguridad alimentaria (cereales, estimulantes, hortalizas, frutales, oleaginosas, tubérculos y forrajes, entre otros)."/>
        <s v="Se ha logrado que al menos 50% de unidades productivas accedan al Seguro Agrario en sus modalidades de seguro catastrófico y comercial."/>
        <s v="La mayoría de productores de la agricultura familiar (OECAS, OECOMS y otros de la economía social comunitaria) han sido registrados y son fortalecidos en la gestión de compras y ventas públicas, sello social, asistencia técnica y apoyo integral&quot;"/>
        <s v="Se ha logrado ofertar mayores créditos sectoriales para el acceso de productores agropecuarios, con apoyo del sector público y privado."/>
        <s v="Se ha alcanzado a 400 mil unidades productivas, incluyendo familias indígena originario campesinas con acceso a programas de insumo, tecnología, servicios de apoyo a la producción y otros (SENASAG, INIAF, etc.)."/>
        <s v="Se han desarrollado innovaciones para mejorar la productividad y conservación, e inocuidad alimentaria y potencial nutritivo de alimentos y especies para la vida con tecnología nuclear."/>
        <s v="Se ha concluido con el proceso de saneamiento y titulación de tierras en el país."/>
        <s v="Se ha incrementado la superficie consolidada con asentamientos humanos."/>
        <s v="Se han ampliado y construido centros de acopio de granos en varios municipios."/>
        <s v="Se ha incrementado a $us3.644 MM el Valor Bruto de Producción de las MyPEs."/>
        <s v="Se ha alcanzado a 10% de participación del valor de las exportaciones de las MyPEs y PyMEs."/>
        <s v="Se han mejorado los procesos de producción en las MyPEs."/>
        <s v="Se han fortalecido de forma complementaria las economías del intercambio y de la solidaridad."/>
        <s v="Se ha incrementado en PyMEs hasta:• 30% el acceso a financiamiento• 20% el acceso a formación• 20% acceso a tecnología."/>
        <s v="Se ha incrementado en MyPEs hasta:• 35% el acceso a financiamiento• 15% el acceso a formación• 10% acceso a tecnología."/>
        <s v="Se ha reducido a 6,3% la tasa de desempleo en jóvenes de 16 a 28 años."/>
        <s v="Se ha logrado incrementar la población ocupada que cuenta con seguridad social de corto y largo plazo."/>
        <s v="Se ha logrado que las comunidades y municipios más pobres superen la extrema pobreza de forma sustentable."/>
        <s v="Se ha logrado que los Departamentos que no corresponden al eje central incrementen su participación en el PIB con énfasis en sectores productivos y turismo articulados a los complejos productivos integrales."/>
        <s v="Se ha incrementado al 28% la participación del valor de las exportaciones de la industria manufacturera en el total exportado."/>
        <s v="Se ha incrementado al 12% la participación en las exportaciones de los productos orgánicos."/>
        <s v="Se han alcanzado 800 mil TM de volumen de exportación de productos agropecuarios."/>
        <s v="Se  cuenta  con  empresas  públicas  que  generan utilidades para su redistribución en políticas sociales, para el beneficio de todas las bolivianas y bolivianos. "/>
        <s v="Las  empresas  públicas  han  migrado  al  nuevo régimen  legal  de  la  empresa  pública;  y  se  han fortalecido, a  través de alianzas estratégicas público - privadas con inversión nacional y extranjera. "/>
        <s v="Se han fortalecido YPFB, ENTEL, ENDE y BOA."/>
        <s v="Se ha refundado COMIBOL. "/>
        <s v="Se  ha  invertido  en:  exploración,  explotación  y desarrollo, refinación, transporte, comercialización, almacenaje,  redes  de  gas,  industrialización  e inversiones  menores  en  el  sector  de hidrocarburos.  "/>
        <s v="Se  han  incrementado  las  reservas  probadas  de gas natural a 17,45 trillones de pies cúbicos. "/>
        <s v="Se  han  incrementado  las  reservas  probadas  de hidrocarburos líquidos a 411 millones de barriles. "/>
        <s v="Se ha incrementado la producción de gas natural a mínimo 73 millones de metros 3/día. "/>
        <s v="Se  ha  incrementado  la  producción  de hidrocarburos líquidos a mínimo 69 mil barriles/día"/>
        <s v="Se  ha  incrementado  la  producción  de  derivados como el GLP a mínimo 820 mil TM.  "/>
        <s v="La  producción  de  urea  alcanzará  a  600  mil TM/año.  "/>
        <s v="Se ha incrementado el valor total de la producción proveniente  del  gas  natural,  diésel  oíl,  gasolina especial y urea. "/>
        <s v="Se  encuentran  en  operación  las  Plantas  de separación  de  líquidos  Gran  Chaco,  Amoniaco  y Urea, y de Gas Natural Licuado. "/>
        <s v="Se  encuentra  en  construcción  el  Complejo  de Propileno – Polipropileno.  "/>
        <s v="Se  encuentran  en  estudio  los  Proyectos  de Resinas y Plásticos, Planta de Nitrato de Amonio y Complejo de Metanol.  "/>
        <s v="Se  ha  construido  el  gasoducto  de  Incahuasi  –  Cochabamba,  Sucre  –  Potosí,  gasoductos  de interconexión  al  Mutún,  Amoniaco  –  Urea  e interconexión a la fábrica de cemento en Oruro. "/>
        <s v="Se han realizado estudios para la construcción del aumento  de  capacidad  del  gasoducto  Transierra, estudio de  logística de  transporte para el proyecto Lliquimuni  y  estudio  de  interconexión  Gasoducto Incahuasi  – Cochabamba  con Gasoducto  del Sur Andino del Perú. "/>
        <s v="Se ha avanzado en el estudio para la construcción  de una refinería en La Paz (Proyecto Lliquimuni). "/>
        <s v="Se  han  incrementado  las  reservas  existentes  de plata,  plomo,  zinc,  cobre,  antimonio,  estaño,  oro  e indio  en  aproximadamente  1.060  millones  de toneladas métricas.   "/>
        <s v="Se  han  ampliado  las  reservas  a  través  de actividades  de  prospección  y  exploración  en  las empresas  mineras  estatales,  privadas  y cooperativas mineras.  "/>
        <s v="Se  ha  desarrollado  la  industrialización  y  transformación lográndose que al menos el 80% de los minerales  sean  exportados  con  un  proceso  de agregación de valor. "/>
        <s v="Se  han  implementado  y  han  entrado  en  operación  nuevas  plantas  de industrialización  y transformación  con  mayor  diversificación:  Planta  industrial  La Salmuera  del Salar  de Uyuni  (cloruro de potasio y sulfato de potasio), Planta Piloto Salar de  Coipasa  en  Oruro,    Planta  industrial  de carbonato  de  litio  en  La Palca,   Planta  siderúrgica  del Mutún, Plantas de fundición y refinación de zinc  en Oruro y Potosí y Planta de Alambrón en La Paz. "/>
        <s v="Se ha incrementado la capacidad de transformación (Vinto,  Karachipampa)  y  producción  (Colquiri, Huanuni  y  Coro  Coro)  de  las  empresas mineras estatales, privadas y cooperativas mineras."/>
        <s v="Se ha alcanzado una potencia efectiva de hasta 4.878 MW para garantizar el abastecimiento de a demanda  interna y generar excedentes para  a  exportación mediante  la  implementación  de proyectos  de  generación.  Se  ha  incrementado la  generación  de  electricidad  a  2.954  MW  en Hidroeléctricas,  Termoeléctricas  y  Energías Alternativas. "/>
        <s v="Se  ha  incrementado  la  potencia  efectiva  que permite  la generación de 2.592 MW de energía eléctrica  para  la  exportación  a  países  vecinos, posicionando al país como centro energético de la región. "/>
        <s v="Se  ha  extendido  las  líneas  de  transmisión  adicionales  de  4.043km  (2.822km  Nacional  y 1.221km de Exportación),  totalizando 7.483km. Ampliando  el  sistema  de  transmisión  y mejorando  la  confiabilidad  en  el  suministro  de energía en nuestro país. "/>
        <s v="Se  ha  implementado  y  se  ha  puesto  en  operación  el  Centro  de  Investigación  y Desarrollo en Tecnología Nuclear. "/>
        <s v="Se ha  realizado un estudio de  identificación de alternativas de otras aplicaciones en  tecnología nuclear, para fines pacíficos. "/>
        <s v="Se ha instalado 1 Centro de Medicina Nuclear."/>
        <s v="Se ha disminuido a 9% el porcentaje de niñas y niños menores de cinco años con desnutrición crónica.  "/>
        <s v="Se  ha  reducido  a  10%  la  población  con subalimentación. "/>
        <s v="Se  ha  disminuido  a  30%  la  prevalencia  de  niños  con anemia. "/>
        <s v="Se ha reducido a 3,5% de niñas y niños con sobrepeso u obesidad. "/>
        <s v="Se  ha  reducido  a  35%  el  porcentaje  de mujeres  con sobrepeso u obesidad. "/>
        <s v="Se  promoverá  el  aumento  de  la  lactancia  materna exclusiva a 84%. "/>
        <s v="Se  ha  logrado  que  el  50%  de  los  estudiante practiquen hábitos alimentarios saludables. "/>
        <s v="Se ha  logrado que  la mayoría   de estudiantes  reciban Alimentación  complementaria Escolar por más de 150 días al año.  "/>
        <s v="Se  ha  logrado  que  los  municipios  realicen  compras  locales para la Alimentación Complementaria Escolar. "/>
        <s v="Se ha capacitado a maestras y maestros en educación alimentaria. "/>
        <s v="Se ha  incrementado a 721.000 TM  la producción de trigo  reduciéndose  el  déficit  en  la  producción  con destino al consumo nacional. "/>
        <s v="Se  ha  incrementado  la  producción  de  productos claves como el trigo, soya, maíz, quinua y papa.   "/>
        <s v="Se  ha  incrementado  sustancialmente  la  producción piscícola  para  contribuir  a  un  cambio  gradual  en  el consumo de mayor pescado en todo el país. "/>
        <s v="Se  ha  diversificado  la  producción  en  el  país  manteniéndose  la  variedad  de  semillas  nativas  y locales y la producción ecológica y orgánica. "/>
        <s v="Se  ha  incrementado  la  capacidad  de  almacenamiento  del  Estado  en  productos estratégicos para la soberanía alimentaria. "/>
        <s v="Se  han  recuperado  tradiciones  alimentarias  de  los diferentes departamentos, regiones y culturas. "/>
        <s v="Se  han  fortalecido  bancos  de  semillas  comunales para la producción diversificada de alimentos locales."/>
        <s v="Se ha fomentado e incrementado la comercialización  de  productos  locales  en  los mercados  y  centros  de abasto. "/>
        <s v="Se  ha  fomentado  el  consumo  de  alimentos  locales  nutritivos y saludables. "/>
        <s v="Se  ha  implementado  la  Política  de  Alimentación  y Nutrición en el marco del CONAN. "/>
        <s v="Se han fortalecido  los Consejos Departamentales de Alimentación  y  Nutrición  (CODAN)  y  los  Consejos Municipales de Alimentación y Nutrición (COMAN) en su rol de articulación. "/>
        <s v="Se ha avanzado en el reconocimiento internacional del Vivir Bien en armonía con la Madre Tierra en foros de Naciones Unidas."/>
        <s v="Se ha avanzado en la construcción de una declaración universal de armonía con la naturaleza."/>
        <s v="Se han reconocido enfoques e instrumentos no basados en los mercados y alternativos al pago por servicios ecosistémicos."/>
        <s v="Se ha promovido el reconocimiento de los conocimientos, prácticas, tecnologías y acción colectiva de los pueblos indígenas y comunidades locales."/>
        <s v="El desarrollo integral y económico - productivo ha considerado en su planificación la gestión de los sistemas de vida."/>
        <s v="Al menos el 30% de las industrias en el país (grandes, medianas y pequeñas) avanzan de forma progresiva en la utilización de tecnologías y procesos industriales limpios y ambientalmente apropiados."/>
        <s v="Los planes e instrumentos de planificación integral sectorial, territorial y de inversión pública han incorporado la gestión de sistemas de vida, gestión de riesgos y cambio climático, y elementos de regeneración y restauración de zonas de vida, fortaleciendo los procesos económico - productivos con una visión integral."/>
        <s v="Se han transformado y restructurado los procesos de gestión ambiental, implementando procedimientos ambientales eficaces y eficientes en concurrencia con las ETA’s vinculadas a medidas de fiscalización, vigilancia y control ambiental."/>
        <s v="Se ha promovido la gestión de los procesos de remediación y disposición final de pasivos ambientales de alto riesgo (mineros, hidrocarburíferos, agroindustriales y otros)."/>
        <s v="Se ha consolidado el Sistema Plurinacional de Áreas Protegidas fortaleciendo la articulación entre el nivel central del Estado y las Entidades Territoriales Autónomas para un desarrollo progresivo de los mecanismos de protección y gestión de las funciones ambientales."/>
        <s v="Se ha avanzado sustancialmente en la erradicación de la extrema pobreza en áreas protegidas"/>
        <s v="Se han utilizado tecnologías adecuadas y limpias de última generación para minimizar el impacto negativo de actividades hidrocarburíferas dentro de las Áreas Protegidas."/>
        <s v="Se han consolidado acciones de control, monitoreo y fiscalización en las Áreas Protegidas priorizadas para las actividades hidrocarburíferas, desarrollando medidas de gestión integral de los sistemas de vida y medidas de aislamiento en las áreas de intervención."/>
        <s v="Se ha reducido sustancialmente el impacto destructivo y contaminador de sistemas productivos y otros que causan potenciales daños y afectaciones ambientales."/>
        <s v="Se han fortalecido los sistemas productivos ambientalmente amigables y con prácticas sustentables, priorizando la producción ecológica y orgánica."/>
        <s v="Se han restaurado y fortalecido sustancialmente las funciones ambientales, en las zonas y sistemas de vida."/>
        <s v="Se ha incrementado la capacidad de resiliencia de las zonas y sistemas de vida vinculada al cambio climático, incluyendo acciones de mitigación y adaptación conjunta y la gestión de riesgos."/>
        <s v="Se han promovido emprendimientos de conservación, uso y aprovechamiento sustentable de la diversidad biológica."/>
        <s v="Se ha desarrollado un manejo integral y sustentable de bosques y/o componentes de la Madre Tierra, implementando el enfoque conjunto de mitigación y adaptación al cambio climático."/>
        <s v="Se ha promovido la Gestión Integral de riesgos biológicos/bioseguridad para la conservación de los componentes y funciones ambientales."/>
        <s v="Se ha eliminado la deforestación ilegal en todo el territorio del Estado Plurinacional."/>
        <s v="Se ha ampliado en más de 750 mil  ha la cobertura forestal, en áreas de restauración, protección y regeneración, ornamentación, sistemas agroforestales y plantaciones comerciales, a través de acciones de forestación y reforestación."/>
        <s v="Se han implementado Centros de Producción Forestal para la transferencia tecnología de producción masiva y plantaciones forestales."/>
        <s v="Al menos 14 cuencas implementan planes y acciones de gestión integral."/>
        <s v="Al menos 225 micro cuencas intervenidas cuentan con acciones en gestión integral de recursos hídricos y manejo integral de cuencas."/>
        <s v="Al menos la mitad de sitios con humedales y bofedales (sitios Ramsar) se han incorporado gradualmente a procesos de manejo integral."/>
        <s v="Al menos el 30% de los municipios están articulados al Sistema de Prevención y Gestión de Riesgo Agropecuario (SIPGRA)."/>
        <s v="La mayoría de los municipios han promovido la cultura de prevención y resiliencia frente a riesgos de desastres."/>
        <s v="Al menos 30% de municipios de alto riesgo de desastres, han reducido su vulnerabilidad frente eventos adversos, hidrometeorológicos y climáticos, en el marco de acciones de gestión de riesgos y adaptación al cambio climático."/>
        <s v="La mayoría de los departamentos cuentan con Sistemas de Alerta Temprana – SAT consolidados e integrando los SATs municipales y/o mancomunidades al Sistema Nacional de Alerta Temprana para Desastres - SNATD."/>
        <s v="Se ha restaurado y reducido significativamente la contaminación de aire, agua y suelos en cuencas y se ha restaurado las zonas de vida con mayor impacto ambiental."/>
        <s v="Se ha incrementado y ampliado las zonas verdes, bosques urbanos y espacios públicos."/>
        <s v="Se han recuperado cuerpos de agua en al menos 5 cuencas (Rocha, Piraí, Guadalquivir, Katari y Cotagaita)."/>
        <s v="Se han consolidado procesos de gestión integral de residuos sólidos para el reciclaje, compostaje e industrialización, tratamiento y disposición final segura."/>
        <s v="Al menos 80 municipios implementan su gestión integral de residuos sólidos."/>
        <s v="Se han construido plantas de tratamiento de aguas residuales (PTAR) en las ciudades con mayor población."/>
        <s v="Se ha promovido activamente la incorporación de los principios de equidad y responsabilidades comunes pero diferenciadas, el fortalecimiento de medios de implementación, mecanismos no basados en el mercado, justicia climática y mecanismos de cumplimiento internacional, en las decisiones y resoluciones de la Convención Marco de Naciones Unidas sobre Cambio Climático (CMNUCC)."/>
        <s v="Se ha conformado el grupo de trabajo sobre armonía con la naturaleza que trabaja la propuesta de Declaración de los Derechos de la Madre Tierra."/>
        <s v="Se ha presentado la propuesta de Bolivia sobre la Declaración de los Derechos de la Madre Tierra al grupo de trabajo sobre Armonía con la naturaleza para su consideración en Naciones Unidas (NNUU)."/>
        <s v="Se ha consolidado la integración regional (comercial, social, inversiones, cooperación y participación de los pueblos), a través de acuerdos internacionales bajo principios de complementariedad y solidaridad en el marco de la soberanía de los pueblos."/>
        <s v="Se han fortalecido los mecanismos de integración regional, en el marco de la soberanía de los pueblos, sin hegemonismos imperiales entre ellos, UNASUR, CELAC, MERCOSUR, CAN y otros correspondientes a la cooperación Sur - Sur."/>
        <s v="Se ha constituido el Instituto Internacional de Descolonización y fortalecido otras instituciones y organizaciones de países en desarrollo incluyendo G77+China, MNOAL y otros. "/>
        <s v="Se ha fortalecido el ALBA - TCP y la CELAC como un instrumento de liberación de los pueblos promoviendo su liderazgo político e ideológico en la región y entre los países del sur."/>
        <s v="Se ha incorporado un enfoque integral (comercial, social, inversiones, cooperación y participación de los pueblos) en los mecanismos de integración bajo los principios de complementariedad y solidaridad hacia una cultura de paz y respeto a la vida."/>
        <s v="Se ha fortalecido nuestra diplomacia de los pueblos y nuestro país es un ejemplo en políticas sociales, económicas y ambientales anticapitalistas, antiimperialistas y anticolonialistas; Bolivia difunde y exporta sus políticas liberadoras y de soberanía de los pueblos en el mundo, en los organismos internacionales y a través de Naciones Unidas."/>
        <s v="Se ha participado activamente en la institucionalización y planes de acción de ALADI,  ALBA - TCP, UNASUR, CELAC, CAN y MERCOSUR."/>
        <s v="Se han incluido en Resoluciones de NNUU y la OEA propuestas de Bolivia relativas a la cultura de la vida, de paz y elementos del modelo civilizatorio del Vivir Bien."/>
        <s v="Se han ampliado y fortalecido las relaciones bilaterales con los Estados y pueblos del Mundo en el marco de la soberanía y la autodeterminación de los pueblos."/>
        <s v="Se ha promovido la apertura de nuevos mercados para la exportación de productos no tradicionales a través de las misiones diplomáticas en el exterior."/>
        <s v="Se ha promovido la “Red Regional y Subregional de Solidaridad” con miras a la creación de la Organización Mundial de los Pueblos."/>
        <s v="Se ha implementado progresivamente la Declaración de la Conferencia Mundial sobre los Pueblos Indígenas en 5 espacios multilaterales, regionales o subregionales."/>
        <s v="Se ha realizado el Encuentro Internacional de Pueblos sobre la Madre Tierra y el Cambio Climático promoviendo soluciones a la crisis climática desde la perspectiva de las organizaciones sociales y del Vivir Bien."/>
        <s v="Se ha consolidado la Red Consular Boliviana para la protección y asistencia de nuestros connacionales en el exterior."/>
        <s v="Se ha ampliado la cobertura a los compatriotas en el exterior que son atendidos por el servicio consular, para la protección de sus derechos."/>
        <s v="Se ha fortalecido el servicio consular boliviano, para que se adecue a las necesidades de la comunidad boliviana en el exterior."/>
        <s v="Se ha investigado, procesado y sancionado la mayor cantidad de hechos y delitos de corrupción, en coordinación con el Ministerio Público y Órgano Judicial, entre otras."/>
        <s v="Se ha recuperado una cantidad importante de recursos públicos por daño económico al Estado."/>
        <s v="Se ha implementado un modelo de servicio público inclusivo, intercultural y comprometido con la concreción del Vivir Bien."/>
        <s v="Se han vinculado instituciones públicas a la Plataforma Electrónica y se ha implementado el Gobierno Electrónico para una gestión pública eficiente (trámites ágiles y mejores servicios) y transparente (acceso a la información), facilitando su evaluación."/>
        <s v="Se ha iniciado un proceso de cambio tecnológico para lograr la soberanía en la gestión de información y del conocimiento (uso del software libre y estándares abiertos)."/>
        <s v="Se ha institucionalizado en las entidades estatales la rendición pública de cuentas para el ejercicio efectivo del control social y procesos de formación en principios y valores éticos."/>
        <s v="Se ha reducido significativamente la burocracia en los procesos y procedimientos de la administración pública con la integración de los sistemas del Estado y el uso de las tecnologías de información y comunicación."/>
        <s v="Se ha transformado el Sistema de Justicia, en el marco de la Cumbre Nacional de Justicia, garantizando el acceso, celeridad y juicio justo, con ética, transparencia y valores del Vivir Bien."/>
        <s v="Se ha construido la Casa del Órgano Judicial en Sucre."/>
        <s v="Se ha logrado que al menos el 70% de las causas registradas sean resueltas y se ha reducido en 50% el tiempo de duración de los procesos judiciales, reduciéndose la mora procesal."/>
        <s v="Se ha logrado que al menos 60% de las personas privadas de libertad tengan sentencia ejecutoriada."/>
        <s v="Se ha logrado que al menos la mitad de las autoridades de los tribunales judiciales sean mujeres."/>
        <s v="Se ha transformado institucionalmente la Policía boliviana para contar con una Institución Policial científica, técnica y especializada con servicios desconcentrados para la prevención del delito y la inseguridad pública, en favor de la comunidad"/>
        <s v="Se ha fortalecido a la Policía boliviana con equipamiento e infraestructura moderna."/>
        <s v="Se cuenta con al menos una Estación Policial Integral en 50 municipios en coordinación con la Entidades Territoriales Autónomas."/>
        <s v="Se ha reducido los delitos contra la vida, integridad y dignidad, contra la propiedad y accidentes de tránsito."/>
        <s v="Se ha logrado formar nuevos servidores públicos policiales post graduados a nivel de especialidad, diplomados y maestrías, en el modelo de Policía Comunitaria en todo el territorio nacional y con valores ético morales."/>
        <s v="Se ha reducido en 5% las tasas de criminalidad y violencia y se ha elevado la percepción de seguridad en un 10%, con la articulación del Sistema Nacional de Seguridad Ciudadana, con acciones preventivas a nivel nacional, especialmente para la población de regiones con mayor incidencia criminal y más vulnerable."/>
        <s v="Se ha incrementado en un 20% los operativos de interdicción al tráfico ilícito de sustancias controladas y se ha reducido en 5% la prevalencia de consumo de alcohol y otras drogas."/>
        <s v="Se cuenta con un sistema penitenciario con enfoque humanístico y se ha mejorado la situación de las personas privadas de libertad en términos de hacinamiento y habitabilidad en los centros penitenciarios, incluyendo infraestructura, equipamiento y tecnología.."/>
        <s v="La mayoría de las personas en tránsito de y hacia el país son registradas en el Sistema Integral de Control Migratorio en línea y en tiempo real."/>
        <s v="Se han constituido las Fuerzas Armadas descolonizadas, despatriarcalizadas y al servicio del pueblo, con un nuevo marco normativo, mejoras en infraestructura y equipamiento militar."/>
        <s v="Se han fortalecido a las Fuerzas Armadas con radares y otro equipamiento para la seguridad y defensa nacional."/>
        <s v="Se ha fortalecido el rol social, productivo y de protección de la soberanía del Estado Plurinacional."/>
        <s v="Se cuenta con seguridad en fronteras, con presencia militar para la defensa de la soberanía del Estado y resguardo de los recursos naturales."/>
        <s v="Se ha implementado el sistema integrado de vigilancia aérea y control del espacio aéreo."/>
        <s v="Se ha implementado el Fondo de Defensa para las Fuerzas Armadas del Estado."/>
        <s v="Se ha consolidado el proceso autonómico de las Entidades Territoriales Autónomas con la aprobación e implementación de sus Estatutos Autonómico, Cartas Orgánicas y el autogobierno Indígena Originario Campesinos"/>
        <s v="Se cuenta con más regiones metropolitanas constituidas y con planes articulados."/>
        <s v="Se han implementado de manera articulada entre los diferentes niveles de gobierno, los Planes Territoriales con los Planes Sectoriales, de mediano y largo plazo."/>
        <s v="Se han articulado al Gobierno Electrónico los GADs, GAMs y GAIOCs."/>
        <s v="Las políticas públicas han sido elaboradas e implementadas en el marco del reconocimiento y respeto de los derechos de la madre tierra, derechos del pueblo boliviano a su desarrollo integral, de los pueblos indígenas originarios campesinos y de la población para vivir libre de la pobreza material, social y espiritual"/>
        <s v="La población boliviana cumple con sus obligaciones y deberes hacia la Madre Tierra"/>
        <s v="Se ha fortalecido el patrimonio y las expresiones culturales del pueblo boliviano en el territorio nacional y en el extranjero y su reconocimiento internacional."/>
        <s v="Se ha recuperado el patrimonio material del Estado Plurinacional, sustraído y/o enajenado"/>
        <s v="Se han fortalecido las actividades y manifestaciones pluriculturales para mantener su vigencia y valor social aportando significativamente en la construcción del Estado Plurinacional"/>
        <s v="Saber ser y crecer. Recuperar y aceptar nuestras identidades a fin de tener armonía para la vida"/>
        <s v="Saber aprender y pensar. Rescatar nuestros conocimientos, valores y sabidurías ancestrales"/>
        <s v="Saber relacionarse. Construir nuestra identidad colectiva y cooperación armónica "/>
        <s v="Saber Alimentarse. Recuperar hábitos sanos y nutritivos de consumo alimenticio"/>
        <s v="Saber Trabajar. Fortalecer las relaciones de cooperación y el trabajo comunitario colectivo"/>
        <s v="Saber danzar, reír, alegrarse y descansar. Promover tiempos y espacios de recreación, ocio y prácticas de expresión cultural"/>
        <s v="Saber amar y ser amado. Construir  una sociedad con afectividad en todas sus expresiones"/>
        <s v="Saber soñar. Proyectar ideales y anhelos en la construcción del Vivir Bien pleno."/>
        <s v="Saber comunicarse y escuchar. Promover el diálogo y complementariedad entre las personas y la sociedad."/>
        <s v="Se ha avanzado en la demanda de retorno al mar con puertos soberanos en el pacífico y con presencia institucional del Estado."/>
        <n v="343"/>
        <m/>
      </sharedItems>
    </cacheField>
    <cacheField name="Macro Sector (PDES)_x000a_Clasificación por Pilares del PDES" numFmtId="0">
      <sharedItems containsBlank="1" containsMixedTypes="1" containsNumber="1" containsInteger="1" minValue="343" maxValue="343" count="17">
        <s v="Pobreza Material"/>
        <s v="Pobreza Social"/>
        <s v="Pobreza Espiritual"/>
        <s v="Servicios Básicos"/>
        <s v="Salud, Educación, Deporte"/>
        <s v="Ciencia y Tecnología"/>
        <s v="Comunidad y Finanzas"/>
        <s v="Complejos Productivos"/>
        <s v="Producción "/>
        <s v="Recursos Naturales"/>
        <s v="Alimentación y Nutrición"/>
        <s v="Medio Ambiente"/>
        <s v="Inegración de los pueblos"/>
        <s v="Gestión Pública"/>
        <s v="Disfrute y felicidad"/>
        <n v="343"/>
        <m/>
      </sharedItems>
    </cacheField>
    <cacheField name="Subsector (PDES)_x000a_Clasificación por Pilares del PDES" numFmtId="0">
      <sharedItems containsBlank="1" containsMixedTypes="1" containsNumber="1" containsInteger="1" minValue="343" maxValue="343" count="45">
        <s v="Pobreza Material"/>
        <s v="Explotación, Discriminación, Racismo"/>
        <s v="Ser humano integral"/>
        <s v="Agua, alcant., SB"/>
        <s v="Telecomunicaciones"/>
        <s v="Electricidad"/>
        <s v="Transporte"/>
        <s v="Vivienda"/>
        <s v="Gas domiciliario"/>
        <s v="Salud"/>
        <s v="Educación"/>
        <s v="Deporte"/>
        <s v="Ciencia y Tecnología"/>
        <s v="Finanzas Públicas"/>
        <s v="Finanzas para el Desarrollo"/>
        <s v="Inversión Extranjera"/>
        <s v="Reservas Financieras"/>
        <s v="Mercados Justos"/>
        <s v="Industriales Estratégicos "/>
        <s v="Territoriales"/>
        <s v="Turisticos"/>
        <s v="Agropecuaria"/>
        <s v="Forestal"/>
        <s v="Empresas Públicas Estratégicas"/>
        <s v="Hidrocarburos"/>
        <s v="Minería y Metalurgia"/>
        <s v="Energía"/>
        <s v="Nutrición"/>
        <s v="Madre Tierra"/>
        <s v="Producción sustentable"/>
        <s v="Areas Protegidas"/>
        <s v="Recursos Hídricos "/>
        <s v="Gestión de Riesgos"/>
        <s v="Gestión Ambiental"/>
        <s v="Acuerdos Internacionales"/>
        <s v="Bolivianos en el exterior"/>
        <s v="Transparencia"/>
        <s v="Justicia y Derechos"/>
        <s v="Seguridad Ciudadana"/>
        <s v="Defensa del Estado"/>
        <s v="Autonomías"/>
        <s v="Culturas"/>
        <s v="Afectivo"/>
        <n v="343"/>
        <m/>
      </sharedItems>
    </cacheField>
    <cacheField name="Clasificación _x000a_de _x000a_Resultado_x000a_Producto_x000a_Proceso" numFmtId="0">
      <sharedItems containsBlank="1" containsMixedTypes="1" containsNumber="1" containsInteger="1" minValue="343" maxValue="343" count="5">
        <s v="Resultado"/>
        <s v="Proceso"/>
        <s v="Producto"/>
        <n v="343"/>
        <m/>
      </sharedItems>
    </cacheField>
    <cacheField name="Taller ajuste en Dimensiones SPIE" numFmtId="0">
      <sharedItems containsBlank="1" containsMixedTypes="1" containsNumber="1" containsInteger="1" minValue="343" maxValue="343" count="7">
        <s v="Social"/>
        <s v="Cultural y Afectiva"/>
        <s v="Política e Institucional"/>
        <s v="Económica"/>
        <s v="Ecológica"/>
        <n v="343"/>
        <m/>
      </sharedItems>
    </cacheField>
    <cacheField name="Taller ajuste en Subdimen-siones SPIE" numFmtId="0">
      <sharedItems containsBlank="1" containsMixedTypes="1" containsNumber="1" containsInteger="1" minValue="343" maxValue="343" count="36">
        <s v="Pobreza"/>
        <s v="Culturas"/>
        <s v="Inclusión"/>
        <s v="Justicia"/>
        <s v="Estado"/>
        <s v="Servicios Básicos"/>
        <s v="Transporte"/>
        <s v="Vivienda"/>
        <s v="Salud"/>
        <s v="Educación"/>
        <s v="Deporte"/>
        <s v="Ciencia y Tecnología"/>
        <s v="Institucional"/>
        <s v="Complejos Productivos"/>
        <s v="IED"/>
        <s v="REFI"/>
        <s v="Mercados Justos"/>
        <s v="Agropecuaria"/>
        <s v="Forestal"/>
        <s v="Empleo (Complejos Prod)"/>
        <s v="Empresas Públicas Estratégicas"/>
        <s v="Hidrocarburos"/>
        <s v="Minería y Metalurgia"/>
        <s v="Energía"/>
        <s v="Nutrición"/>
        <s v="Madre Tierra"/>
        <s v="Producción Sustentable"/>
        <s v="Recursos Hídricos "/>
        <s v="Gestión de Riesgos"/>
        <s v="Gestión Ambiental"/>
        <s v="Acuerdos Internacionales"/>
        <s v="Autonomías"/>
        <s v="Política Pública"/>
        <s v="Felicidad"/>
        <n v="343"/>
        <m/>
      </sharedItems>
    </cacheField>
    <cacheField name="RESULTADOS PRIORIZADOS Propuesta Taller DG-SPIE y Pati" numFmtId="0">
      <sharedItems containsString="0" containsBlank="1" containsNumber="1" containsInteger="1" minValue="1" maxValue="67" count="3">
        <n v="1"/>
        <m/>
        <n v="67"/>
      </sharedItems>
    </cacheField>
    <cacheField name="RESULTADOS PRIORIZADOS Sectorial_x000a_PSDIs" numFmtId="0">
      <sharedItems containsBlank="1" containsMixedTypes="1" containsNumber="1" containsInteger="1" minValue="1" maxValue="50"/>
    </cacheField>
    <cacheField name="Cod_Tipo_Res_PDES" numFmtId="0">
      <sharedItems containsBlank="1" containsMixedTypes="1" containsNumber="1" containsInteger="1" minValue="59" maxValue="343"/>
    </cacheField>
    <cacheField name="Cod Pertenencia Cadena PDES" numFmtId="49">
      <sharedItems containsBlank="1" containsMixedTypes="1" containsNumber="1" containsInteger="1" minValue="343" maxValue="343"/>
    </cacheField>
    <cacheField name="Meta de la Cadena PDES" numFmtId="0">
      <sharedItems containsBlank="1" containsMixedTypes="1" containsNumber="1" containsInteger="1" minValue="343" maxValue="343"/>
    </cacheField>
    <cacheField name="ID Cabeza Cadena PDES" numFmtId="0">
      <sharedItems containsBlank="1"/>
    </cacheField>
    <cacheField name="Cod Resultado de Cabeza Cadena PDES" numFmtId="0">
      <sharedItems containsBlank="1" containsMixedTypes="1" containsNumber="1" containsInteger="1" minValue="157" maxValue="157"/>
    </cacheField>
    <cacheField name="Cabeza de Cadena" numFmtId="0">
      <sharedItems containsBlank="1" containsMixedTypes="1" containsNumber="1" containsInteger="1" minValue="158" maxValue="158"/>
    </cacheField>
    <cacheField name="FENÓMENOS DE LAS CABEZAS DE CADENA _x000a_(Link de lo nacional a lo sectorial)_x000a_FENOMENOS = ACCIONES" numFmtId="0">
      <sharedItems containsBlank="1" containsMixedTypes="1" containsNumber="1" containsInteger="1" minValue="70" maxValue="70" longText="1"/>
    </cacheField>
    <cacheField name="CONTRIBUYE DIRECTAMENTE A LA JERARQUÍA INMEDIATA (Productos y Procesos fuente PDES)" numFmtId="0">
      <sharedItems containsBlank="1" containsMixedTypes="1" containsNumber="1" containsInteger="1" minValue="59" maxValue="59"/>
    </cacheField>
    <cacheField name="% Ponderación de Contribución del fenómeno  a la Cabeza de Cadena (Registrar Verticalmente a nivel de los procesos productos)" numFmtId="0">
      <sharedItems containsBlank="1" containsMixedTypes="1" containsNumber="1" minValue="0" maxValue="343"/>
    </cacheField>
    <cacheField name="CONTRIBUYE DIRECTAMENTE A UNA CADENA SECUNDARIA DE JERARQUÍA SUPERIOR_x000a_(fuente PDES)" numFmtId="0">
      <sharedItems containsBlank="1" containsMixedTypes="1" containsNumber="1" containsInteger="1" minValue="38" maxValue="57"/>
    </cacheField>
    <cacheField name="% Contribución_x000a_Directa a una Cabeza de Cadena SECUNDARIA" numFmtId="0">
      <sharedItems containsString="0" containsBlank="1" containsNumber="1" containsInteger="1" minValue="0" maxValue="0"/>
    </cacheField>
    <cacheField name="Multisectoriales" numFmtId="0">
      <sharedItems containsString="0" containsBlank="1" containsNumber="1" containsInteger="1" minValue="1" maxValue="10" count="3">
        <m/>
        <n v="1"/>
        <n v="10"/>
      </sharedItems>
    </cacheField>
    <cacheField name="Intersectoriales" numFmtId="0">
      <sharedItems containsString="0" containsBlank="1" containsNumber="1" containsInteger="1" minValue="1" maxValue="19" count="3">
        <n v="1"/>
        <m/>
        <n v="19"/>
      </sharedItems>
    </cacheField>
    <cacheField name="Sectores Relacionados" numFmtId="0">
      <sharedItems containsBlank="1" containsMixedTypes="1" containsNumber="1" containsInteger="1" minValue="0" maxValue="118" count="30">
        <s v="M.Educación_x000a_M.Salud_x000a_M.Obras Públicas y Vivienda "/>
        <s v="M.Educación_x000a_M.Salud_x000a_M.Obras Públicas y Vivienda _x000a_M.Trabajo y Previsión Social"/>
        <m/>
        <s v="M.Culturas y Turismo"/>
        <s v="M.Justicia_x000a_MDRyT"/>
        <s v="M.Gobierno"/>
        <s v="M.Trabajo y PS"/>
        <s v="Educación_x000a_M.Justicia_x000a_M.Culturas y Turismo"/>
        <s v="M.Justicia_x000a_M.Gobierno"/>
        <s v="MMAyA"/>
        <s v="MOPSV"/>
        <s v="M.Salud"/>
        <s v="M.Educación"/>
        <s v="M.Deportes"/>
        <s v="MDPyEP"/>
        <s v="Ministerio de Obras Públicas, Servicios y Vivienda"/>
        <s v="MEyFP"/>
        <s v="M.Desarrollo Productivo y Economía Plural_x000a_Ministerio de Desarrollo Rural y Tierras"/>
        <s v="MCyT"/>
        <s v="MDRyT"/>
        <s v="MDPyEP_x000a_MEyFP"/>
        <s v="MEeH"/>
        <s v="MMyM"/>
        <s v="M.Defensa_x000a_MMAyA_x000a_"/>
        <s v="M.Defensa Legal del Estado"/>
        <s v="M.Justicia"/>
        <s v="M.Defensa"/>
        <s v="M. Relaciones Exteriores"/>
        <n v="118"/>
        <n v="0"/>
      </sharedItems>
    </cacheField>
    <cacheField name="CONTRIBUCIÓN  INDIRECTA 1_x000a_fuente PDES" numFmtId="0">
      <sharedItems containsBlank="1" containsMixedTypes="1" containsNumber="1" containsInteger="1" minValue="8" maxValue="8"/>
    </cacheField>
    <cacheField name="% Contribución_x000a_Indirecta 1 a la Cabeza de Cadena" numFmtId="0">
      <sharedItems containsString="0" containsBlank="1" containsNumber="1" containsInteger="1" minValue="0" maxValue="0"/>
    </cacheField>
    <cacheField name="CONTRIBUCIÓN  INDIRECTA 2 _x000a_fuente PDES" numFmtId="0">
      <sharedItems containsBlank="1" containsMixedTypes="1" containsNumber="1" containsInteger="1" minValue="1" maxValue="1"/>
    </cacheField>
    <cacheField name="% Contribución_x000a_Indirecta 2 a la Cabeza de Cadena" numFmtId="0">
      <sharedItems containsString="0" containsBlank="1" containsNumber="1" containsInteger="1" minValue="0" maxValue="0"/>
    </cacheField>
    <cacheField name="CONTRIBUCIÓN  INDIRECTA 3_x000a_fuente PDES" numFmtId="0">
      <sharedItems containsString="0" containsBlank="1" containsNumber="1" containsInteger="1" minValue="0" maxValue="0"/>
    </cacheField>
    <cacheField name="% Contribución_x000a_Indirecta 3 a la Cabeza de Cadena" numFmtId="0">
      <sharedItems containsString="0" containsBlank="1" containsNumber="1" containsInteger="1" minValue="0" maxValue="0"/>
    </cacheField>
    <cacheField name="CONTRIBUCIÓN  INDIRECTA 4_x000a_fuente PDES" numFmtId="0">
      <sharedItems containsString="0" containsBlank="1" containsNumber="1" containsInteger="1" minValue="0" maxValue="0"/>
    </cacheField>
    <cacheField name="% Contribución_x000a_Indirecta 4 a la Cabeza de Cadena" numFmtId="0">
      <sharedItems containsString="0" containsBlank="1" containsNumber="1" containsInteger="1" minValue="0" maxValue="0"/>
    </cacheField>
    <cacheField name="% Ponderación de Resultados a su Meta_x000a_(Agregar Verticalmente los resultados nivel de cada Meta)" numFmtId="0">
      <sharedItems containsString="0" containsBlank="1" containsNumber="1" minValue="4" maxValue="343"/>
    </cacheField>
    <cacheField name="Resultados de 1er Orden" numFmtId="0">
      <sharedItems containsBlank="1" containsMixedTypes="1" containsNumber="1" containsInteger="1" minValue="0" maxValue="343" count="6">
        <n v="1"/>
        <n v="0"/>
        <n v="343"/>
        <n v="139"/>
        <s v="1ER ORDEN"/>
        <m/>
      </sharedItems>
    </cacheField>
    <cacheField name="Resultados de 2do Orden" numFmtId="0">
      <sharedItems containsBlank="1" containsMixedTypes="1" containsNumber="1" containsInteger="1" minValue="0" maxValue="343" count="6">
        <n v="0"/>
        <n v="1"/>
        <n v="343"/>
        <n v="204"/>
        <s v="2DO ORDEN"/>
        <m/>
      </sharedItems>
    </cacheField>
    <cacheField name="1er ORDEN_x000a_1ra ETAPA" numFmtId="0">
      <sharedItems containsBlank="1" containsMixedTypes="1" containsNumber="1" minValue="0.14076246334310852" maxValue="74" count="7">
        <n v="1"/>
        <m/>
        <n v="48"/>
        <n v="74"/>
        <n v="0.14076246334310852"/>
        <n v="0.21700879765395895"/>
        <s v="1RA ETAPA"/>
      </sharedItems>
    </cacheField>
    <cacheField name="2do ORDEN_x000a_1ra ETAPA" numFmtId="0">
      <sharedItems containsString="0" containsBlank="1" containsNumber="1" minValue="7.6246334310850442E-2" maxValue="26" count="4">
        <m/>
        <n v="1"/>
        <n v="26"/>
        <n v="7.6246334310850442E-2"/>
      </sharedItems>
    </cacheField>
    <cacheField name="1er ORDEN_x000a_2da ETAPA" numFmtId="0">
      <sharedItems containsBlank="1" containsMixedTypes="1" containsNumber="1" minValue="0.25806451612903225" maxValue="115" count="7">
        <m/>
        <n v="1"/>
        <n v="88"/>
        <n v="115"/>
        <n v="0.25806451612903225"/>
        <n v="0.33724340175953077"/>
        <s v="2DA ETAPA"/>
      </sharedItems>
    </cacheField>
    <cacheField name="2do ORDEN_x000a_2da ETAPA" numFmtId="0">
      <sharedItems containsString="0" containsBlank="1" containsNumber="1" minValue="7.9178885630498533E-2" maxValue="27" count="4">
        <m/>
        <n v="1"/>
        <n v="27"/>
        <n v="7.9178885630498533E-2"/>
      </sharedItems>
    </cacheField>
    <cacheField name="2do ORDEN_x000a_3ra ETAPA" numFmtId="0">
      <sharedItems containsBlank="1" containsMixedTypes="1" containsNumber="1" minValue="0.45161290322580644" maxValue="154" count="5">
        <m/>
        <n v="1"/>
        <n v="154"/>
        <n v="0.45161290322580644"/>
        <s v="3RA ETAPA"/>
      </sharedItems>
    </cacheField>
    <cacheField name="No existe línea base" numFmtId="0">
      <sharedItems containsString="0" containsBlank="1" containsNumber="1" containsInteger="1" minValue="0" maxValue="0" count="2">
        <m/>
        <n v="0"/>
      </sharedItems>
    </cacheField>
    <cacheField name="Sólo LB - No se puede reportar con frecuencia " numFmtId="0">
      <sharedItems containsString="0" containsBlank="1" containsNumber="1" minValue="8.7976539589442824E-3" maxValue="3" count="4">
        <m/>
        <n v="1"/>
        <n v="3"/>
        <n v="8.7976539589442824E-3"/>
      </sharedItems>
    </cacheField>
    <cacheField name="Se puede reportar a medio término (Mayo 2018)" numFmtId="0">
      <sharedItems containsString="0" containsBlank="1" containsNumber="1" minValue="5.5718475073313782E-2" maxValue="19" count="4">
        <m/>
        <n v="1"/>
        <n v="19"/>
        <n v="5.5718475073313782E-2"/>
      </sharedItems>
    </cacheField>
    <cacheField name="Se pudo reportar en el  2017 " numFmtId="0">
      <sharedItems containsString="0" containsBlank="1" containsNumber="1" minValue="7.331378299120235E-2" maxValue="25" count="4">
        <n v="1"/>
        <m/>
        <n v="25"/>
        <n v="7.331378299120235E-2"/>
      </sharedItems>
    </cacheField>
    <cacheField name="Existe indicador calculado para reportar" numFmtId="0">
      <sharedItems containsString="0" containsBlank="1" containsNumber="1" minValue="0.1378299120234604" maxValue="47" count="4">
        <n v="1"/>
        <m/>
        <n v="47"/>
        <n v="0.1378299120234604"/>
      </sharedItems>
    </cacheField>
    <cacheField name="Existe Ficha de Cadenas de Indicadores" numFmtId="0">
      <sharedItems containsString="0" containsBlank="1" containsNumber="1" minValue="0.26392961876832843" maxValue="90" count="4">
        <n v="1"/>
        <m/>
        <n v="90"/>
        <n v="0.26392961876832843"/>
      </sharedItems>
    </cacheField>
    <cacheField name="cod_i" numFmtId="0">
      <sharedItems containsString="0" containsBlank="1" containsNumber="1" containsInteger="1" minValue="1" maxValue="4" count="3">
        <n v="1"/>
        <m/>
        <n v="4"/>
      </sharedItems>
    </cacheField>
    <cacheField name="id_indicador" numFmtId="0">
      <sharedItems containsBlank="1" count="345">
        <s v="01010011"/>
        <s v="01010021"/>
        <s v="01010031"/>
        <s v="01010041"/>
        <s v="0101005"/>
        <s v="0101006"/>
        <s v="0101007"/>
        <s v="0101008"/>
        <s v="0101009"/>
        <s v="0101010"/>
        <s v="0101011"/>
        <s v="0101012"/>
        <s v="0102013"/>
        <s v="0102014"/>
        <s v="0102015"/>
        <s v="0102016"/>
        <s v="0102017"/>
        <s v="0102018"/>
        <s v="0103019"/>
        <s v="0103020"/>
        <s v="0103021"/>
        <s v="0103022"/>
        <s v="0103023"/>
        <s v="0104024"/>
        <s v="0104025"/>
        <s v="0104026"/>
        <s v="0104027"/>
        <s v="0104028"/>
        <s v="0105029"/>
        <s v="0105030"/>
        <s v="0105031"/>
        <s v="0105032"/>
        <s v="0105033"/>
        <s v="0105034"/>
        <s v="0105035"/>
        <s v="0106036"/>
        <s v="0106037"/>
        <s v="0106038"/>
        <s v="0201039"/>
        <s v="0201040"/>
        <s v="0201041"/>
        <s v="0201042"/>
        <s v="0202043"/>
        <s v="0202044"/>
        <s v="0203045"/>
        <s v="0203046"/>
        <s v="0203047"/>
        <s v="020048r"/>
        <s v="0204048"/>
        <s v="0204049"/>
        <s v="0204050"/>
        <s v="0204051"/>
        <s v="0204052"/>
        <s v="0204053"/>
        <s v="0204054"/>
        <s v="0204055"/>
        <s v="0204056"/>
        <s v="0204057"/>
        <s v="0204058"/>
        <s v="0204059"/>
        <s v="0204060"/>
        <s v="0204061"/>
        <s v="0204062"/>
        <s v="0204063"/>
        <s v="0204064"/>
        <s v="0204065"/>
        <s v="0204066"/>
        <s v="0204067"/>
        <s v="0204068"/>
        <s v="0204069"/>
        <s v="0205070"/>
        <s v="0205071"/>
        <s v="0205072"/>
        <s v="0206073"/>
        <s v="0206074"/>
        <s v="0206075"/>
        <s v="0301076"/>
        <s v="0301077"/>
        <s v="0301078"/>
        <s v="0301079"/>
        <s v="0301080"/>
        <s v="0301081"/>
        <s v="0301082"/>
        <s v="0301083"/>
        <s v="0301084"/>
        <s v="0301085"/>
        <s v="0301086"/>
        <s v="0301087"/>
        <s v="0302088"/>
        <s v="0302089"/>
        <s v="0302090"/>
        <s v="0302091"/>
        <s v="0302092"/>
        <s v="0302093"/>
        <s v="0303094"/>
        <s v="0303095"/>
        <s v="0303096"/>
        <s v="0303097"/>
        <s v="0303098"/>
        <s v="0303099"/>
        <s v="0303100"/>
        <s v="0304101"/>
        <s v="0304102"/>
        <s v="0304103"/>
        <s v="0304104"/>
        <s v="0304105"/>
        <s v="0304106"/>
        <s v="0304107"/>
        <s v="0304108"/>
        <s v="0304109"/>
        <s v="0304110"/>
        <s v="0305111"/>
        <s v="0306112"/>
        <s v="0306113"/>
        <s v="0306114"/>
        <s v="0306115"/>
        <s v="0306116"/>
        <s v="0306117"/>
        <s v="0306118"/>
        <s v="0401119"/>
        <s v="0401120"/>
        <s v="0401121"/>
        <s v="0401122"/>
        <s v="0401123"/>
        <s v="0401124"/>
        <s v="0401125"/>
        <s v="0401126"/>
        <s v="0402127"/>
        <s v="0403128"/>
        <s v="0403129"/>
        <s v="0404130"/>
        <s v="0404131"/>
        <s v="0404132"/>
        <s v="0405133"/>
        <s v="0405134"/>
        <s v="0501135"/>
        <s v="0501136"/>
        <s v="0501137"/>
        <s v="0502138"/>
        <s v="0503139"/>
        <s v="0503140"/>
        <s v="0504141"/>
        <s v="0505142"/>
        <s v="0505143"/>
        <s v="0505144"/>
        <s v="0505145"/>
        <s v="0601146"/>
        <s v="0601147"/>
        <s v="0602148"/>
        <s v="0602149"/>
        <s v="0602150"/>
        <s v="0602151"/>
        <s v="0602152"/>
        <s v="0602153"/>
        <s v="0602154"/>
        <s v="0603155"/>
        <s v="0603156"/>
        <s v="0603157"/>
        <s v="0603158"/>
        <s v="0603159"/>
        <s v="0604160"/>
        <s v="0604161"/>
        <s v="0604162"/>
        <s v="0604163"/>
        <s v="0605164"/>
        <s v="0605165"/>
        <s v="0605166"/>
        <s v="0605167"/>
        <s v="0606168"/>
        <s v="0606169"/>
        <s v="0606170"/>
        <s v="0607171"/>
        <s v="0607172"/>
        <s v="0607173"/>
        <s v="0607174"/>
        <s v="0607175"/>
        <s v="0608176"/>
        <s v="0608177"/>
        <s v="0608178"/>
        <s v="0609179"/>
        <s v="0609180"/>
        <s v="0609181"/>
        <s v="0609182"/>
        <s v="0609183"/>
        <s v="0609184"/>
        <s v="06010185"/>
        <s v="06010186"/>
        <s v="06011187"/>
        <s v="06011188"/>
        <s v="06012189"/>
        <s v="06012190"/>
        <s v="06012191"/>
        <s v="0701192"/>
        <s v="0701193"/>
        <s v="0701194"/>
        <s v="0701195"/>
        <s v="0702196"/>
        <s v="0702197"/>
        <s v="0702198"/>
        <s v="0702199"/>
        <s v="0702200"/>
        <s v="0702201"/>
        <s v="0702202"/>
        <s v="0702203"/>
        <s v="0702204"/>
        <s v="0702205"/>
        <s v="0702206"/>
        <s v="0702207"/>
        <s v="0702208"/>
        <s v="0702209"/>
        <s v="0702210"/>
        <s v="0702211"/>
        <s v="0702212"/>
        <s v="0702213"/>
        <s v="0702214"/>
        <s v="0702215"/>
        <s v="0702216"/>
        <s v="0702217"/>
        <s v="0702218"/>
        <s v="0702219"/>
        <s v="0702220"/>
        <s v="0801221"/>
        <s v="0801222"/>
        <s v="0801223"/>
        <s v="0801224"/>
        <s v="0801225"/>
        <s v="0801226"/>
        <s v="0802227"/>
        <s v="0802228"/>
        <s v="0802229"/>
        <s v="0802230"/>
        <s v="0803231"/>
        <s v="0803232"/>
        <s v="0803233"/>
        <s v="0803234"/>
        <s v="0803235"/>
        <s v="0804236"/>
        <s v="0804237"/>
        <s v="0804238"/>
        <s v="0804239"/>
        <s v="0805240"/>
        <s v="0805241"/>
        <s v="0901242"/>
        <s v="0901243"/>
        <s v="0902244"/>
        <s v="0902245"/>
        <s v="0903246"/>
        <s v="0903247"/>
        <s v="0903248"/>
        <s v="0903249"/>
        <s v="0903250"/>
        <s v="0904251"/>
        <s v="0904252"/>
        <s v="0904253"/>
        <s v="0904254"/>
        <s v="0905255"/>
        <s v="0905256"/>
        <s v="0905257"/>
        <s v="0905258"/>
        <s v="0905259"/>
        <s v="0905260"/>
        <s v="0905261"/>
        <s v="0906262"/>
        <s v="0906263"/>
        <s v="0906264"/>
        <s v="0907265"/>
        <s v="0907266"/>
        <s v="0907267"/>
        <s v="0907268"/>
        <s v="0907269"/>
        <s v="0907270"/>
        <s v="0907271"/>
        <s v="0908272"/>
        <s v="0908273"/>
        <s v="0908274"/>
        <s v="0908275"/>
        <s v="0908276"/>
        <s v="0908277"/>
        <s v="1001278"/>
        <s v="1002279"/>
        <s v="1002280"/>
        <s v="100281r"/>
        <s v="1003281"/>
        <s v="1003282"/>
        <s v="1003283"/>
        <s v="1003284"/>
        <s v="1004285"/>
        <s v="1004286"/>
        <s v="1004287"/>
        <s v="1004288"/>
        <s v="1004289"/>
        <s v="1005290"/>
        <s v="1005291"/>
        <s v="1005292"/>
        <s v="1006293"/>
        <s v="1006294"/>
        <s v="1006295"/>
        <s v="1101296"/>
        <s v="1101297"/>
        <s v="1101298"/>
        <s v="1101299"/>
        <s v="1101300"/>
        <s v="1101301"/>
        <s v="1101302"/>
        <s v="1102303"/>
        <s v="1102304"/>
        <s v="1102305"/>
        <s v="1102306"/>
        <s v="1102307"/>
        <s v="1103308"/>
        <s v="1103309"/>
        <s v="1103310"/>
        <s v="1103311"/>
        <s v="1103312"/>
        <s v="1103313"/>
        <s v="1103314"/>
        <s v="1103315"/>
        <s v="1103316"/>
        <s v="1104317"/>
        <s v="1104318"/>
        <s v="1104319"/>
        <s v="1104320"/>
        <s v="1104321"/>
        <s v="1104322"/>
        <s v="1105323"/>
        <s v="1105324"/>
        <s v="1105325"/>
        <s v="1105326"/>
        <s v="1201327"/>
        <s v="1201328"/>
        <s v="1201329"/>
        <s v="1201330"/>
        <s v="1201331"/>
        <s v="1202332"/>
        <s v="1202333"/>
        <s v="1202334"/>
        <s v="1202335"/>
        <s v="1202336"/>
        <s v="1202337"/>
        <s v="1202338"/>
        <s v="1202339"/>
        <s v="1202340"/>
        <s v="1301341"/>
        <s v="3434"/>
        <m/>
      </sharedItems>
    </cacheField>
    <cacheField name="INDICADORES DEL RESULTADO PDES" numFmtId="0">
      <sharedItems containsBlank="1" containsMixedTypes="1" containsNumber="1" containsInteger="1" minValue="4" maxValue="4" count="6">
        <s v="Pobreza extrema Nacional"/>
        <s v="Pobreza moderada Nacional"/>
        <s v="Población por condición de Pobreza - NBI"/>
        <s v="Razón de percentil de la distribución de Ingresos entre el 10% más rico y del 10% más pobre"/>
        <m/>
        <n v="4"/>
      </sharedItems>
    </cacheField>
    <cacheField name="DESCRIPCIÓN DEL INDICADOR_x000a_(Nivel de Desagregación)" numFmtId="0">
      <sharedItems containsBlank="1" containsMixedTypes="1" containsNumber="1" containsInteger="1" minValue="4" maxValue="4" count="5">
        <s v="Nacional, Departamento (Juntando Beni y Pando)"/>
        <s v="Nacional, Departamento  y Municipio"/>
        <s v="Urbano, Rural, Departamento (Juntando Beni y Pando)"/>
        <m/>
        <n v="4"/>
      </sharedItems>
    </cacheField>
    <cacheField name="UNIDAD DE MEDIDA" numFmtId="0">
      <sharedItems containsBlank="1" containsMixedTypes="1" containsNumber="1" containsInteger="1" minValue="4" maxValue="4" count="5">
        <s v="Porcentaje y Número de Pobres"/>
        <s v="Porcentaje"/>
        <s v="Ratio _x000a_(En porcentaje)"/>
        <m/>
        <n v="4"/>
      </sharedItems>
    </cacheField>
    <cacheField name="Forma de Cálculo ó Definición" numFmtId="0">
      <sharedItems containsBlank="1" containsMixedTypes="1" containsNumber="1" containsInteger="1" minValue="4" maxValue="4" longText="1"/>
    </cacheField>
    <cacheField name="Serie disponible" numFmtId="0">
      <sharedItems containsBlank="1" containsMixedTypes="1" containsNumber="1" containsInteger="1" minValue="4" maxValue="4"/>
    </cacheField>
    <cacheField name="cod_fuente" numFmtId="0">
      <sharedItems containsString="0" containsBlank="1" containsNumber="1" containsInteger="1" minValue="1" maxValue="4"/>
    </cacheField>
    <cacheField name="id_fuente" numFmtId="0">
      <sharedItems containsBlank="1" containsMixedTypes="1" containsNumber="1" containsInteger="1" minValue="343" maxValue="343"/>
    </cacheField>
    <cacheField name="FUENTE DE DATOS" numFmtId="0">
      <sharedItems containsBlank="1" containsMixedTypes="1" containsNumber="1" containsInteger="1" minValue="4" maxValue="4"/>
    </cacheField>
    <cacheField name="FRECUENCIA" numFmtId="0">
      <sharedItems containsBlank="1" containsMixedTypes="1" containsNumber="1" containsInteger="1" minValue="4" maxValue="4"/>
    </cacheField>
    <cacheField name="FECHA DE ULTIMO DATO DISPONIBLE" numFmtId="0">
      <sharedItems containsDate="1" containsString="0" containsBlank="1" containsMixedTypes="1" minDate="2016-11-01T00:00:00" maxDate="1899-12-31T00:17:04"/>
    </cacheField>
    <cacheField name="COBERTURA" numFmtId="0">
      <sharedItems containsBlank="1" containsMixedTypes="1" containsNumber="1" containsInteger="1" minValue="4" maxValue="4"/>
    </cacheField>
    <cacheField name="DESAGREGACIÓN" numFmtId="0">
      <sharedItems containsBlank="1" containsMixedTypes="1" containsNumber="1" containsInteger="1" minValue="4" maxValue="4"/>
    </cacheField>
    <cacheField name="RESPONSABLE DE CONSOLIDAR EL INDICADOR " numFmtId="0">
      <sharedItems containsBlank="1" containsMixedTypes="1" containsNumber="1" containsInteger="1" minValue="4" maxValue="4"/>
    </cacheField>
    <cacheField name="RESPONSABLE DE LA FUENTE DE DATOS " numFmtId="0">
      <sharedItems containsBlank="1" containsMixedTypes="1" containsNumber="1" containsInteger="1" minValue="4" maxValue="4"/>
    </cacheField>
    <cacheField name="Modo de distribución del Indicador_x000a_(Datos Agregados, Microdatos, Indicador calculado, No disponible)" numFmtId="0">
      <sharedItems containsBlank="1" containsMixedTypes="1" containsNumber="1" containsInteger="1" minValue="4" maxValue="4"/>
    </cacheField>
    <cacheField name="Usuarios del Indicador_x000a_(Entidades que asumirán el indicador reportado) " numFmtId="0">
      <sharedItems containsBlank="1" containsMixedTypes="1" containsNumber="1" containsInteger="1" minValue="4" maxValue="4"/>
    </cacheField>
    <cacheField name="Fecha de la Línea Base_x000a_(Fecha del Dato registrado antes de la intervención)" numFmtId="0">
      <sharedItems containsDate="1" containsString="0" containsBlank="1" containsMixedTypes="1" minDate="2015-11-01T00:00:00" maxDate="1899-12-31T00:17:04"/>
    </cacheField>
    <cacheField name="Línea Base / Valor Actual del Indicador_x000a_(Dato registrado antes de la intervención)" numFmtId="0">
      <sharedItems containsString="0" containsBlank="1" containsNumber="1" minValue="0.107" maxValue="4"/>
    </cacheField>
    <cacheField name="Tendencia Observada de la serie de los últimos 5 años_x000a_(Rango de variación inter-anual de la serie de los últimos 5 años) " numFmtId="0">
      <sharedItems containsBlank="1" containsMixedTypes="1" containsNumber="1" containsInteger="1" minValue="4" maxValue="4"/>
    </cacheField>
    <cacheField name="Variación promedio observada  por año de los últimos 5 años" numFmtId="0">
      <sharedItems containsString="0" containsBlank="1" containsNumber="1" minValue="-2.5506500000000001E-2" maxValue="-2.7000000000000001E-3"/>
    </cacheField>
    <cacheField name="Meta Quinquenal de _x000a_PDES/ Sector" numFmtId="0">
      <sharedItems containsString="0" containsBlank="1" containsNumber="1" minValue="2.6749999999999999E-2" maxValue="4"/>
    </cacheField>
    <cacheField name="Tendencia Proyectada para alcanzar la Meta Quinquenal_x000a_(Rango de variación interanual de los siguientes 5 años para alcanzar la Meta Programada) " numFmtId="0">
      <sharedItems containsBlank="1" containsMixedTypes="1" containsNumber="1" containsInteger="1" minValue="4" maxValue="4"/>
    </cacheField>
    <cacheField name="Variación promedio proyectada por año en los próximos 5 años para alcanzar la Meta Quinquenal" numFmtId="0">
      <sharedItems containsString="0" containsBlank="1" containsNumber="1" minValue="-2.912E-2" maxValue="68.599999999999994"/>
    </cacheField>
    <cacheField name="Brecha Quinquenal_x000a_(Meta Quinquenal - Línea Base)" numFmtId="0">
      <sharedItems containsString="0" containsBlank="1" containsNumber="1" minValue="-0.14560000000000001" maxValue="343"/>
    </cacheField>
    <cacheField name="Plazo en años_x000a_(Plazo en el que se debe alcanzar la meta del indicador)" numFmtId="0">
      <sharedItems containsString="0" containsBlank="1" containsNumber="1" containsInteger="1" minValue="5" maxValue="5"/>
    </cacheField>
    <cacheField name="Meta Parcial Año 2016_x000a_(Meta del indicador al Año 1 de la intervención)" numFmtId="0">
      <sharedItems containsString="0" containsBlank="1" containsNumber="1" minValue="0" maxValue="343"/>
    </cacheField>
    <cacheField name="Valor Reportado del Indicador_x000a_Año 2016" numFmtId="0">
      <sharedItems containsString="0" containsBlank="1" containsNumber="1" minValue="0.13214000000000001" maxValue="0.39449260000000003"/>
    </cacheField>
    <cacheField name="VARIACIÓN AL 2016_x000a_(DATO 2016 - LB)" numFmtId="0">
      <sharedItems containsString="0" containsBlank="1" containsNumber="1" minValue="-4" maxValue="2.514000000000001E-2"/>
    </cacheField>
    <cacheField name="AVANCE EN LA META _x000a_(VARIACIÓN 2016 / BRECHA 2020)" numFmtId="0">
      <sharedItems containsBlank="1" containsMixedTypes="1" containsNumber="1" minValue="-0.31327102803738327" maxValue="2.6541353383458648"/>
    </cacheField>
    <cacheField name="Meta Parcial Año 2017_x000a_(Meta del indicador al Año 2 de la intervención)" numFmtId="0">
      <sharedItems containsString="0" containsBlank="1" containsNumber="1" minValue="0" maxValue="343"/>
    </cacheField>
    <cacheField name="Valor Reportado del Indicador_x000a_Año 2017" numFmtId="0">
      <sharedItems containsString="0" containsBlank="1" containsNumber="1" containsInteger="1" minValue="0" maxValue="0"/>
    </cacheField>
    <cacheField name="VARIACIÓN AL 2017_x000a_(DATO 2017 - LB)" numFmtId="0">
      <sharedItems containsString="0" containsBlank="1" containsNumber="1" minValue="-0.3856" maxValue="0"/>
    </cacheField>
    <cacheField name="AVANCE EN LA META_x000a_(VARIACIÓN 2017 / BRECHA 2020)" numFmtId="0">
      <sharedItems containsBlank="1" containsMixedTypes="1" containsNumber="1" minValue="0" maxValue="2.6541353383458648"/>
    </cacheField>
    <cacheField name="Meta Parcial Año 2018_x000a_(Meta del indicador al Año 3 de la intervención)" numFmtId="0">
      <sharedItems containsString="0" containsBlank="1" containsNumber="1" minValue="0" maxValue="343"/>
    </cacheField>
    <cacheField name="Valor Reportado del Indicador_x000a_Año 2018" numFmtId="0">
      <sharedItems containsString="0" containsBlank="1" containsNumber="1" containsInteger="1" minValue="0" maxValue="0"/>
    </cacheField>
    <cacheField name="VARIACIÓN AL 2018_x000a_(DATO 2018 - LB)" numFmtId="0">
      <sharedItems containsString="0" containsBlank="1" containsNumber="1" minValue="-4" maxValue="0"/>
    </cacheField>
    <cacheField name="AVANCE EN LA META_x000a_(VARIACIÓN 2018 / BRECHA 2020)" numFmtId="0">
      <sharedItems containsBlank="1" containsMixedTypes="1" containsNumber="1" minValue="1.3333333333333333" maxValue="343"/>
    </cacheField>
    <cacheField name="Meta Parcial Año 2019_x000a_(Meta del indicador al Año 4 de la intervención)" numFmtId="0">
      <sharedItems containsString="0" containsBlank="1" containsNumber="1" minValue="0" maxValue="343"/>
    </cacheField>
    <cacheField name="Valor Reportado del Indicador_x000a_Año 2019" numFmtId="0">
      <sharedItems containsString="0" containsBlank="1" containsNumber="1" containsInteger="1" minValue="0" maxValue="0"/>
    </cacheField>
    <cacheField name="VARIACIÓN AL 2019_x000a_(DATO 2019 - LB)" numFmtId="0">
      <sharedItems containsString="0" containsBlank="1" containsNumber="1" minValue="-4" maxValue="0"/>
    </cacheField>
    <cacheField name="AVANCE AVANCE EN LA META _x000a_(VARIACIÓN 2019 / BRECHA 2020)" numFmtId="0">
      <sharedItems containsBlank="1" containsMixedTypes="1" containsNumber="1" minValue="1.3333333333333333" maxValue="343"/>
    </cacheField>
    <cacheField name="Meta Propuesta Año 2020_x000a_(Meta final del Indicador al término del Plan)" numFmtId="0">
      <sharedItems containsString="0" containsBlank="1" containsNumber="1" minValue="0" maxValue="343"/>
    </cacheField>
    <cacheField name="Valor Reportado del Indicador_x000a_Año 2020" numFmtId="0">
      <sharedItems containsString="0" containsBlank="1" containsNumber="1" containsInteger="1" minValue="0" maxValue="0"/>
    </cacheField>
    <cacheField name="VARIACIÓN AL 2020_x000a_(DATO 2020 - LB)" numFmtId="0">
      <sharedItems containsString="0" containsBlank="1" containsNumber="1" minValue="-4" maxValue="0"/>
    </cacheField>
    <cacheField name="AVANCE _x000a_(VARIACIÓN 2020 / BRECHA 2020)" numFmtId="0">
      <sharedItems containsBlank="1" containsMixedTypes="1" containsNumber="1" minValue="1.3333333333333333" maxValue="343"/>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esquivel" refreshedDate="43257.607324074073" createdVersion="5" refreshedVersion="5" minRefreshableVersion="3" recordCount="331" xr:uid="{00000000-000A-0000-FFFF-FFFF03000000}">
  <cacheSource type="worksheet">
    <worksheetSource ref="A3:CQ334" sheet="Matriz_Metadatos_Todo"/>
  </cacheSource>
  <cacheFields count="95">
    <cacheField name="Subcomisión" numFmtId="0">
      <sharedItems containsSemiMixedTypes="0" containsString="0" containsNumber="1" containsInteger="1" minValue="1" maxValue="27" count="27">
        <n v="14"/>
        <n v="13"/>
        <n v="15"/>
        <n v="17"/>
        <n v="16"/>
        <n v="12"/>
        <n v="21"/>
        <n v="20"/>
        <n v="5"/>
        <n v="6"/>
        <n v="18"/>
        <n v="11"/>
        <n v="9"/>
        <n v="27"/>
        <n v="23"/>
        <n v="3"/>
        <n v="4"/>
        <n v="1"/>
        <n v="2"/>
        <n v="7"/>
        <n v="24"/>
        <n v="25"/>
        <n v="22"/>
        <n v="26"/>
        <n v="19"/>
        <n v="10"/>
        <n v="8"/>
      </sharedItems>
    </cacheField>
    <cacheField name="FECHA_x000a__x000a_(Fecha de Captura de Metadatos)" numFmtId="0">
      <sharedItems containsDate="1" containsBlank="1" containsMixedTypes="1" minDate="2018-04-09T00:00:00" maxDate="2018-04-24T00:00:00"/>
    </cacheField>
    <cacheField name="ID_Pilar" numFmtId="0">
      <sharedItems containsBlank="1" containsMixedTypes="1" containsNumber="1" containsInteger="1" minValue="1" maxValue="12" count="16">
        <s v="02"/>
        <s v="06"/>
        <s v="07"/>
        <m/>
        <n v="10"/>
        <s v="03"/>
        <s v="04"/>
        <n v="11"/>
        <s v="11"/>
        <n v="12"/>
        <s v="08"/>
        <s v="ODS"/>
        <s v="01"/>
        <n v="1"/>
        <s v="09"/>
        <s v="05"/>
      </sharedItems>
    </cacheField>
    <cacheField name="Descripción Pilar" numFmtId="0">
      <sharedItems containsBlank="1"/>
    </cacheField>
    <cacheField name="ID_Meta" numFmtId="0">
      <sharedItems containsBlank="1" containsMixedTypes="1" containsNumber="1" containsInteger="1" minValue="101" maxValue="1101"/>
    </cacheField>
    <cacheField name="Descripción Meta" numFmtId="0">
      <sharedItems containsBlank="1"/>
    </cacheField>
    <cacheField name="Cod_Res" numFmtId="0">
      <sharedItems containsBlank="1" containsMixedTypes="1" containsNumber="1" containsInteger="1" minValue="1" maxValue="186"/>
    </cacheField>
    <cacheField name="Cod_PMR" numFmtId="0">
      <sharedItems containsBlank="1" containsMixedTypes="1" containsNumber="1" containsInteger="1" minValue="10107" maxValue="10529"/>
    </cacheField>
    <cacheField name="Cod_Resul_Corr" numFmtId="0">
      <sharedItems containsBlank="1" containsMixedTypes="1" containsNumber="1" containsInteger="1" minValue="1" maxValue="336"/>
    </cacheField>
    <cacheField name="Cod_Corr_PMR" numFmtId="0">
      <sharedItems containsBlank="1"/>
    </cacheField>
    <cacheField name="ID_Res_PDES_x000a_(Correlativa)" numFmtId="0">
      <sharedItems containsBlank="1" containsMixedTypes="1" containsNumber="1" containsInteger="1" minValue="102016" maxValue="6010186"/>
    </cacheField>
    <cacheField name="Descripción de Resultados PDES 2016 - 2020" numFmtId="0">
      <sharedItems containsBlank="1" longText="1"/>
    </cacheField>
    <cacheField name="Macro Sector (PDES)_x000a_Clasificación por Pilares del PDES" numFmtId="0">
      <sharedItems containsBlank="1"/>
    </cacheField>
    <cacheField name="Subsector (PDES)_x000a_Clasificación por Pilares del PDES" numFmtId="0">
      <sharedItems containsBlank="1" containsMixedTypes="1" containsNumber="1" containsInteger="1" minValue="1" maxValue="1"/>
    </cacheField>
    <cacheField name="CLASIFICACIÓN POR TIPO DE RESULTADO PDES_x000a__x000a_(RS = Resultado_x000a_PD = Producto_x000a_PC = Proceso)" numFmtId="0">
      <sharedItems containsBlank="1"/>
    </cacheField>
    <cacheField name="Taller ajuste en Dimensiones SPIE" numFmtId="0">
      <sharedItems containsBlank="1" containsMixedTypes="1" containsNumber="1" containsInteger="1" minValue="1" maxValue="1"/>
    </cacheField>
    <cacheField name="Taller ajuste en Subdimen-siones SPIE" numFmtId="0">
      <sharedItems containsBlank="1" containsMixedTypes="1" containsNumber="1" containsInteger="1" minValue="0" maxValue="0"/>
    </cacheField>
    <cacheField name="RESULTADOS PRIORIZADOS Taller DG-SPIE " numFmtId="0">
      <sharedItems containsBlank="1" containsMixedTypes="1" containsNumber="1" containsInteger="1" minValue="1" maxValue="1"/>
    </cacheField>
    <cacheField name="RESULTADOS PRIORIZADOS Sectorial_x000a_PSDIs" numFmtId="0">
      <sharedItems containsBlank="1" containsMixedTypes="1" containsNumber="1" containsInteger="1" minValue="0" maxValue="1"/>
    </cacheField>
    <cacheField name="Cod_Tipo_Res_PDES" numFmtId="0">
      <sharedItems containsBlank="1" containsMixedTypes="1" containsNumber="1" containsInteger="1" minValue="0" maxValue="0"/>
    </cacheField>
    <cacheField name="Multisectoriales" numFmtId="0">
      <sharedItems containsBlank="1" containsMixedTypes="1" containsNumber="1" containsInteger="1" minValue="1" maxValue="1"/>
    </cacheField>
    <cacheField name="Intersectoriales" numFmtId="0">
      <sharedItems containsBlank="1" containsMixedTypes="1" containsNumber="1" containsInteger="1" minValue="1" maxValue="3"/>
    </cacheField>
    <cacheField name="Sectores Relacionados" numFmtId="0">
      <sharedItems containsBlank="1" containsMixedTypes="1" containsNumber="1" containsInteger="1" minValue="0" maxValue="0"/>
    </cacheField>
    <cacheField name="% Ponderación de Resultados a su Meta_x000a_(Agregar Verticalmente los resultados nivel de cada Meta)" numFmtId="0">
      <sharedItems containsBlank="1" containsMixedTypes="1" containsNumber="1" minValue="1" maxValue="100"/>
    </cacheField>
    <cacheField name="Resultados de 1er Orden_x000a__x000a_(Si = 1_x000a_No = 0)" numFmtId="0">
      <sharedItems containsString="0" containsBlank="1" containsNumber="1" containsInteger="1" minValue="0" maxValue="1"/>
    </cacheField>
    <cacheField name="Resultados de 2do Orden_x000a__x000a_(Si = 1_x000a_No = 0)" numFmtId="0">
      <sharedItems containsString="0" containsBlank="1" containsNumber="1" containsInteger="1" minValue="0" maxValue="4"/>
    </cacheField>
    <cacheField name="   ETAPA DEL RESULTADO_x000a__x000a_(ETAPA 1 = Resultados de 1er Orden con viabilidad técnica a Jun/2018 + ODS compatibles con PDES_x000a_ETAPA 2 = Resultados de 2do Orden con viabilidad técnica parcial a Dic/2018 o Jun/2019_x000a_ETAPA 3 = Resultados de 1er y 2do Orden sin línea base, sin fuente de datos y/o baja frecuencia de recolección de datos)" numFmtId="0">
      <sharedItems containsBlank="1"/>
    </cacheField>
    <cacheField name="Existe Ficha de Cadenas de Indicadores" numFmtId="0">
      <sharedItems containsBlank="1" containsMixedTypes="1" containsNumber="1" containsInteger="1" minValue="1" maxValue="1"/>
    </cacheField>
    <cacheField name="ID META ODS" numFmtId="0">
      <sharedItems containsBlank="1" containsMixedTypes="1" containsNumber="1" containsInteger="1" minValue="1" maxValue="17"/>
    </cacheField>
    <cacheField name=" META ODS_x000a__x000a_(Seleccionar la Meta/Objetivo ODS con la que se vincula el Resultado PDES y su indicador)" numFmtId="0">
      <sharedItems containsBlank="1" longText="1"/>
    </cacheField>
    <cacheField name="INDICADOR ODS_x000a__x000a_(Indicador ODS que se vincula el indicador PDES)" numFmtId="0">
      <sharedItems containsBlank="1" longText="1"/>
    </cacheField>
    <cacheField name="OBSERVACIONES_x000a__x000a_(Comentarios sobre la aplicabilidad del indicador como proxy al ODS)_x000a_" numFmtId="0">
      <sharedItems containsBlank="1" longText="1"/>
    </cacheField>
    <cacheField name="   COMPARABILIDAD ODS/PDES_x000a__x000a_(DIRECTA: Indicador conceptualmente idéntico al ODS con ligeras diferencias; PARCIAL: Indicador proxy para el ODS que no cumple todos los requisitos (Ej. indicador compuesto o desagregación geográfica no disponible);_x000a_NO DISPONIBLE)" numFmtId="0">
      <sharedItems containsBlank="1" count="13">
        <s v="Parcial"/>
        <s v="No disponible"/>
        <s v="Directa"/>
        <s v="PARCIAL (Sólo se considerán el número de Estados o Repúblicas con programas en el marco de la cooperación Sur-Sur)"/>
        <s v="PARCIAL (Sólo contabiliza los acuerdos de cooperación en materia de ciencia y tecnología)"/>
        <s v="Directo"/>
        <s v="Proxi"/>
        <s v="ODS"/>
        <s v="Los indicadores ODS descritos no tienen ninguna relación con el indicador de Incremento de la población ocupada que cuenta con seguridad social largo plazo._x000a__x000a_Parcial"/>
        <s v="Directa "/>
        <m/>
        <s v="No Disponible "/>
        <s v="No es posible vincularlo"/>
      </sharedItems>
    </cacheField>
    <cacheField name="% CONTRIBUCIÓN DIRECTA_x000a__x000a_(Porcentaje de contribución de indicadores PDES de 2do Orden a un solo Resultado PDES de 1er Orden)" numFmtId="0">
      <sharedItems containsBlank="1" containsMixedTypes="1" containsNumber="1" minValue="25" maxValue="100"/>
    </cacheField>
    <cacheField name="Cod_i" numFmtId="0">
      <sharedItems containsBlank="1" containsMixedTypes="1" containsNumber="1" containsInteger="1" minValue="1" maxValue="12"/>
    </cacheField>
    <cacheField name="ID_indicador" numFmtId="0">
      <sharedItems containsBlank="1" containsMixedTypes="1" containsNumber="1" containsInteger="1" minValue="11012991" maxValue="11043211"/>
    </cacheField>
    <cacheField name="NOMBRE DE INDICADOR" numFmtId="0">
      <sharedItems count="315">
        <s v="Kilómetros construidos de dobles vías"/>
        <s v="Porcentaje de kilómetros construidos de dobles vías"/>
        <s v="Kilómetros construidos del corredor bioceánico"/>
        <s v="Porcentaje de kilómetros construidos del corredor bioceánico"/>
        <s v="Kilómetros construidos del corredor Norte-Sur"/>
        <s v="Porcentaje de kilómetros construidos del corredor Norte-Sur"/>
        <s v="Kilómetros construidos del corredor Oeste – Norte"/>
        <s v="Porcentaje de kilómetros construidos del corredor Oeste – Norte"/>
        <s v="Kilómetros construidos de la Diagonal Jaime Mendoza"/>
        <s v="Porcentaje de kilómetros construidos de la Diagonal Jaime Mendoza"/>
        <s v="Kilómetros construidos de las Conexiones de Capitales de Departamento"/>
        <s v="Porcentaje de kilómetros construidos de las Conexiones de Capitales de Departamento"/>
        <s v="Kilómetros construidos de las carreteras de Integración de Regiones Productivas y la “Y” de la Integración"/>
        <s v="Porcentaje de kilómetros construidos de las carreteras de Integración de Regiones Productivas y la “Y” de la Integración"/>
        <s v="Metros de puente construidos"/>
        <s v="Porcentaje de metros de puente construidos"/>
        <s v="Número de convenios firmados para el financiamiento del CFBC"/>
        <s v="Porcentaje de avance en los tramos ferroviarios de Cochabamba y Santa Cruz"/>
        <s v="Porcentaje de avance en el tramo ferroviario Montero  - Bulo Bulo"/>
        <s v="Número de kilómetros de río navegable"/>
        <s v="Número de puertos exportadores operando"/>
        <s v="Número de infraestructuras portuarias internacionales"/>
        <s v="Total de líneas de teleférico construidas en funcionamiento en las ciudades de La Paz y El Alto"/>
        <s v="Vidas transportadas por teleférico"/>
        <s v="Kms construidos de transporte por cable"/>
        <s v="Total estaciones de teleférico construidas"/>
        <s v="Total de líneas construidas en funcionamiento en las ciudades de Oruro, Potosí y Sucre "/>
        <s v="Vidas transportadas en teleférico"/>
        <s v="Total estaciones construidas en el teleférico"/>
        <s v="Aeropuertos Internacionales en Construcción"/>
        <s v="Aeropuertos Internacionales  en Ampliación y Equipamiento"/>
        <s v="Aeropuertos nacionales contruidos y equipados"/>
        <s v="Aeropuertos nacionales ampliados y equipados"/>
        <s v="Aeropuerto HUB implementado"/>
        <s v="Divisas por Turismo Receptivo"/>
        <s v="Flujo de turistas Extranjeros"/>
        <s v="Flujo de turistas nacionales dentro en territorio nacional"/>
        <s v="Inversión en Turismo"/>
        <s v="COBERTURA DEL SERVICIO BASICO DE ELECTRICIDAD A NIVEL NACIONAL "/>
        <s v="COBERTURA  DEL SERVICIO BASICO DE ELECTRICIDAD EN EL ÁREA URBANA"/>
        <s v="COBERTURA DEL SERVICIO BASICO DE ELECTRICIDAD EN EL ÁREA RURAL"/>
        <s v="Porcentaje de potencia instalada a través de generación eléctrica."/>
        <s v="Porcentaje de potencia instalada con hidroeléctricas"/>
        <s v="Porcentaje de potencia instalada con termoeléctricas"/>
        <s v="Porcentaje de potencia instalada con energías alternativas"/>
        <s v="Porcentaje de potencia instalada a través de generación eléctrica destinada a la exportación"/>
        <s v="Porcentaje de líneas de transmisión extendidas para robustecer el Sistema Interconectado Nacional y destinadas a exportación"/>
        <s v="Porcentaje de Desarrollo de la Industria Minero Metalúrgica"/>
        <s v="Incremento de la Producción Minera (Empresa Minera Huanuni - EMH)"/>
        <s v="Incremento de la Producción Minera (Empresa Minera Colquiri - EMC) "/>
        <s v="Incremento de la Producción Minera (Empresa Minera Corocoro - EMCC)"/>
        <s v="Incremento de la Transformación Minera (Empresa Metalúrgica Karachipampa - EMK)"/>
        <s v="Incremento de la Transformación Minera (Empresa Metalúrgica Vinto - EMV)"/>
        <s v="Tasa de cobertura de instalaciones"/>
        <s v="Número de viviendas con Instalaciones de Gas domiciliario bajo Sistema Convencional de Distribucion"/>
        <s v="Número de viviendas con Instalaciones de Gas domiciliario bajo Sistema Virtual de Distribucion"/>
        <s v="Volumen Promedio Anual de producción de gas natural al año 2020."/>
        <s v="Incremento de la producción de hidrocarburos líquidos"/>
        <s v="Porcentaje de cumplimiento de producción de GLP"/>
        <s v="Porcentaje de cumplimiento de producción de Diesel Oil"/>
        <s v="Porcentaje de cumplimiento de producción de Gasolina Especial"/>
        <s v="PIB sector agropecuario y agroindustrial (A precios corrientes)"/>
        <s v="Porcentaje de participacion de la industria manufacturera  en el PIB (A precios corrientes)"/>
        <s v="Valor Bruto de Producción de las MyPES de la Industria Manufacturera"/>
        <s v="Porcentaje de PyMEs que accede al financiamiento"/>
        <s v="Porcentaje de MyPEs que accede al financiamiento"/>
        <s v="Particpación de las exportaciones de la Industria Manufacturera"/>
        <s v="Volumen de las exportaciones de productos agropecuarios."/>
        <s v="Número de estrategias elaboradas e implementadas en las negociaciones de la Convención Marco de Naciones Unidas sobre Cambio Climático (CMNUCC)."/>
        <s v="Número de reuniones para la conformación del grupo de trabajo para la elaboración de la propuesta de Declaración de los Derechos de la Madre Tierra"/>
        <s v="Propuesta de la Declaración de los Derechos de la Madre Tierra elaborada y presentada al grupo de trabajo sobre Armonía con la naturaleza para su consideración en Naciones Unidas (NNUU)"/>
        <s v="ÁREA ECONÓMICA_x000a_Instrumentos internacionales celebrados en espacios de integración, para facilitar el comercio exterior boliviano._x000a__x000a_"/>
        <s v="AREA POLITICA_x000a_Número de propuestas elaboradas y negociadas en espacios de UNASUR._x000a_"/>
        <s v="COOPERACIÓN SUR-SUR_x000a_Proporción de Estados o Repúblicas con los que Bolivia ha suscrito Programas de cooperacion Sur-Sur "/>
        <s v="Número de reuniones asistidas en el marco del ALBA-TCP promoviendo si liderazgo politico e ideologico."/>
        <s v="Número de propuestas elaboradas y negociadas en la CELAC con un enfoque de libercación de los pueblos, promoviendo su liderazgo político e ideológico en la Región"/>
        <s v="Grado de avance del Plan de Desarrollo Integral Fronterizo Bolivia - Perú"/>
        <s v="Número de participaciones de las organizaciones sociales en los organimos internacionales "/>
        <s v="Número de participaciones en  ALADI, ALBA - TCP, UNASUR, CELAC, CAN y MERCOSUR que contribuyen al fortalecimiento institucional de estos bloques de Integración"/>
        <s v="Número de propuestas a ser negociadas en las resoluciones de NNUU y OEA relativas a la cultura de la vida, de paz y elementos del modelo civilizatorio del Vivir Bien"/>
        <s v="Número de Visitas de Alto Nivel de carácter Bilateral"/>
        <s v="Número de Instrumentos Internacionales suscritos en el marco de la Ley de Celebración de Tratados Internacionales"/>
        <s v="Número de reuniones de Mecanismos Bilaterales"/>
        <s v="Número de acuerdos internacionales suscritos en materia de ciencia y tecnología"/>
        <s v="Número de nuevos mercados aperturados, a través de misiones diplomáticas"/>
        <s v="Porcentaje de las exportaciones que gozan de una preferencia arancelaria en países desarrollados"/>
        <s v="Porcentaje de las exportaciones no tradicionales que gozan de una preferencia arancelaria en países desarrollados"/>
        <s v="Número de Redes Subregional de Solidaridad  que busquen la creación de una organización mundial de los pueblos y de la Madre Tierra"/>
        <s v="Grado de implentación de la Declaración de la Conferencia Mundial sobre los Pueblos Indígenas"/>
        <s v="Encuentro Internacional en el marco de la Diplomacia de los Pueblos que ratifica  el horizonte civilizatorio del Vivir Bien realizado"/>
        <s v="Número de sistemas integrados que conforman la Red Consular Boliviana para la protección y asistencia de nuestros connacionales"/>
        <s v="Número de personas atendidas en los consulados y brigadas moviles"/>
        <s v="Número de oficinas consulares aperturadas"/>
        <s v="Porcentaje de Municipios con el Programa MI SALUD implementado "/>
        <s v="Porcentaje de municipios con Programa  TELESALUD implementado"/>
        <s v="Tasa de mortalidad infantil"/>
        <s v="Tasa de mortalidad de la niñez"/>
        <s v="Tasa de mortalidad neonatal"/>
        <s v="Razon de mortalidad materna"/>
        <s v="Porcentaje de partos atendidos por personal calificado"/>
        <s v="Tasa de embarazo en adolescentes"/>
        <s v="Porcentaje de municipios con Plan Municipal de Salud ejecutado."/>
        <s v="Incidencia de VIH"/>
        <s v="Incidencia de Tuberculosis"/>
        <s v="Indice Parasitario Anual (IPA)"/>
        <s v="Tasa de incidencia de Cáncer (todas sus formas)"/>
        <s v="Tasa de incidencia de hipertension arterial  "/>
        <s v="Tasa de incidencia de diabetes  (gestacional, tipo I y tipo II)"/>
        <s v="Porcentaje de establecimientos de salud que reportan información en salud al SUIS "/>
        <s v="Porcentaje de ejecución financiera del Plan de Hospitales"/>
        <s v="4 Institutos de Cuarto Nivel de Salud en ejecución"/>
        <s v="Porcentaje de ejecución financiera en Institutos de Cuarto Nivel de Salud"/>
        <s v="12 Establecimientos de Salud de Tercer Nivel en ejecución "/>
        <s v="Porcentaje de ejecución financiera en Establecimientos de Salud de Tercer Nivel "/>
        <s v="31 Establecimientos de Salud de Segundo Nivel en ejecución "/>
        <s v="Porcentaje de ejecución financiera en Establecimientos de Salud de Segundo Nivel "/>
        <s v="180 Establecimientos de Salud de Primer Nivel contruidos, ampliados y equipados"/>
        <s v="1.430 Puestos de Salud, elevados a catergoría de Centros de Salud"/>
        <s v="Densidad de Recursos Humanos"/>
        <s v="Número de nuevas unidades de hemodialisis implementadas en el Subsector Público"/>
        <s v="Número de pacientes beneficiados con trasplante renal"/>
        <s v="Porcentaje de la poblacion que accede a los Servicios de Salud Gratuitos"/>
        <s v="Porcentaje de Municipios con acceso a medicamentos esenciales en el SIAL"/>
        <s v="Población Ocupada cotizante activa"/>
        <s v="Porcentajes de localidades con población mayor a 50 habitantes, con servicio de comunicación telefónica"/>
        <s v="Porcentaje de localidades con población mayor a 50 habitantes, con servicio de Internet"/>
        <s v="Porcentaje de utilización de su capacidad operativa"/>
        <s v="Porcentaje de avance de implementación de la nube soberana "/>
        <s v="Porcentaje de avance de implementación en la primera fase"/>
        <s v="Agencia de Gobierno Electrónico Operando"/>
        <s v="Porcentaje de avance en la implementación de plantas de transmisión de Televisión Digital Terrestre"/>
        <s v="Volumen de semilla comercial, Registrada y Certificada producida por los SLAS, para abastecimiento comunitario."/>
        <s v="Número de Centros de Innovacion fortalecidos con capacidades de investigación, transferencia de tecnología, producción y prestación de servicios anualmente."/>
        <s v="Denuncias recibidas y admitidas por hechos de corrupción"/>
        <s v="Monto acumulado recuperado por daño económico al Estado por delitos de corrupción y vinculados "/>
        <s v="Porcentaje de entidades del nivel central del Estado vinculadas al portal de trámites del Estado"/>
        <s v="Entidades públicas que registran información de transparencia al Portal de Transparencia"/>
        <s v="Porcentaje de población con Cédula de Identidad "/>
        <s v="Entidades públicas que rinden cuentas "/>
        <s v="Porcentaje de entidades del nivel central del Estado que implementan políticas de simplificación de trámites"/>
        <s v="Porcentaje de mandatos (conclusiones) de la Cumbre Nacional de Justicia Plural, cumplidos o en ejecución"/>
        <s v="Porcentaje de causas resueltas"/>
        <s v="Porcentaje de privados de libertad con sentencia ejecutoriada"/>
        <s v="Porcentaje de magistrados y consejeros mujeres en el Órgano Judicial"/>
        <s v="Percepción de confianza en la Policia Boliviana"/>
        <s v="Clima Organizacional de la Policía Boliviana"/>
        <s v="Porcentaje de municipios que cuentan con tecnologia preventiva "/>
        <s v="Número de municipios que cuentan con Estaciones Policiales Integrales"/>
        <s v="Tasa de homicidios a nivel nacional  por cada 100.000 habitantes "/>
        <s v="Accidentes de  tránsito por cada 100.000 habitantes"/>
        <s v="Denuncias por violencia familiar y domestica  por cada 100.000 habitantes._x000a_"/>
        <s v="Número de servidores públicos policiales posgraduados, en nivel de especialidad, diplomado o maestría, en el Modelo de Policía Comunitaria "/>
        <s v="Porcentaje de la población  que percibe a la inseguridad y delincuencia como principal problema del país_x000a_"/>
        <s v="Porcentaje de población de 15 años o más de edad que en los últimos 12 meses ha sido víctima de algún hecho delictivo."/>
        <s v="Porcentaje de población de 15 años o más de edad que se siente seguro caminando sola(o) cerca de su vivienda cuando es de noche"/>
        <s v="Número  de operativos  de interdicción  a nivel nacional "/>
        <s v="Superficie de cultivos excedentarios de coca racionalizadas y erradicadas"/>
        <s v="Prevalencia de consumo de drogas en la población universitaria"/>
        <s v="Porcentaje de Centros Penitenciarios que han sido construidos y/o refaccionados  total o parcialmente"/>
        <s v="Personas privadas de libertad beneficiadas con programas  de reinserción social en 5 componentes: salud, educación, trabajo, cultura y deportes"/>
        <s v="Porcentaje de puestos de control migratorio fjo que cuentan con nuevo sistema de control de fronteras"/>
        <s v="Porcentaje de avance en la implementación del Sistema Integrado de Vigilancia,  Control y Defensa del Espacio Aéreo "/>
        <s v="Cobertura de acceso a fuentes mejoradas de agua (urbana)"/>
        <s v="Cobertura de acceso a fuentes mejoradas de agua (rural)"/>
        <s v="Cobertura de acceso a fuentes mejoradas de agua (total)"/>
        <s v="Cobertura de saneamiento (urbana)"/>
        <s v="Cobertura de saneamiento (rural)"/>
        <s v="Cobertura de saneamiento (total)"/>
        <s v="Número de piezas de Patrimonio Cultural recuperado."/>
        <s v="Número de manifestaciones culturales que cuentan con Declaratoria Nacional de Patrimonio Cultural Inmaterial"/>
        <s v="Número de formas de organización laboral fortalecidas mediante su inscripción en la Lista Representativa de Patrimonio Cultural Inmaterial de UNESCO."/>
        <s v="Porcentaje de niñas y niños menores de 5 años con desnutricion crònica"/>
        <s v="Porcentaje de niñas y niños menores de 5 años con anemia"/>
        <s v="Porcentaje de niñas y niños menores de 5 años con sobrepeso u obesidad"/>
        <s v="Porcentaje de mujeres en edad fértil con sobrepeso u obesidad"/>
        <s v="Porcentaje de lactancia materna exclusiva"/>
        <s v="Prevalencia de Inseguridad Alimentaria Severa o Moderada en el hogar"/>
        <s v="Porcentaje de Unidades Educativas que implementan acciones de recuperación de las prácticas comunitarias y conocimientos ancestrales."/>
        <s v="Porcentaje de municipios que emplean sitios sagrados para el fortalecimiento de sus identidades culturales."/>
        <s v="Porcentaje de servidores públicos capacitados en la Ley Nº 045."/>
        <s v="Porcentaje de estudiantes  de nivel secundario capacitados en la Ley Nº 045. "/>
        <s v="Porcentaje de denuncias por casos de racismo y discrimimación que concluyeron con sanción."/>
        <s v="Denuncias de trata de personas por cada 100 mil habitantes "/>
        <s v="Denuncias de tráfico de personas y delitos conexos: pornografía,  proxenetismo y violencia sexual comercial  por cada 100.000  habitantes "/>
        <s v="Prevalencia de consumo de alcohol de la población en general "/>
        <s v="Prevalencia de consumo de alcohol en población escolar -secundaria"/>
        <s v="Prevalencia de consumo de alcohol en población universitaria "/>
        <s v="                        _x000a_Porcentaje de NNA en centros de acogida que han sido   integrados a la familia"/>
        <s v="Porcentaje de mujeres que ocupan escaños en la Asamblea Legislativa Plurinacional (ALP)"/>
        <s v="Porcentaje de mujeres en cargos de altas autoridades del Organo Judicial"/>
        <s v="Porcentaje de mujeres que ocupan escaños en la Asamblea de Gobiernos Departamentales."/>
        <s v="Porcentaje de mujeres que ocupan escaños en Gobiernos Municipales."/>
        <s v="Proporción de mujeres en cargos directivos"/>
        <s v="Porcentaje de mujeres de 15 años de edad o más en situación de violencia de pareja y busqueda de ayuda en alguna institutición que presentaron denuncia formal"/>
        <s v="Porcentaje de mujeres de 15 años de edad o más en situación de violencia de género en el ámbito público en los ultimos 12 meses y  busqueda de ayuda que presentaron denuncia formal"/>
        <s v="Porcentaje de mujeres de 15 años edad  o más en situación de violencia de pareja que  buscaron  ayuda en alguna institutición, presentaron denuncia formal y recibieron atención médica o psicológica"/>
        <s v="Porcentaje de mujeres de 15 años de edad o más en situación de violencia de género en el ámbito social en los ultimos 12 meses que buscaron ayuda,  presentaron denuncia formal y recibieron asistencia medica o psicológica"/>
        <s v="Nº de Victimas de los delitos de trata y tráfico de personas, y delitos conexos en casos que cuenten con resolución de imputación formal por cada 100.000 habitantes."/>
        <s v="Porcentaje de población en condición de pobreza extrema"/>
        <s v="Porcentaje de población en condición de pobreza "/>
        <s v="Porcentaje de población Pobre por Necesidades Básicas Insatisfechas"/>
        <s v="Ratio de Ingresos entre el 10% más rico y del 10% más pobre"/>
        <s v="Tasa de Desocupación "/>
        <s v="Tasa de Desocupación de la población joven de 10 años y más"/>
        <s v="Tasa de Desocupación  de la población joven de 16 a 28 años de edad  "/>
        <s v="Tasa de Desocupación de la población joven de 16 a 28 años de edad"/>
        <s v="Porcentaje de Población de 16 a 28 años de edad, que Ni estudia Ni trabaja (NiNi)"/>
        <s v="Incremento de la población ocupada que cuenta con seguridad social largo plazo."/>
        <s v="Tasa de crecimiento anual del PIB real por persona empleada"/>
        <s v="Porcentaje de población de 5 años y más  que accede a infraestructura deportiva"/>
        <s v="Porcentaje de población de 5 años y más  que practica actividades fisico depotivas"/>
        <s v="Porcentaje de deportistas con entrenamiento y capacitación competitiva"/>
        <s v="Porcentaje de avance en la implementación de los programas específicos en unidades educativas"/>
        <s v="Porcentaje de deportistas de alto rendimiento que participan en eventos internacionales"/>
        <s v="Número de estudiantes con potencialidades deportivas que han sido detectados a temprana edad"/>
        <s v="Porcentaje de deportistas beneficiados con becas para entrenamiento o capacitación competitiva"/>
        <s v="Porcentaje de formadores deportistas capacitados"/>
        <s v="Incremento en la superficie cultivada."/>
        <s v="Incremento del Volumen de la producción agrícola."/>
        <s v="Volumen de semilla Certificada "/>
        <s v="Incremento del número de cabezas de ganado bovino en el j - esimo año"/>
        <s v="Incremento del número de cabezas de ganado ovino en el j - esimo año"/>
        <s v="Incremento del número de cabezas de ganado caprino en el j - esimo año"/>
        <s v="Incremento del número de cabezas de ganado porcino en el j - esimo año"/>
        <s v="Incremento del número de cabezas de ganado camélido (llamas y alpacas) en el j - esimo año"/>
        <s v="Incremento en el rendimiento de PAPA"/>
        <s v="Incremento en el rendimiento de SOJA"/>
        <s v="Incremento en el rendimiento de CAÑA DE AZÚCAR"/>
        <s v="Incremento en el rendimiento de MAÍZ GRANO"/>
        <s v="Incremento en el rendimiento de QUINUA"/>
        <s v="Incremento en el rendimiento de TRIGO"/>
        <s v="Incremento en el rendimiento de BANANO"/>
        <s v="Incremento en el rendimiento de PIÑA"/>
        <s v="Incremento en el rendimiento de TOMATE"/>
        <s v="Incremento en el rendimiento de CEBOLLA"/>
        <s v="Incremento en el rendimiento de HABA"/>
        <s v="Número de beneficiarios con acceso a programas de  apoyo a la producción"/>
        <s v="Porcentaje de productores que acceden al Seguro Agrario"/>
        <s v="Incremento de la Superficie con saneamiento y titulación"/>
        <s v="Participación porcentual de las mujeres en el saneamiento y titulación de tierras"/>
        <s v="Superficie adicional a la linea base distribuida y redistribuida"/>
        <s v="Superficie  bajo manejo integral y sustentable de bosques"/>
        <s v="Superficie forestal como porcentaje de la superficie total"/>
        <s v="Cantidad total de accesiones caracterizadas fenotipicamente "/>
        <s v="Cantidad total de accesiones caracterizadas fenotípicamente "/>
        <s v="Incremento de la capacidad de almacenamiento de granos estratégicos de EMAPA"/>
        <s v="Numero de Instrumentos de la política de Alimentación y nutrición (PAN) elaborados y aprobados"/>
        <s v="Número de Gobiernos Autónomos Municipales (GAM) que articulan e implementan programas, proyectos y/o actividades para lograr la implementación de la Política de Alimentación y Nutrición (PAN)."/>
        <s v="Número de Gobiernos Autónomos Departamentales (GAD) con un Consejo Departamental de Alimentación (CODAN) funcionando."/>
        <s v="Número de Gobiernos Autónomos Municipales (GAM) con un Consejo Municipal de Alimentación (COMAN) funcionando."/>
        <s v="Ratio de Deforestación Ilegal respecto a la Deforestación Total"/>
        <s v="Superficie incremental forestada y reforestada"/>
        <s v="Porcentaje de puntos de monitoreo con calidad hídrica buena (%PCHB)"/>
        <s v="Grado de Avance Medio en el Alcance de los Indicadores de la Calidad  hídrica (ΔCH), registrado para las cuencas Rocha, Piraí, Guadalquivir, Katari y Cotagaita"/>
        <s v="Acuerdo de Decisión Anual del Programa Fiscal Financiero "/>
        <s v="Saldo de la deuda pública total como porcentaje del PIB"/>
        <s v="Servicio de la deuda externa como porcentaje de las exportaciones "/>
        <s v="Número de agencias multilaterales y/o bilaterales de cooperación con las que se ha suscrito convenios de financiamiento externo _x000a_"/>
        <s v="Indicador de cumplimiento al Nivel mínimo de Cartera Observado en Bancos Múltiples"/>
        <s v="Indicador de cumplimiento al Nivel mínimo de Cartera Observado en Bancos PYME"/>
        <s v="Indicador de cumplimiento al Nivel mínimo de Cartera Observado en Entidades Financieras de Vivienda"/>
        <s v="Indicador de cumplimiento a la Cobertura en Servicios Financieros"/>
        <s v="Inversión Extranjera Directa en Sociedades Estatales Mixtas "/>
        <s v="Inversión Extranjera Directa con relación al PIB"/>
        <s v="Reservas Financieras Internacionale"/>
        <s v="Participación del volumen de producción del cultivo de trigo en el mercado interno"/>
        <s v="Participación del volumen de producción del cultivo de arroz en el mercado interno"/>
        <s v="Participación del volumen de producción del cultivo de maíz duro y blando en el mercado interno"/>
        <s v="Participación del volumen de producción del cultivo de quinua en el mercado interno"/>
        <s v="Participación del volumen de producción del cultivo de sorgo en el mercado interno"/>
        <s v="Participación del volumen de producción de los cultivos de haba, arveja, frijol, garbanzo, poroto y otros en el mercado interno"/>
        <s v="Participación del volumen de producción de los cultivos de  cebolla, zanahoria, ajo, rábano y otros en el mercado interno"/>
        <s v="Participación del volumen de producción de los cultivos de   lechuga, repollo, coliflor, brócoli y otros en el mercado interno"/>
        <s v="Participación del volumen de producción de los cultivos de  tomate, pepino, zapallo, ají, locoto, maíz choclo y otros en el mercado interno"/>
        <s v="Participación del volumen de producción del cultivo de  papa, tunta y chuño en el mercado interno"/>
        <s v="Participación del volumen de producción de los cultivos de alfalfa, avena berza, sorgo forrajero y otros en el mercado interno"/>
        <s v="Participación del volumen de producción del cultivo de  caña de azúcar en el mercado interno"/>
        <s v="Participación del volumen de producción de ganado bovino en el mercado interno"/>
        <s v="Participación del volumen de producción de ganado ovino en el mercado interno"/>
        <s v="Participación del volumen de producción de ganado caprino en el mercado interno"/>
        <s v="Participación del volumen de producción de ganado porcino en el mercado interno"/>
        <s v="Participación del volumen de producción de llamas en el mercado interno"/>
        <s v="Participación del volumen de producción de alpacas en el mercado interno"/>
        <s v="Participación del volumen de producción de aves en el mercado interno"/>
        <s v="Número de unidades económicas que comercializan productos con sello social boliviano."/>
        <s v="Número de familias  que comercializan productos ecológicos y orgánicos con sello ecológico boliviano "/>
        <s v="N° de reclamaciones de Usuarios/as y Consumidores/as atendidas por los centros de defensa."/>
        <s v="N° de Reclamaciones solucionadas  _x000a_"/>
        <s v="N° de verificativos realizados_x000a_"/>
        <s v="Deficit habitacional"/>
        <s v="Número de viviendas nuevas construidas al 2020"/>
        <s v="Número de viviendas mejoradas, ampliadas y/o renovadas al 2020"/>
        <s v="Porcentaje de hogares con vivienda propia"/>
        <s v="Porcentaje de hogares que habitan en viviendas inadecuadas"/>
        <s v="Número de unidades educativas que realizan eventos relacionados a la prevención de la violencia"/>
        <s v="Tasa de Asistencia de Educación Regular de 4 a 17 años "/>
        <s v="Tasa de abandono escolar de 4 a 17 años de edad"/>
        <s v="Personas jóvenes y adultas que concluyen el programa de post-alfabetización (6° de primaria)"/>
        <s v="Tasa de Alfabetismo de 15 a 24 años "/>
        <s v="Tasa de Alfabetismo y nociones elementales Aritméticas de la población de 15 a 24 años "/>
        <s v="Tasa de matriculación en la educación superior  de 19 a 23 años "/>
        <s v="Proporción de la población de 19 a 23 años con más de 12 años de estudio"/>
        <s v="Personas Matriculadas con 15 o más años de edad en educación alternativa técnica (EAT) "/>
        <s v="Escuelas Bolivianas Interculturales para formación artística_x000a_"/>
        <s v="Tasa de maestros en ejercicio con formación Post-Gradual en la Universidad Pedagógica"/>
        <s v="Maestros titulados por el PROFOCOM"/>
        <s v="Porcentaje de maestros con formación para el bachillerato técnico humanístico "/>
        <s v="Porcentaje de unidades educativas que participan de las Olimpiadas Científicas Estudiantiles"/>
        <s v="Porcentaje de Unidades Educativas Plenas que implementan el Bachillerato Técnico Humanístico"/>
        <s v="Estudiantes con  Bachillerato Técnico – Humanístico"/>
        <s v="Profesionales beneficiados con becas de post-grado en universidades extranjeras de excelencia"/>
        <s v="Institutos de Lengua y Cultura  en las Naciones y Pueblos Indigena Originarios (NyPIOs)."/>
        <s v="Profesionales beneficiados con becas de post-grado en universidades extranjeras de excelencia, incorporados laboralmente a las empresas y entidades del estado"/>
        <s v="Estudiantes que reciben Alimentación Complementaria Escolar por más de 150 días al año"/>
        <s v="Tasa de participación en la enseñanza organizada (un año antes de la edad oficial de ingreso en la enseñanza primaria)"/>
      </sharedItems>
    </cacheField>
    <cacheField name="TIPO DE INDICADOR_x000a_(Impacto= Miden cambios en la vida de las personas, _x000a_Producto= Miden Bienes o servicios entregados, _x000a_Proceso= Miden actividades para conseguir un producto, _x000a_Insumo=Miden Recursos para realizar las actividades, financieros, humanos, etc.)" numFmtId="0">
      <sharedItems/>
    </cacheField>
    <cacheField name="DIMENSIÓN DE INDICADOR_x000a_(Eficacia=Miden nivel de cumplimiento de los objetivos, _x000a_Calidad= Evalúan atributos respecto a normas, referenias externas o satisfacción de los beneficiarios (usuarios), _x000a_Eficiencia=Miden el cumplimiento de los objetivos optimizando recursos, _x000a_Economía= Indicadores típicos de economía son la capacidad de autofinanciamiento y ejecución presupuestaria)" numFmtId="0">
      <sharedItems containsBlank="1" containsMixedTypes="1" containsNumber="1" containsInteger="1" minValue="1989" maxValue="1990"/>
    </cacheField>
    <cacheField name="VARIABLES DE DESAGREGACIÓN DEL INDICADOR_x000a__x000a_(Ej. Sexo, Edad, Área Geográfica, etc.) " numFmtId="0">
      <sharedItems containsBlank="1"/>
    </cacheField>
    <cacheField name="UNIDAD DE MEDIDA DEL INDICADOR" numFmtId="0">
      <sharedItems containsBlank="1" longText="1"/>
    </cacheField>
    <cacheField name="DEFINICIÓN DEL INDICADOR (DESCRIPCION)_x000a__x000a_" numFmtId="0">
      <sharedItems containsBlank="1" longText="1"/>
    </cacheField>
    <cacheField name="CALCULO DEL INDICADOR _x000a_(Si estuviera disponible detallar la Fórmula y los parámetros de la fórmula: Nominador, Denominador) " numFmtId="0">
      <sharedItems containsBlank="1" longText="1"/>
    </cacheField>
    <cacheField name="Numerador (descripción)" numFmtId="0">
      <sharedItems containsBlank="1" longText="1"/>
    </cacheField>
    <cacheField name="Fuente del Numerador" numFmtId="0">
      <sharedItems containsBlank="1" containsMixedTypes="1" containsNumber="1" containsInteger="1" minValue="5" maxValue="5" longText="1"/>
    </cacheField>
    <cacheField name="Denominador (descripción)" numFmtId="0">
      <sharedItems containsBlank="1" longText="1"/>
    </cacheField>
    <cacheField name="Fuente del Denominador" numFmtId="0">
      <sharedItems containsBlank="1"/>
    </cacheField>
    <cacheField name="SERIE DISPONIBLE DEL INDICADOR" numFmtId="0">
      <sharedItems containsDate="1" containsBlank="1" containsMixedTypes="1" minDate="1900-01-03T18:40:04" maxDate="1900-01-05T10:40:04"/>
    </cacheField>
    <cacheField name="OBSERVACIONES A LA FUENTE DE DATOS_x000a__x000a_(Detallar el alcance del indicador u aspectos relevantes a considerar para su uso)" numFmtId="0">
      <sharedItems containsBlank="1" containsMixedTypes="1" containsNumber="1" containsInteger="1" minValue="2013" maxValue="2017" longText="1"/>
    </cacheField>
    <cacheField name="Cod_fuente" numFmtId="0">
      <sharedItems containsBlank="1" containsMixedTypes="1" containsNumber="1" containsInteger="1" minValue="1" maxValue="4" longText="1"/>
    </cacheField>
    <cacheField name="ID_Fuente" numFmtId="0">
      <sharedItems containsBlank="1" containsMixedTypes="1" containsNumber="1" containsInteger="1" minValue="20406011" maxValue="20406414"/>
    </cacheField>
    <cacheField name="ACRÓNIMO / ABREVIACIÓN DE LA FUENTE DE DATOS" numFmtId="0">
      <sharedItems containsBlank="1"/>
    </cacheField>
    <cacheField name="NOMBRE DE FUENTE DE DATOS" numFmtId="0">
      <sharedItems containsBlank="1"/>
    </cacheField>
    <cacheField name="TIPO DE FUENTE DE DATOS_x000a_(Encuesta,_x000a_Censo, _x000a_Registro Administrativo)" numFmtId="0">
      <sharedItems containsBlank="1"/>
    </cacheField>
    <cacheField name="PERIODICIDAD_x000a_(Frecuencia con que se recopilan los datos)" numFmtId="0">
      <sharedItems containsBlank="1"/>
    </cacheField>
    <cacheField name="SERIE DISPONIBLE DE DATOS" numFmtId="0">
      <sharedItems containsDate="1" containsBlank="1" containsMixedTypes="1" minDate="1900-01-03T18:40:04" maxDate="1900-01-05T14:40:04"/>
    </cacheField>
    <cacheField name="COBERTURA  GEOGRÁFICA DE LA OP. ESTADÍSTICA" numFmtId="0">
      <sharedItems containsBlank="1" containsMixedTypes="1" containsNumber="1" containsInteger="1" minValue="2013" maxValue="2017" longText="1"/>
    </cacheField>
    <cacheField name="NIVEL DE REPRESENTATIVIDAD DE LOS DATOS " numFmtId="0">
      <sharedItems containsBlank="1" containsMixedTypes="1" containsNumber="1" containsInteger="1" minValue="1" maxValue="100" longText="1"/>
    </cacheField>
    <cacheField name="PRINCIPALES VARIABLES DE LA FUENTE DE DATOS_x000a_" numFmtId="0">
      <sharedItems containsBlank="1" longText="1"/>
    </cacheField>
    <cacheField name="OBSERVACIONES" numFmtId="0">
      <sharedItems containsBlank="1" longText="1"/>
    </cacheField>
    <cacheField name="RESPONSABLE DE LA FUENTE DE DATOS _x000a_(1)_x000a_(Precisar Nombre y Acrónimo de la Institución)" numFmtId="0">
      <sharedItems containsBlank="1" longText="1"/>
    </cacheField>
    <cacheField name="RESPONSABLE DE LA FUENTE DE DATOS _x000a_(2)_x000a_(Precisar  Nombre y Acrónimo de Viceministerio a cargo)" numFmtId="0">
      <sharedItems containsBlank="1" containsMixedTypes="1" containsNumber="1" containsInteger="1" minValue="5" maxValue="5"/>
    </cacheField>
    <cacheField name="RESPONSABLE DE LA FUENTE DE DATOS _x000a_(3)_x000a_(Precisar  Nombre y Acrónimo de  Dirección/Unidad a cargo si corresponde)" numFmtId="0">
      <sharedItems containsBlank="1"/>
    </cacheField>
    <cacheField name="RESPONSABLE DE LA FUENTE DE DATOS _x000a_(4)_x000a__x000a_(Precisar teléfono de referencia)" numFmtId="0">
      <sharedItems containsBlank="1" containsMixedTypes="1" containsNumber="1" minValue="0.99919999999999998" maxValue="4141594"/>
    </cacheField>
    <cacheField name="Fecha de la Línea Base_x000a_(Fecha del Dato registrado antes de la intervención)" numFmtId="0">
      <sharedItems containsDate="1" containsBlank="1" containsMixedTypes="1" minDate="1900-01-04T02:40:04" maxDate="2016-12-02T00:00:00"/>
    </cacheField>
    <cacheField name="Línea Base / Valor Actual del Indicador_x000a_(Dato registrado antes de la intervención)" numFmtId="0">
      <sharedItems containsBlank="1" containsMixedTypes="1" containsNumber="1" minValue="0" maxValue="8948602"/>
    </cacheField>
    <cacheField name="META_x000a_PDES 2020_x000a__x000a_(Asumir la detallada en el PDES o establecer una meta Sectorial en su defecto)" numFmtId="0">
      <sharedItems containsBlank="1" containsMixedTypes="1" containsNumber="1" minValue="0" maxValue="852059206"/>
    </cacheField>
    <cacheField name="META _x000a_2030_x000a__x000a_(Meta Agenda ODS 2030)" numFmtId="0">
      <sharedItems containsBlank="1" containsMixedTypes="1" containsNumber="1" minValue="0" maxValue="930000000"/>
    </cacheField>
    <cacheField name="BRECHA AL 2020_x000a__x000a_(Meta PDES 2020 - Línea Base)" numFmtId="0">
      <sharedItems containsBlank="1" containsMixedTypes="1" containsNumber="1" minValue="-1938282" maxValue="1000000000"/>
    </cacheField>
    <cacheField name="PLAZO EN AÑOS_x000a__x000a_(Plazo en el que se debe alcanzar la meta 2020 del indicador)" numFmtId="0">
      <sharedItems containsBlank="1" containsMixedTypes="1" containsNumber="1" minValue="-108.10000000000002" maxValue="77940794"/>
    </cacheField>
    <cacheField name="Meta Parcial Año 2016_x000a_(Meta del indicador al Año 1 de la intervención)" numFmtId="0">
      <sharedItems containsBlank="1" containsMixedTypes="1" containsNumber="1" minValue="0" maxValue="9359412"/>
    </cacheField>
    <cacheField name="Valor Reportado del Indicador_x000a_Año 2016" numFmtId="0">
      <sharedItems containsBlank="1" containsMixedTypes="1" containsNumber="1" minValue="0" maxValue="867647364.79999995"/>
    </cacheField>
    <cacheField name="VARIACIÓN AL 2016_x000a_(DATO 2016 - LB)" numFmtId="0">
      <sharedItems containsBlank="1" containsMixedTypes="1" containsNumber="1" minValue="-32184" maxValue="330762"/>
    </cacheField>
    <cacheField name="AVANCE EN LA META _x000a_(VARIACIÓN 2016 / BRECHA 2020)" numFmtId="0">
      <sharedItems containsBlank="1" containsMixedTypes="1" containsNumber="1" minValue="-852059206" maxValue="10.000000000000002"/>
    </cacheField>
    <cacheField name="Meta Parcial Año 2017_x000a_(Meta del indicador al Año 2 de la intervención)" numFmtId="0">
      <sharedItems containsBlank="1" containsMixedTypes="1" containsNumber="1" minValue="-10.932134024705984" maxValue="9770222"/>
    </cacheField>
    <cacheField name="Valor Reportado del Indicador_x000a_Año 2017" numFmtId="0">
      <sharedItems containsBlank="1" containsMixedTypes="1" containsNumber="1" minValue="-0.3" maxValue="883235523.60000002"/>
    </cacheField>
    <cacheField name="VARIACIÓN AL 2017_x000a_(DATO 2017 - LB)" numFmtId="0">
      <sharedItems containsBlank="1" containsMixedTypes="1" containsNumber="1" minValue="-1938282" maxValue="630919"/>
    </cacheField>
    <cacheField name="AVANCE EN LA META_x000a_(VARIACIÓN 2017 / BRECHA 2020)" numFmtId="0">
      <sharedItems containsBlank="1" containsMixedTypes="1" containsNumber="1" minValue="-852059206" maxValue="21.845584968104678"/>
    </cacheField>
    <cacheField name="Meta Parcial Año 2018_x000a_(Meta del indicador al Año 3 de la intervención)" numFmtId="0">
      <sharedItems containsBlank="1" containsMixedTypes="1" containsNumber="1" minValue="-10.932134024705984" maxValue="10181032"/>
    </cacheField>
    <cacheField name="Valor Reportado del Indicador_x000a_Año 2018" numFmtId="0">
      <sharedItems containsBlank="1" containsMixedTypes="1" containsNumber="1" minValue="0" maxValue="898823682.39999998"/>
    </cacheField>
    <cacheField name="VARIACIÓN AL 2018_x000a_(DATO 2018 - LB)" numFmtId="0">
      <sharedItems containsBlank="1" containsMixedTypes="1" containsNumber="1" minValue="-8948602" maxValue="4349294"/>
    </cacheField>
    <cacheField name="AVANCE EN LA META_x000a_(VARIACIÓN 2018 / BRECHA 2020)" numFmtId="0">
      <sharedItems containsBlank="1" containsMixedTypes="1" containsNumber="1" minValue="-852059206" maxValue="28.500000000000131"/>
    </cacheField>
    <cacheField name="Meta Parcial Año 2019_x000a_(Meta del indicador al Año 4 de la intervención)" numFmtId="0">
      <sharedItems containsBlank="1" containsMixedTypes="1" containsNumber="1" minValue="-10.932134024705984" maxValue="10980967.800000001"/>
    </cacheField>
    <cacheField name="Valor Reportado del Indicador_x000a_Año 2019" numFmtId="0">
      <sharedItems containsBlank="1" containsMixedTypes="1" containsNumber="1" minValue="0" maxValue="914411841.20000005"/>
    </cacheField>
    <cacheField name="VARIACIÓN AL 2019_x000a_(DATO 2019 - LB)" numFmtId="0">
      <sharedItems containsBlank="1" containsMixedTypes="1" containsNumber="1" minValue="-8948602" maxValue="490"/>
    </cacheField>
    <cacheField name="AVANCE AVANCE EN LA META _x000a_(VARIACIÓN 2019 / BRECHA 2020)" numFmtId="0">
      <sharedItems containsBlank="1" containsMixedTypes="1" containsNumber="1" minValue="-852059206" maxValue="28.500000000000131"/>
    </cacheField>
    <cacheField name="Meta Propuesta Año 2020_x000a_(Meta final del Indicador al término del Plan)" numFmtId="0">
      <sharedItems containsBlank="1" containsMixedTypes="1" containsNumber="1" minValue="-10.932134024705984" maxValue="11862809"/>
    </cacheField>
    <cacheField name="Valor Reportado del Indicador_x000a_Año 2020" numFmtId="0">
      <sharedItems containsBlank="1" containsMixedTypes="1" containsNumber="1" minValue="0" maxValue="930000000"/>
    </cacheField>
    <cacheField name="VARIACIÓN AL 2020_x000a_(DATO 2020 - LB)" numFmtId="0">
      <sharedItems containsBlank="1" containsMixedTypes="1" containsNumber="1" minValue="-8948602" maxValue="4130"/>
    </cacheField>
    <cacheField name="AVANCE _x000a_(VARIACIÓN 2020 / BRECHA 2020)" numFmtId="0">
      <sharedItems containsBlank="1" containsMixedTypes="1" containsNumber="1" minValue="-852059206" maxValue="28.500000000000131"/>
    </cacheField>
    <cacheField name="FRECUENCIA DE REPORTE DEL INDICADOR" numFmtId="0">
      <sharedItems containsBlank="1" containsMixedTypes="1" containsNumber="1" minValue="-10.932134024705984" maxValue="57.000000000000576"/>
    </cacheField>
    <cacheField name="SERIE DEL INDICADOR REPORTADO_x000a__x000a_(Cargar/Entregar Archivo Excel bajo Formato Establecido)_x000a__x000a_(Detallar:_x000a_Entregado_x000a_Pendiente_x000a_No disponible)" numFmtId="0">
      <sharedItems containsBlank="1" containsMixedTypes="1" containsNumber="1" minValue="-38033.008344519883" maxValue="-38033.008344519883"/>
    </cacheField>
    <cacheField name="ESTADO DE REVISIÓN INE_x000a__x000a_(Opción de hacer comentarios en cada Campo y de dar el VoBo para su validación)_x000a_Detallar: _x000a_Modificar_x000a_Verificar_x000a_Eliminar_x000a_Aprobado" numFmtId="0">
      <sharedItems containsBlank="1"/>
    </cacheField>
    <cacheField name="ESTADO DE REVISIÓN UDAPE_x000a__x000a_(Opción de hacer comentarios en cada Campo y de dar el VoBo para su validación)_x000a_Detallar: _x000a_Modificar_x000a_Verificar_x000a_Eliminar_x000a_Aprobado" numFmtId="0">
      <sharedItems containsBlank="1"/>
    </cacheField>
    <cacheField name="ESTADO DE REVISIÓN VPC_x000a__x000a_(Opción de hacer comentarios en cada Campo y de dar el VoBo para su validación)_x000a_Detallar: _x000a_Modificar_x000a_Verificar_x000a_Eliminar_x000a_Aprobado" numFmtId="0">
      <sharedItems containsBlank="1"/>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count="355">
  <r>
    <x v="0"/>
    <x v="0"/>
    <x v="0"/>
    <x v="0"/>
    <x v="0"/>
    <x v="0"/>
    <x v="0"/>
    <x v="0"/>
    <x v="0"/>
    <x v="0"/>
    <x v="0"/>
    <x v="0"/>
    <x v="0"/>
    <x v="0"/>
    <x v="0"/>
    <x v="0"/>
    <m/>
    <s v="RS"/>
    <s v="0101"/>
    <s v="Erradicación de la pobreza extrema material y reducción significativa de la pobreza moderada."/>
    <s v="0101.RS.1.1.1.A"/>
    <s v="A"/>
    <s v="Pobreza Extrema vía Ingresos"/>
    <s v="Ingresos del Hogar (Laborales y no laborales)_x000a_Acceso a alimentos (Canasta Básica de Alimentos)"/>
    <m/>
    <n v="33.333333333333336"/>
    <m/>
    <m/>
    <x v="0"/>
    <x v="0"/>
    <x v="0"/>
    <m/>
    <m/>
    <m/>
    <m/>
    <m/>
    <m/>
    <m/>
    <m/>
    <n v="8.3333333333333339"/>
    <x v="0"/>
    <x v="0"/>
    <x v="0"/>
    <x v="0"/>
    <x v="0"/>
    <x v="0"/>
    <x v="0"/>
    <x v="0"/>
    <x v="0"/>
    <x v="0"/>
    <x v="0"/>
    <x v="0"/>
    <x v="0"/>
    <x v="0"/>
    <x v="0"/>
    <x v="0"/>
    <x v="0"/>
    <x v="0"/>
    <s v="Pobreza bajo línea de la Pobreza es un enfoque de la medición del bienestar basado en el ingreso, por lo que la pobreza se reduce a una cuantía monetaria: el ingreso y su capacidad adquisitiva. A partir del método de líneas de pobreza se considera pobres a las personas cuyo ingreso no es suficiente para mantener un nivel de vida considerado adecuado, aspecto relacionado a la pobreza coyuntural"/>
    <s v="Serie disponible con el factor actualizado desde 2011"/>
    <n v="1"/>
    <s v="010100111"/>
    <s v="Encuestas Hogares"/>
    <s v="Anual"/>
    <d v="2016-11-01T00:00:00"/>
    <s v="Nacional"/>
    <s v="Departamental"/>
    <s v="Instituto Nacional de Estadística (INE)"/>
    <s v="Instituto Nacional de Estadística (INE)"/>
    <s v="Indicador Calculado"/>
    <s v="Todas las entidades a nivel nacional"/>
    <d v="2015-11-01T00:00:00"/>
    <n v="0.16839999999999999"/>
    <s v="Tendencia decreciente "/>
    <n v="-1.2999999999999999E-2"/>
    <n v="9.5000000000000001E-2"/>
    <s v="Tendencia decreciente"/>
    <n v="-1.4679999999999999E-2"/>
    <n v="-7.3399999999999993E-2"/>
    <n v="5"/>
    <n v="0.15372"/>
    <n v="0.18280879999999999"/>
    <n v="1.4408799999999999E-2"/>
    <n v="-0.19630517711171663"/>
    <n v="0.13904"/>
    <n v="0"/>
    <n v="-0.16839999999999999"/>
    <n v="2.2942779291553137"/>
    <n v="0.12436"/>
    <n v="0"/>
    <n v="-0.16839999999999999"/>
    <n v="2.2942779291553137"/>
    <n v="0.10968"/>
    <n v="0"/>
    <n v="-0.16839999999999999"/>
    <n v="2.2942779291553137"/>
    <n v="9.5000000000000001E-2"/>
    <n v="0"/>
    <n v="-0.16839999999999999"/>
    <n v="2.2942779291553137"/>
  </r>
  <r>
    <x v="0"/>
    <x v="0"/>
    <x v="0"/>
    <x v="0"/>
    <x v="1"/>
    <x v="1"/>
    <x v="1"/>
    <x v="1"/>
    <x v="1"/>
    <x v="1"/>
    <x v="0"/>
    <x v="0"/>
    <x v="0"/>
    <x v="0"/>
    <x v="0"/>
    <x v="0"/>
    <m/>
    <s v="RS"/>
    <s v="0101"/>
    <s v="Erradicación de la pobreza extrema material y reducción significativa de la pobreza moderada."/>
    <s v="0101.RS.1.1.2.A"/>
    <s v="A"/>
    <s v="Pobreza Moderada vía Ingresos"/>
    <s v="Ingresos del Hogar (Laborales y no laborales)_x000a_Acceso a alimentos (Canasta Básica de Alimentos)"/>
    <s v="0101.RS.1.1.1.A"/>
    <n v="33.333333333333336"/>
    <m/>
    <m/>
    <x v="0"/>
    <x v="0"/>
    <x v="0"/>
    <m/>
    <m/>
    <m/>
    <m/>
    <m/>
    <m/>
    <m/>
    <m/>
    <n v="8.3333333333333339"/>
    <x v="0"/>
    <x v="0"/>
    <x v="0"/>
    <x v="0"/>
    <x v="0"/>
    <x v="0"/>
    <x v="0"/>
    <x v="0"/>
    <x v="0"/>
    <x v="0"/>
    <x v="0"/>
    <x v="0"/>
    <x v="0"/>
    <x v="0"/>
    <x v="1"/>
    <x v="1"/>
    <x v="0"/>
    <x v="0"/>
    <s v="Pobreza bajo línea de la Pobreza es un enfoque de la medición del bienestar basado en el ingreso, por lo que la pobreza se reduce a una cuantía monetaria: el ingreso y su capacidad adquisitiva. A partir del método de líneas de pobreza se considera pobres a las personas cuyo ingreso no es suficiente para mantener un nivel de vida considerado adecuado, aspecto relacionado a la pobreza coyuntural"/>
    <s v="Serie disponible con el factor actualizado desde 2011"/>
    <n v="1"/>
    <s v="010100211"/>
    <s v="Encuestas Hogares"/>
    <s v="Anual"/>
    <d v="2016-11-01T00:00:00"/>
    <s v="Nacional"/>
    <s v="Departamental"/>
    <s v="Instituto Nacional de Estadística (INE)"/>
    <s v="Instituto Nacional de Estadística (INE)"/>
    <s v="Indicador Calculado"/>
    <s v="Todas las entidades a nivel nacional"/>
    <d v="2015-11-01T00:00:00"/>
    <n v="0.3856"/>
    <s v="Tendencia decreciente "/>
    <n v="-2.5506500000000001E-2"/>
    <n v="0.24"/>
    <s v="Tendencia decreciente"/>
    <n v="-2.912E-2"/>
    <n v="-0.14560000000000001"/>
    <n v="5"/>
    <n v="0.35648000000000002"/>
    <n v="0.39449260000000003"/>
    <n v="8.8926000000000283E-3"/>
    <n v="-6.1075549450549639E-2"/>
    <n v="0.32735999999999998"/>
    <n v="0"/>
    <n v="-0.3856"/>
    <n v="2.6483516483516483"/>
    <n v="0.29824000000000001"/>
    <n v="0"/>
    <n v="-0.3856"/>
    <n v="2.6483516483516483"/>
    <n v="0.26912000000000003"/>
    <n v="0"/>
    <n v="-0.3856"/>
    <n v="2.6483516483516483"/>
    <n v="0.24"/>
    <n v="0"/>
    <n v="-0.3856"/>
    <n v="2.6483516483516483"/>
  </r>
  <r>
    <x v="0"/>
    <x v="0"/>
    <x v="0"/>
    <x v="0"/>
    <x v="2"/>
    <x v="2"/>
    <x v="2"/>
    <x v="2"/>
    <x v="2"/>
    <x v="2"/>
    <x v="0"/>
    <x v="0"/>
    <x v="0"/>
    <x v="0"/>
    <x v="0"/>
    <x v="0"/>
    <m/>
    <s v="RS"/>
    <s v="0101"/>
    <s v="Erradicación de la pobreza extrema material y reducción significativa de la pobreza moderada."/>
    <s v="0101.RS.1.1.3.B"/>
    <s v="B"/>
    <s v="Pobreza vía Necesidades Básicas Insatisfechas"/>
    <s v="Cobertura de Educación  (R94, R106)_x000a_Atención en Salud  (R80, R222)_x000a_Insumos energéticos  (R45, R73)_x000a_Servicios de Agua  (R39, R40) Servicios de Saneamiento (R41, R42)_x000a_Materiales de vivienda  (R3)_x000a_Espacios de vivienda"/>
    <m/>
    <n v="100"/>
    <m/>
    <m/>
    <x v="0"/>
    <x v="0"/>
    <x v="0"/>
    <m/>
    <m/>
    <m/>
    <m/>
    <m/>
    <m/>
    <m/>
    <m/>
    <n v="8.3333333333333339"/>
    <x v="0"/>
    <x v="0"/>
    <x v="1"/>
    <x v="0"/>
    <x v="1"/>
    <x v="0"/>
    <x v="0"/>
    <x v="0"/>
    <x v="1"/>
    <x v="0"/>
    <x v="1"/>
    <x v="0"/>
    <x v="0"/>
    <x v="0"/>
    <x v="2"/>
    <x v="2"/>
    <x v="1"/>
    <x v="1"/>
    <s v="Estadísticas de pobreza asociados a un estado de necesidad, carencia o privación de los bienes y servicios que determinan la satisfacción de las necesidades básicas de una persona o un hogar, específicamente, se evalúan condiciones de infraestructura de la vivienda, insumos energéticos (acceso a electricidad y combustible para cocinar), niveles educativos y atención de salud de la población. Estos aspectos representan una medida de la pobreza estructural"/>
    <s v="Dato disponible solo CNPV - 2012"/>
    <n v="1"/>
    <s v="010100311"/>
    <s v="Censo Nacional de Población y Vivienda"/>
    <s v="Cada 11 años"/>
    <n v="2012"/>
    <s v="Nacional"/>
    <s v="Municipal"/>
    <s v="Instituto Nacional de Estadística (INE)"/>
    <s v="Instituto Nacional de Estadística (INE)"/>
    <s v="Indicador Calculado"/>
    <s v="Todas las entidades a nivel nacional"/>
    <n v="2012"/>
    <n v="0.35299999999999998"/>
    <s v="Tendencia decreciente "/>
    <m/>
    <n v="0.22"/>
    <s v="Tendencia decreciente"/>
    <n v="-2.6599999999999995E-2"/>
    <n v="-0.13299999999999998"/>
    <n v="5"/>
    <n v="0.32639999999999997"/>
    <m/>
    <n v="-0.35299999999999998"/>
    <n v="2.6541353383458648"/>
    <n v="0.29980000000000001"/>
    <m/>
    <n v="-0.35299999999999998"/>
    <n v="2.6541353383458648"/>
    <n v="0.2732"/>
    <m/>
    <n v="-0.35299999999999998"/>
    <n v="2.6541353383458648"/>
    <n v="0.24659999999999999"/>
    <m/>
    <n v="-0.35299999999999998"/>
    <n v="2.6541353383458648"/>
    <n v="0.22"/>
    <m/>
    <n v="-0.35299999999999998"/>
    <n v="2.6541353383458648"/>
  </r>
  <r>
    <x v="0"/>
    <x v="0"/>
    <x v="0"/>
    <x v="0"/>
    <x v="3"/>
    <x v="3"/>
    <x v="3"/>
    <x v="3"/>
    <x v="3"/>
    <x v="3"/>
    <x v="0"/>
    <x v="0"/>
    <x v="0"/>
    <x v="0"/>
    <x v="0"/>
    <x v="0"/>
    <m/>
    <s v="RS"/>
    <s v="0101"/>
    <s v="Erradicación de la pobreza extrema material y reducción significativa de la pobreza moderada."/>
    <s v="0101.RS.1.1.4.A"/>
    <s v="A"/>
    <s v="Relación de Ingresos del Hogar per cápita, entre el percentil más rico y el más pobre "/>
    <s v="Ingresos del Hogar (Laborales y no laborales)_x000a_Acceso a alimentos (Canasta Básica de Alimentos)"/>
    <s v="0101.RS.1.1.1.A"/>
    <n v="33.333333333333336"/>
    <m/>
    <m/>
    <x v="0"/>
    <x v="0"/>
    <x v="1"/>
    <m/>
    <m/>
    <m/>
    <m/>
    <m/>
    <m/>
    <m/>
    <m/>
    <n v="8.3333333333333339"/>
    <x v="0"/>
    <x v="0"/>
    <x v="0"/>
    <x v="0"/>
    <x v="0"/>
    <x v="0"/>
    <x v="0"/>
    <x v="0"/>
    <x v="0"/>
    <x v="0"/>
    <x v="0"/>
    <x v="0"/>
    <x v="0"/>
    <x v="0"/>
    <x v="3"/>
    <x v="3"/>
    <x v="2"/>
    <x v="2"/>
    <s v="División entre el Percentil con ingresos más altos y el  Percentil con ingresos más bajos._x000a__x000a_RAZÓN DE PERCENTIL DE LA DISTRIBUCIÓN DE INGRESOS = Percentil 90 / Percentil 10"/>
    <s v="Serie disponible con el factor actualizado desde 2011"/>
    <n v="1"/>
    <s v="010100411"/>
    <s v="Encuestas Hogares"/>
    <s v="Anual"/>
    <d v="2016-11-01T00:00:00"/>
    <s v="Nacional"/>
    <s v="Departamental"/>
    <s v="Instituto Nacional de Estadística (INE)"/>
    <s v="Instituto Nacional de Estadística (INE)"/>
    <s v="Indicador Calculado"/>
    <s v="Todas las entidades a nivel nacional"/>
    <d v="2015-11-01T00:00:00"/>
    <n v="0.107"/>
    <s v="Tendencia decreciente "/>
    <n v="-2.7000000000000001E-3"/>
    <n v="2.6749999999999999E-2"/>
    <s v="Tendencia decreciente"/>
    <n v="-1.6050000000000002E-2"/>
    <n v="-8.0250000000000002E-2"/>
    <n v="5"/>
    <n v="9.0950000000000003E-2"/>
    <n v="0.13214000000000001"/>
    <n v="2.514000000000001E-2"/>
    <n v="-0.31327102803738327"/>
    <n v="7.4899999999999994E-2"/>
    <n v="0"/>
    <n v="-0.107"/>
    <n v="1.3333333333333333"/>
    <n v="5.8849999999999993E-2"/>
    <n v="0"/>
    <n v="-0.107"/>
    <n v="1.3333333333333333"/>
    <n v="4.2799999999999991E-2"/>
    <n v="0"/>
    <n v="-0.107"/>
    <n v="1.3333333333333333"/>
    <n v="2.6749999999999982E-2"/>
    <n v="0"/>
    <n v="-0.107"/>
    <n v="1.3333333333333333"/>
  </r>
  <r>
    <x v="0"/>
    <x v="0"/>
    <x v="0"/>
    <x v="0"/>
    <x v="4"/>
    <x v="4"/>
    <x v="4"/>
    <x v="4"/>
    <x v="4"/>
    <x v="4"/>
    <x v="0"/>
    <x v="0"/>
    <x v="0"/>
    <x v="0"/>
    <x v="0"/>
    <x v="1"/>
    <m/>
    <s v="RS"/>
    <s v="0101"/>
    <s v="Erradicación de la pobreza extrema material y reducción significativa de la pobreza moderada."/>
    <s v="0101.RS.1.1.5.D"/>
    <s v="D"/>
    <s v="Programas Sociales para personas y hogares más pobres y vulnerables"/>
    <s v="Bono Juancito Pinto_x000a_Bono Juana Azurduy_x000a_Renta Dignidad"/>
    <s v="0101.RS.1.1.4.A"/>
    <n v="12.5"/>
    <m/>
    <m/>
    <x v="0"/>
    <x v="0"/>
    <x v="1"/>
    <s v="0101.RS.1.1.1.A"/>
    <m/>
    <m/>
    <m/>
    <m/>
    <m/>
    <m/>
    <m/>
    <n v="8.3333333333333339"/>
    <x v="0"/>
    <x v="0"/>
    <x v="1"/>
    <x v="0"/>
    <x v="1"/>
    <x v="0"/>
    <x v="0"/>
    <x v="0"/>
    <x v="0"/>
    <x v="1"/>
    <x v="1"/>
    <x v="0"/>
    <x v="0"/>
    <x v="1"/>
    <x v="4"/>
    <x v="4"/>
    <x v="3"/>
    <x v="3"/>
    <m/>
    <m/>
    <m/>
    <s v="0101005"/>
    <m/>
    <m/>
    <m/>
    <m/>
    <m/>
    <m/>
    <m/>
    <m/>
    <m/>
    <m/>
    <m/>
    <m/>
    <m/>
    <m/>
    <m/>
    <n v="0"/>
    <n v="0"/>
    <n v="5"/>
    <n v="0"/>
    <m/>
    <n v="0"/>
    <e v="#DIV/0!"/>
    <n v="0"/>
    <m/>
    <n v="0"/>
    <e v="#DIV/0!"/>
    <n v="0"/>
    <m/>
    <n v="0"/>
    <e v="#DIV/0!"/>
    <n v="0"/>
    <m/>
    <n v="0"/>
    <e v="#DIV/0!"/>
    <n v="0"/>
    <m/>
    <n v="0"/>
    <e v="#DIV/0!"/>
  </r>
  <r>
    <x v="0"/>
    <x v="0"/>
    <x v="0"/>
    <x v="0"/>
    <x v="5"/>
    <x v="5"/>
    <x v="5"/>
    <x v="5"/>
    <x v="5"/>
    <x v="5"/>
    <x v="0"/>
    <x v="0"/>
    <x v="0"/>
    <x v="0"/>
    <x v="0"/>
    <x v="1"/>
    <m/>
    <s v="RS"/>
    <s v="0101"/>
    <s v="Erradicación de la pobreza extrema material y reducción significativa de la pobreza moderada."/>
    <s v="0101.RS.1.1.6.D"/>
    <s v="D"/>
    <s v="Programas Sociales para personas y hogares más pobres y vulnerables"/>
    <m/>
    <s v="0101.RS.1.1.5.D"/>
    <n v="12.5"/>
    <m/>
    <m/>
    <x v="0"/>
    <x v="1"/>
    <x v="2"/>
    <m/>
    <m/>
    <m/>
    <m/>
    <m/>
    <m/>
    <m/>
    <m/>
    <n v="8.3333333333333339"/>
    <x v="0"/>
    <x v="0"/>
    <x v="1"/>
    <x v="0"/>
    <x v="1"/>
    <x v="0"/>
    <x v="0"/>
    <x v="0"/>
    <x v="0"/>
    <x v="0"/>
    <x v="1"/>
    <x v="1"/>
    <x v="1"/>
    <x v="1"/>
    <x v="5"/>
    <x v="4"/>
    <x v="3"/>
    <x v="3"/>
    <m/>
    <m/>
    <m/>
    <s v="0101006"/>
    <m/>
    <m/>
    <m/>
    <m/>
    <m/>
    <m/>
    <m/>
    <m/>
    <m/>
    <m/>
    <m/>
    <m/>
    <m/>
    <m/>
    <m/>
    <n v="0"/>
    <n v="0"/>
    <n v="5"/>
    <n v="0"/>
    <m/>
    <n v="0"/>
    <e v="#DIV/0!"/>
    <n v="0"/>
    <m/>
    <n v="0"/>
    <e v="#DIV/0!"/>
    <n v="0"/>
    <m/>
    <n v="0"/>
    <e v="#DIV/0!"/>
    <n v="0"/>
    <m/>
    <n v="0"/>
    <e v="#DIV/0!"/>
    <n v="0"/>
    <m/>
    <n v="0"/>
    <e v="#DIV/0!"/>
  </r>
  <r>
    <x v="0"/>
    <x v="0"/>
    <x v="0"/>
    <x v="0"/>
    <x v="6"/>
    <x v="6"/>
    <x v="6"/>
    <x v="6"/>
    <x v="6"/>
    <x v="6"/>
    <x v="0"/>
    <x v="0"/>
    <x v="1"/>
    <x v="0"/>
    <x v="0"/>
    <x v="1"/>
    <m/>
    <s v="PC"/>
    <s v="0101"/>
    <s v="Erradicación de la pobreza extrema material y reducción significativa de la pobreza moderada."/>
    <s v="0101.PC.1.1.7.D"/>
    <s v="D"/>
    <s v="Programas Sociales para personas y hogares más pobres y vulnerables"/>
    <m/>
    <s v="0101.RS.1.1.5.D"/>
    <n v="12.5"/>
    <m/>
    <m/>
    <x v="0"/>
    <x v="1"/>
    <x v="2"/>
    <m/>
    <m/>
    <m/>
    <m/>
    <m/>
    <m/>
    <m/>
    <m/>
    <n v="8.3333333333333339"/>
    <x v="1"/>
    <x v="1"/>
    <x v="1"/>
    <x v="0"/>
    <x v="0"/>
    <x v="0"/>
    <x v="1"/>
    <x v="0"/>
    <x v="0"/>
    <x v="0"/>
    <x v="1"/>
    <x v="1"/>
    <x v="1"/>
    <x v="1"/>
    <x v="6"/>
    <x v="4"/>
    <x v="3"/>
    <x v="3"/>
    <m/>
    <m/>
    <m/>
    <s v="0101007"/>
    <m/>
    <m/>
    <m/>
    <m/>
    <m/>
    <m/>
    <m/>
    <m/>
    <m/>
    <m/>
    <m/>
    <m/>
    <m/>
    <m/>
    <m/>
    <n v="0"/>
    <n v="0"/>
    <n v="5"/>
    <n v="0"/>
    <m/>
    <n v="0"/>
    <e v="#DIV/0!"/>
    <n v="0"/>
    <m/>
    <n v="0"/>
    <e v="#DIV/0!"/>
    <n v="0"/>
    <m/>
    <n v="0"/>
    <e v="#DIV/0!"/>
    <n v="0"/>
    <m/>
    <n v="0"/>
    <e v="#DIV/0!"/>
    <n v="0"/>
    <m/>
    <n v="0"/>
    <e v="#DIV/0!"/>
  </r>
  <r>
    <x v="0"/>
    <x v="0"/>
    <x v="0"/>
    <x v="0"/>
    <x v="7"/>
    <x v="7"/>
    <x v="7"/>
    <x v="7"/>
    <x v="7"/>
    <x v="7"/>
    <x v="0"/>
    <x v="0"/>
    <x v="0"/>
    <x v="0"/>
    <x v="0"/>
    <x v="1"/>
    <m/>
    <s v="RS"/>
    <s v="0101"/>
    <s v="Erradicación de la pobreza extrema material y reducción significativa de la pobreza moderada."/>
    <s v="0101.RS.1.1.8.D"/>
    <s v="D"/>
    <s v="Programas Sociales para personas y hogares más pobres y vulnerables"/>
    <m/>
    <s v="0101.RS.1.1.5.D"/>
    <n v="12.5"/>
    <m/>
    <m/>
    <x v="0"/>
    <x v="1"/>
    <x v="2"/>
    <m/>
    <m/>
    <m/>
    <m/>
    <m/>
    <m/>
    <m/>
    <m/>
    <n v="8.3333333333333339"/>
    <x v="0"/>
    <x v="0"/>
    <x v="1"/>
    <x v="0"/>
    <x v="1"/>
    <x v="0"/>
    <x v="0"/>
    <x v="0"/>
    <x v="0"/>
    <x v="0"/>
    <x v="1"/>
    <x v="1"/>
    <x v="1"/>
    <x v="1"/>
    <x v="7"/>
    <x v="4"/>
    <x v="3"/>
    <x v="3"/>
    <m/>
    <m/>
    <m/>
    <s v="0101008"/>
    <m/>
    <m/>
    <m/>
    <m/>
    <m/>
    <m/>
    <m/>
    <m/>
    <m/>
    <m/>
    <m/>
    <m/>
    <m/>
    <m/>
    <m/>
    <n v="0"/>
    <n v="0"/>
    <n v="5"/>
    <n v="0"/>
    <m/>
    <n v="0"/>
    <e v="#DIV/0!"/>
    <n v="0"/>
    <m/>
    <n v="0"/>
    <e v="#DIV/0!"/>
    <n v="0"/>
    <m/>
    <n v="0"/>
    <e v="#DIV/0!"/>
    <n v="0"/>
    <m/>
    <n v="0"/>
    <e v="#DIV/0!"/>
    <n v="0"/>
    <m/>
    <n v="0"/>
    <e v="#DIV/0!"/>
  </r>
  <r>
    <x v="0"/>
    <x v="0"/>
    <x v="0"/>
    <x v="0"/>
    <x v="8"/>
    <x v="8"/>
    <x v="8"/>
    <x v="8"/>
    <x v="8"/>
    <x v="8"/>
    <x v="0"/>
    <x v="0"/>
    <x v="1"/>
    <x v="0"/>
    <x v="0"/>
    <x v="1"/>
    <m/>
    <s v="PC"/>
    <s v="0101"/>
    <s v="Erradicación de la pobreza extrema material y reducción significativa de la pobreza moderada."/>
    <s v="0101.PC.1.1.9.D"/>
    <s v="D"/>
    <s v="Programas Sociales para personas y hogares más pobres y vulnerables"/>
    <m/>
    <s v="0101.RS.1.1.5.D"/>
    <n v="12.5"/>
    <m/>
    <m/>
    <x v="0"/>
    <x v="1"/>
    <x v="2"/>
    <m/>
    <m/>
    <m/>
    <m/>
    <m/>
    <m/>
    <m/>
    <m/>
    <n v="8.3333333333333339"/>
    <x v="1"/>
    <x v="1"/>
    <x v="1"/>
    <x v="0"/>
    <x v="0"/>
    <x v="0"/>
    <x v="1"/>
    <x v="0"/>
    <x v="0"/>
    <x v="0"/>
    <x v="1"/>
    <x v="1"/>
    <x v="1"/>
    <x v="1"/>
    <x v="8"/>
    <x v="4"/>
    <x v="3"/>
    <x v="3"/>
    <m/>
    <m/>
    <m/>
    <s v="0101009"/>
    <m/>
    <m/>
    <m/>
    <m/>
    <m/>
    <m/>
    <m/>
    <m/>
    <m/>
    <m/>
    <m/>
    <m/>
    <m/>
    <m/>
    <m/>
    <n v="0"/>
    <n v="0"/>
    <n v="5"/>
    <n v="0"/>
    <m/>
    <n v="0"/>
    <e v="#DIV/0!"/>
    <n v="0"/>
    <m/>
    <n v="0"/>
    <e v="#DIV/0!"/>
    <n v="0"/>
    <m/>
    <n v="0"/>
    <e v="#DIV/0!"/>
    <n v="0"/>
    <m/>
    <n v="0"/>
    <e v="#DIV/0!"/>
    <n v="0"/>
    <m/>
    <n v="0"/>
    <e v="#DIV/0!"/>
  </r>
  <r>
    <x v="0"/>
    <x v="0"/>
    <x v="0"/>
    <x v="0"/>
    <x v="9"/>
    <x v="9"/>
    <x v="9"/>
    <x v="9"/>
    <x v="9"/>
    <x v="9"/>
    <x v="0"/>
    <x v="0"/>
    <x v="1"/>
    <x v="0"/>
    <x v="0"/>
    <x v="1"/>
    <m/>
    <s v="PC"/>
    <s v="0101"/>
    <s v="Erradicación de la pobreza extrema material y reducción significativa de la pobreza moderada."/>
    <s v="0101.PC.1.1.10.D"/>
    <s v="D"/>
    <s v="Programas Sociales para personas y hogares más pobres y vulnerables"/>
    <m/>
    <s v="0101.RS.1.1.5.D"/>
    <n v="12.5"/>
    <m/>
    <m/>
    <x v="0"/>
    <x v="1"/>
    <x v="2"/>
    <m/>
    <m/>
    <m/>
    <m/>
    <m/>
    <m/>
    <m/>
    <m/>
    <n v="8.3333333333333339"/>
    <x v="1"/>
    <x v="1"/>
    <x v="1"/>
    <x v="0"/>
    <x v="0"/>
    <x v="0"/>
    <x v="1"/>
    <x v="0"/>
    <x v="0"/>
    <x v="0"/>
    <x v="1"/>
    <x v="1"/>
    <x v="1"/>
    <x v="1"/>
    <x v="9"/>
    <x v="4"/>
    <x v="3"/>
    <x v="3"/>
    <m/>
    <m/>
    <m/>
    <s v="0101010"/>
    <m/>
    <m/>
    <m/>
    <m/>
    <m/>
    <m/>
    <m/>
    <m/>
    <m/>
    <m/>
    <m/>
    <m/>
    <m/>
    <m/>
    <m/>
    <n v="0"/>
    <n v="0"/>
    <n v="5"/>
    <n v="0"/>
    <m/>
    <n v="0"/>
    <e v="#DIV/0!"/>
    <n v="0"/>
    <m/>
    <n v="0"/>
    <e v="#DIV/0!"/>
    <n v="0"/>
    <m/>
    <n v="0"/>
    <e v="#DIV/0!"/>
    <n v="0"/>
    <m/>
    <n v="0"/>
    <e v="#DIV/0!"/>
    <n v="0"/>
    <m/>
    <n v="0"/>
    <e v="#DIV/0!"/>
  </r>
  <r>
    <x v="0"/>
    <x v="0"/>
    <x v="0"/>
    <x v="0"/>
    <x v="10"/>
    <x v="10"/>
    <x v="10"/>
    <x v="10"/>
    <x v="10"/>
    <x v="10"/>
    <x v="0"/>
    <x v="0"/>
    <x v="1"/>
    <x v="0"/>
    <x v="0"/>
    <x v="1"/>
    <m/>
    <s v="PC"/>
    <s v="0101"/>
    <s v="Erradicación de la pobreza extrema material y reducción significativa de la pobreza moderada."/>
    <s v="0101.PC.1.1.11.D"/>
    <s v="D"/>
    <s v="Programas Sociales para personas y hogares más pobres y vulnerables"/>
    <m/>
    <s v="0101.RS.1.1.5.D"/>
    <n v="12.5"/>
    <m/>
    <m/>
    <x v="0"/>
    <x v="1"/>
    <x v="2"/>
    <m/>
    <m/>
    <m/>
    <m/>
    <m/>
    <m/>
    <m/>
    <m/>
    <n v="8.3333333333333339"/>
    <x v="1"/>
    <x v="1"/>
    <x v="1"/>
    <x v="0"/>
    <x v="0"/>
    <x v="0"/>
    <x v="1"/>
    <x v="0"/>
    <x v="0"/>
    <x v="0"/>
    <x v="1"/>
    <x v="1"/>
    <x v="1"/>
    <x v="1"/>
    <x v="10"/>
    <x v="4"/>
    <x v="3"/>
    <x v="3"/>
    <m/>
    <m/>
    <m/>
    <s v="0101011"/>
    <m/>
    <m/>
    <m/>
    <m/>
    <m/>
    <m/>
    <m/>
    <m/>
    <m/>
    <m/>
    <m/>
    <m/>
    <m/>
    <m/>
    <m/>
    <n v="0"/>
    <n v="0"/>
    <n v="5"/>
    <n v="0"/>
    <m/>
    <n v="0"/>
    <e v="#DIV/0!"/>
    <n v="0"/>
    <m/>
    <n v="0"/>
    <e v="#DIV/0!"/>
    <n v="0"/>
    <m/>
    <n v="0"/>
    <e v="#DIV/0!"/>
    <n v="0"/>
    <m/>
    <n v="0"/>
    <e v="#DIV/0!"/>
    <n v="0"/>
    <m/>
    <n v="0"/>
    <e v="#DIV/0!"/>
  </r>
  <r>
    <x v="0"/>
    <x v="0"/>
    <x v="0"/>
    <x v="0"/>
    <x v="11"/>
    <x v="11"/>
    <x v="11"/>
    <x v="11"/>
    <x v="11"/>
    <x v="11"/>
    <x v="0"/>
    <x v="0"/>
    <x v="1"/>
    <x v="0"/>
    <x v="0"/>
    <x v="1"/>
    <m/>
    <s v="PC"/>
    <s v="0101"/>
    <s v="Erradicación de la pobreza extrema material y reducción significativa de la pobreza moderada."/>
    <s v="0101.PC.1.1.12.D"/>
    <s v="D"/>
    <s v="Programas Sociales para personas y hogares más pobres y vulnerables"/>
    <m/>
    <s v="0101.RS.1.1.5.D"/>
    <n v="12.5"/>
    <m/>
    <m/>
    <x v="0"/>
    <x v="1"/>
    <x v="2"/>
    <m/>
    <m/>
    <m/>
    <m/>
    <m/>
    <m/>
    <m/>
    <m/>
    <n v="8.3333333333333339"/>
    <x v="1"/>
    <x v="1"/>
    <x v="1"/>
    <x v="0"/>
    <x v="0"/>
    <x v="0"/>
    <x v="1"/>
    <x v="0"/>
    <x v="0"/>
    <x v="0"/>
    <x v="1"/>
    <x v="1"/>
    <x v="1"/>
    <x v="1"/>
    <x v="11"/>
    <x v="4"/>
    <x v="3"/>
    <x v="3"/>
    <m/>
    <m/>
    <m/>
    <s v="0101012"/>
    <m/>
    <m/>
    <m/>
    <m/>
    <m/>
    <m/>
    <m/>
    <m/>
    <m/>
    <m/>
    <m/>
    <m/>
    <m/>
    <m/>
    <m/>
    <n v="0"/>
    <n v="0"/>
    <n v="5"/>
    <n v="0"/>
    <m/>
    <n v="0"/>
    <e v="#DIV/0!"/>
    <n v="0"/>
    <m/>
    <n v="0"/>
    <e v="#DIV/0!"/>
    <n v="0"/>
    <m/>
    <n v="0"/>
    <e v="#DIV/0!"/>
    <n v="0"/>
    <m/>
    <n v="0"/>
    <e v="#DIV/0!"/>
    <n v="0"/>
    <m/>
    <n v="0"/>
    <e v="#DIV/0!"/>
  </r>
  <r>
    <x v="0"/>
    <x v="0"/>
    <x v="1"/>
    <x v="1"/>
    <x v="0"/>
    <x v="12"/>
    <x v="12"/>
    <x v="12"/>
    <x v="12"/>
    <x v="12"/>
    <x v="1"/>
    <x v="1"/>
    <x v="1"/>
    <x v="1"/>
    <x v="1"/>
    <x v="1"/>
    <m/>
    <s v="PC"/>
    <s v="0102"/>
    <s v="Combatir la pobreza social."/>
    <s v="0102.PC.1.2.13.A"/>
    <s v="A"/>
    <s v="Recuperación de la Identidad plurinacional  individual y colectiva en el marco del Vivir bien"/>
    <m/>
    <s v="0102.RS.1.2.18.A"/>
    <n v="16.666666666666668"/>
    <m/>
    <m/>
    <x v="0"/>
    <x v="1"/>
    <x v="2"/>
    <m/>
    <m/>
    <m/>
    <m/>
    <m/>
    <m/>
    <m/>
    <m/>
    <n v="16.666666666666668"/>
    <x v="1"/>
    <x v="1"/>
    <x v="1"/>
    <x v="0"/>
    <x v="0"/>
    <x v="0"/>
    <x v="1"/>
    <x v="0"/>
    <x v="0"/>
    <x v="0"/>
    <x v="1"/>
    <x v="1"/>
    <x v="1"/>
    <x v="1"/>
    <x v="12"/>
    <x v="4"/>
    <x v="3"/>
    <x v="3"/>
    <m/>
    <m/>
    <m/>
    <s v="0102013"/>
    <m/>
    <m/>
    <m/>
    <m/>
    <m/>
    <m/>
    <m/>
    <m/>
    <m/>
    <m/>
    <m/>
    <m/>
    <m/>
    <m/>
    <m/>
    <n v="0"/>
    <n v="0"/>
    <n v="5"/>
    <n v="0"/>
    <m/>
    <n v="0"/>
    <e v="#DIV/0!"/>
    <n v="0"/>
    <m/>
    <n v="0"/>
    <e v="#DIV/0!"/>
    <n v="0"/>
    <m/>
    <n v="0"/>
    <e v="#DIV/0!"/>
    <n v="0"/>
    <m/>
    <n v="0"/>
    <e v="#DIV/0!"/>
    <n v="0"/>
    <m/>
    <n v="0"/>
    <e v="#DIV/0!"/>
  </r>
  <r>
    <x v="0"/>
    <x v="0"/>
    <x v="1"/>
    <x v="1"/>
    <x v="1"/>
    <x v="13"/>
    <x v="13"/>
    <x v="13"/>
    <x v="13"/>
    <x v="13"/>
    <x v="1"/>
    <x v="1"/>
    <x v="1"/>
    <x v="1"/>
    <x v="1"/>
    <x v="1"/>
    <m/>
    <s v="PC"/>
    <s v="0102"/>
    <s v="Combatir la pobreza social."/>
    <s v="0102.PC.1.2.14.A"/>
    <s v="A"/>
    <s v="Recuperación de la Identidad plurinacional  individual y colectiva en el marco del Vivir bien"/>
    <m/>
    <s v="0102.RS.1.2.18.A"/>
    <n v="16.666666666666668"/>
    <m/>
    <m/>
    <x v="0"/>
    <x v="1"/>
    <x v="2"/>
    <m/>
    <m/>
    <m/>
    <m/>
    <m/>
    <m/>
    <m/>
    <m/>
    <n v="16.666666666666668"/>
    <x v="1"/>
    <x v="1"/>
    <x v="1"/>
    <x v="0"/>
    <x v="0"/>
    <x v="0"/>
    <x v="1"/>
    <x v="0"/>
    <x v="0"/>
    <x v="0"/>
    <x v="1"/>
    <x v="1"/>
    <x v="1"/>
    <x v="1"/>
    <x v="13"/>
    <x v="4"/>
    <x v="3"/>
    <x v="3"/>
    <m/>
    <m/>
    <m/>
    <s v="0102014"/>
    <m/>
    <m/>
    <m/>
    <m/>
    <m/>
    <m/>
    <m/>
    <m/>
    <m/>
    <m/>
    <m/>
    <m/>
    <m/>
    <m/>
    <m/>
    <n v="0"/>
    <n v="0"/>
    <n v="5"/>
    <n v="0"/>
    <m/>
    <n v="0"/>
    <e v="#DIV/0!"/>
    <n v="0"/>
    <m/>
    <n v="0"/>
    <e v="#DIV/0!"/>
    <n v="0"/>
    <m/>
    <n v="0"/>
    <e v="#DIV/0!"/>
    <n v="0"/>
    <m/>
    <n v="0"/>
    <e v="#DIV/0!"/>
    <n v="0"/>
    <m/>
    <n v="0"/>
    <e v="#DIV/0!"/>
  </r>
  <r>
    <x v="0"/>
    <x v="0"/>
    <x v="1"/>
    <x v="1"/>
    <x v="2"/>
    <x v="14"/>
    <x v="14"/>
    <x v="14"/>
    <x v="14"/>
    <x v="14"/>
    <x v="1"/>
    <x v="1"/>
    <x v="1"/>
    <x v="1"/>
    <x v="1"/>
    <x v="1"/>
    <m/>
    <s v="PC"/>
    <s v="0102"/>
    <s v="Combatir la pobreza social."/>
    <s v="0102.PC.1.2.15.A"/>
    <s v="A"/>
    <s v="Recuperación de la Identidad plurinacional  individual y colectiva en el marco del Vivir bien"/>
    <m/>
    <s v="0102.RS.1.2.18.A"/>
    <n v="16.666666666666668"/>
    <m/>
    <m/>
    <x v="0"/>
    <x v="1"/>
    <x v="2"/>
    <m/>
    <m/>
    <m/>
    <m/>
    <m/>
    <m/>
    <m/>
    <m/>
    <n v="16.666666666666668"/>
    <x v="1"/>
    <x v="1"/>
    <x v="1"/>
    <x v="0"/>
    <x v="0"/>
    <x v="0"/>
    <x v="1"/>
    <x v="0"/>
    <x v="0"/>
    <x v="0"/>
    <x v="1"/>
    <x v="1"/>
    <x v="1"/>
    <x v="1"/>
    <x v="14"/>
    <x v="4"/>
    <x v="3"/>
    <x v="3"/>
    <m/>
    <m/>
    <m/>
    <s v="0102015"/>
    <m/>
    <m/>
    <m/>
    <m/>
    <m/>
    <m/>
    <m/>
    <m/>
    <m/>
    <m/>
    <m/>
    <m/>
    <m/>
    <m/>
    <m/>
    <n v="0"/>
    <n v="0"/>
    <n v="5"/>
    <n v="0"/>
    <m/>
    <n v="0"/>
    <e v="#DIV/0!"/>
    <n v="0"/>
    <m/>
    <n v="0"/>
    <e v="#DIV/0!"/>
    <n v="0"/>
    <m/>
    <n v="0"/>
    <e v="#DIV/0!"/>
    <n v="0"/>
    <m/>
    <n v="0"/>
    <e v="#DIV/0!"/>
    <n v="0"/>
    <m/>
    <n v="0"/>
    <e v="#DIV/0!"/>
  </r>
  <r>
    <x v="0"/>
    <x v="0"/>
    <x v="1"/>
    <x v="1"/>
    <x v="3"/>
    <x v="15"/>
    <x v="15"/>
    <x v="15"/>
    <x v="15"/>
    <x v="15"/>
    <x v="1"/>
    <x v="1"/>
    <x v="0"/>
    <x v="1"/>
    <x v="1"/>
    <x v="1"/>
    <n v="1"/>
    <s v="RS"/>
    <s v="0102"/>
    <s v="Combatir la pobreza social."/>
    <s v="0102.RS.1.2.16.A"/>
    <s v="A"/>
    <s v="Recuperación de la Identidad plurinacional  individual y colectiva en el marco del Vivir bien"/>
    <m/>
    <s v="0102.RS.1.2.18.A"/>
    <n v="16.666666666666668"/>
    <m/>
    <m/>
    <x v="0"/>
    <x v="1"/>
    <x v="2"/>
    <m/>
    <m/>
    <m/>
    <m/>
    <m/>
    <m/>
    <m/>
    <m/>
    <n v="16.666666666666668"/>
    <x v="0"/>
    <x v="0"/>
    <x v="1"/>
    <x v="0"/>
    <x v="1"/>
    <x v="0"/>
    <x v="0"/>
    <x v="0"/>
    <x v="0"/>
    <x v="0"/>
    <x v="1"/>
    <x v="1"/>
    <x v="1"/>
    <x v="1"/>
    <x v="15"/>
    <x v="4"/>
    <x v="3"/>
    <x v="3"/>
    <m/>
    <m/>
    <m/>
    <s v="0102016"/>
    <m/>
    <m/>
    <m/>
    <m/>
    <m/>
    <m/>
    <m/>
    <m/>
    <m/>
    <m/>
    <m/>
    <m/>
    <m/>
    <m/>
    <m/>
    <n v="0"/>
    <n v="0"/>
    <n v="5"/>
    <n v="0"/>
    <m/>
    <n v="0"/>
    <e v="#DIV/0!"/>
    <n v="0"/>
    <m/>
    <n v="0"/>
    <e v="#DIV/0!"/>
    <n v="0"/>
    <m/>
    <n v="0"/>
    <e v="#DIV/0!"/>
    <n v="0"/>
    <m/>
    <n v="0"/>
    <e v="#DIV/0!"/>
    <n v="0"/>
    <m/>
    <n v="0"/>
    <e v="#DIV/0!"/>
  </r>
  <r>
    <x v="0"/>
    <x v="0"/>
    <x v="1"/>
    <x v="1"/>
    <x v="4"/>
    <x v="16"/>
    <x v="16"/>
    <x v="16"/>
    <x v="16"/>
    <x v="16"/>
    <x v="1"/>
    <x v="1"/>
    <x v="1"/>
    <x v="1"/>
    <x v="1"/>
    <x v="1"/>
    <m/>
    <s v="PC"/>
    <s v="0102"/>
    <s v="Combatir la pobreza social."/>
    <s v="0102.PC.1.2.17.A"/>
    <s v="A"/>
    <s v="Recuperación de la Identidad plurinacional  individual y colectiva en el marco del Vivir bien"/>
    <m/>
    <s v="0102.RS.1.2.18.A"/>
    <n v="16.666666666666668"/>
    <m/>
    <m/>
    <x v="0"/>
    <x v="1"/>
    <x v="2"/>
    <m/>
    <m/>
    <m/>
    <m/>
    <m/>
    <m/>
    <m/>
    <m/>
    <n v="16.666666666666668"/>
    <x v="1"/>
    <x v="1"/>
    <x v="1"/>
    <x v="0"/>
    <x v="0"/>
    <x v="0"/>
    <x v="1"/>
    <x v="0"/>
    <x v="0"/>
    <x v="0"/>
    <x v="1"/>
    <x v="1"/>
    <x v="1"/>
    <x v="1"/>
    <x v="16"/>
    <x v="4"/>
    <x v="3"/>
    <x v="3"/>
    <m/>
    <m/>
    <m/>
    <s v="0102017"/>
    <m/>
    <m/>
    <m/>
    <m/>
    <m/>
    <m/>
    <m/>
    <m/>
    <m/>
    <m/>
    <m/>
    <m/>
    <m/>
    <m/>
    <m/>
    <n v="0"/>
    <n v="0"/>
    <n v="5"/>
    <n v="0"/>
    <m/>
    <n v="0"/>
    <e v="#DIV/0!"/>
    <n v="0"/>
    <m/>
    <n v="0"/>
    <e v="#DIV/0!"/>
    <n v="0"/>
    <m/>
    <n v="0"/>
    <e v="#DIV/0!"/>
    <n v="0"/>
    <m/>
    <n v="0"/>
    <e v="#DIV/0!"/>
    <n v="0"/>
    <m/>
    <n v="0"/>
    <e v="#DIV/0!"/>
  </r>
  <r>
    <x v="0"/>
    <x v="0"/>
    <x v="1"/>
    <x v="1"/>
    <x v="5"/>
    <x v="17"/>
    <x v="17"/>
    <x v="17"/>
    <x v="17"/>
    <x v="17"/>
    <x v="1"/>
    <x v="1"/>
    <x v="0"/>
    <x v="1"/>
    <x v="1"/>
    <x v="1"/>
    <m/>
    <s v="RS"/>
    <s v="0102"/>
    <s v="Combatir la pobreza social."/>
    <s v="0102.RS.1.2.18.A"/>
    <s v="A"/>
    <s v="Recuperación de la Identidad plurinacional  individual y colectiva en el marco del Vivir bien"/>
    <m/>
    <m/>
    <n v="16.666666666666668"/>
    <m/>
    <m/>
    <x v="1"/>
    <x v="1"/>
    <x v="3"/>
    <m/>
    <m/>
    <m/>
    <m/>
    <m/>
    <m/>
    <m/>
    <m/>
    <n v="16.666666666666668"/>
    <x v="0"/>
    <x v="0"/>
    <x v="1"/>
    <x v="0"/>
    <x v="1"/>
    <x v="0"/>
    <x v="0"/>
    <x v="0"/>
    <x v="0"/>
    <x v="0"/>
    <x v="1"/>
    <x v="1"/>
    <x v="1"/>
    <x v="1"/>
    <x v="17"/>
    <x v="4"/>
    <x v="3"/>
    <x v="3"/>
    <m/>
    <m/>
    <m/>
    <s v="0102018"/>
    <m/>
    <m/>
    <m/>
    <m/>
    <m/>
    <m/>
    <m/>
    <m/>
    <m/>
    <m/>
    <m/>
    <m/>
    <m/>
    <m/>
    <m/>
    <n v="0"/>
    <n v="0"/>
    <n v="5"/>
    <n v="0"/>
    <m/>
    <n v="0"/>
    <e v="#DIV/0!"/>
    <n v="0"/>
    <m/>
    <n v="0"/>
    <e v="#DIV/0!"/>
    <n v="0"/>
    <m/>
    <n v="0"/>
    <e v="#DIV/0!"/>
    <n v="0"/>
    <m/>
    <n v="0"/>
    <e v="#DIV/0!"/>
    <n v="0"/>
    <m/>
    <n v="0"/>
    <e v="#DIV/0!"/>
  </r>
  <r>
    <x v="0"/>
    <x v="0"/>
    <x v="2"/>
    <x v="2"/>
    <x v="0"/>
    <x v="18"/>
    <x v="18"/>
    <x v="18"/>
    <x v="18"/>
    <x v="18"/>
    <x v="1"/>
    <x v="1"/>
    <x v="1"/>
    <x v="0"/>
    <x v="2"/>
    <x v="1"/>
    <m/>
    <s v="PC"/>
    <s v="0103"/>
    <s v="En Bolivia, ya no existen las comunidades cautivas, ninguna forma de pongueaje y esclavismo, y explotación en el trabajo infantil"/>
    <s v="0103.PC.1.3.19.D"/>
    <s v="D"/>
    <s v="Políticas y Programas Sociales para salvaguardar los Sistemas de Vida de Naciones y Pueblos Indígena Originarios  "/>
    <m/>
    <s v="0103.PC.1.3.20.D"/>
    <n v="50"/>
    <m/>
    <m/>
    <x v="0"/>
    <x v="1"/>
    <x v="2"/>
    <s v="0103.RS.1.3.21.A"/>
    <m/>
    <m/>
    <m/>
    <m/>
    <m/>
    <m/>
    <m/>
    <n v="20"/>
    <x v="1"/>
    <x v="1"/>
    <x v="1"/>
    <x v="0"/>
    <x v="0"/>
    <x v="0"/>
    <x v="1"/>
    <x v="0"/>
    <x v="0"/>
    <x v="0"/>
    <x v="1"/>
    <x v="1"/>
    <x v="1"/>
    <x v="1"/>
    <x v="18"/>
    <x v="4"/>
    <x v="3"/>
    <x v="3"/>
    <m/>
    <m/>
    <m/>
    <s v="0103019"/>
    <m/>
    <m/>
    <m/>
    <m/>
    <m/>
    <m/>
    <m/>
    <m/>
    <m/>
    <m/>
    <m/>
    <m/>
    <m/>
    <m/>
    <m/>
    <n v="0"/>
    <n v="0"/>
    <n v="5"/>
    <n v="0"/>
    <m/>
    <n v="0"/>
    <e v="#DIV/0!"/>
    <n v="0"/>
    <m/>
    <n v="0"/>
    <e v="#DIV/0!"/>
    <n v="0"/>
    <m/>
    <n v="0"/>
    <e v="#DIV/0!"/>
    <n v="0"/>
    <m/>
    <n v="0"/>
    <e v="#DIV/0!"/>
    <n v="0"/>
    <m/>
    <n v="0"/>
    <e v="#DIV/0!"/>
  </r>
  <r>
    <x v="0"/>
    <x v="0"/>
    <x v="2"/>
    <x v="2"/>
    <x v="1"/>
    <x v="19"/>
    <x v="19"/>
    <x v="19"/>
    <x v="19"/>
    <x v="19"/>
    <x v="1"/>
    <x v="1"/>
    <x v="1"/>
    <x v="0"/>
    <x v="2"/>
    <x v="1"/>
    <m/>
    <s v="PC"/>
    <s v="0103"/>
    <s v="En Bolivia, ya no existen las comunidades cautivas, ninguna forma de pongueaje y esclavismo, y explotación en el trabajo infantil"/>
    <s v="0103.PC.1.3.20.D"/>
    <s v="D"/>
    <s v="Políticas y Programas Sociales para salvaguardar los Sistemas de Vida de Naciones y Pueblos Indígena Originarios  "/>
    <m/>
    <m/>
    <n v="50"/>
    <m/>
    <m/>
    <x v="0"/>
    <x v="1"/>
    <x v="2"/>
    <s v="0103.RS.1.3.21.A"/>
    <m/>
    <m/>
    <m/>
    <m/>
    <m/>
    <m/>
    <m/>
    <n v="20"/>
    <x v="1"/>
    <x v="1"/>
    <x v="1"/>
    <x v="0"/>
    <x v="0"/>
    <x v="0"/>
    <x v="1"/>
    <x v="0"/>
    <x v="0"/>
    <x v="0"/>
    <x v="1"/>
    <x v="1"/>
    <x v="1"/>
    <x v="1"/>
    <x v="19"/>
    <x v="4"/>
    <x v="3"/>
    <x v="3"/>
    <m/>
    <m/>
    <m/>
    <s v="0103020"/>
    <m/>
    <m/>
    <m/>
    <m/>
    <m/>
    <m/>
    <m/>
    <m/>
    <m/>
    <m/>
    <m/>
    <m/>
    <m/>
    <m/>
    <m/>
    <n v="0"/>
    <n v="0"/>
    <n v="5"/>
    <n v="0"/>
    <m/>
    <n v="0"/>
    <e v="#DIV/0!"/>
    <n v="0"/>
    <m/>
    <n v="0"/>
    <e v="#DIV/0!"/>
    <n v="0"/>
    <m/>
    <n v="0"/>
    <e v="#DIV/0!"/>
    <n v="0"/>
    <m/>
    <n v="0"/>
    <e v="#DIV/0!"/>
    <n v="0"/>
    <m/>
    <n v="0"/>
    <e v="#DIV/0!"/>
  </r>
  <r>
    <x v="0"/>
    <x v="0"/>
    <x v="2"/>
    <x v="2"/>
    <x v="2"/>
    <x v="20"/>
    <x v="20"/>
    <x v="20"/>
    <x v="20"/>
    <x v="20"/>
    <x v="1"/>
    <x v="1"/>
    <x v="0"/>
    <x v="2"/>
    <x v="3"/>
    <x v="1"/>
    <m/>
    <s v="RS"/>
    <s v="0103"/>
    <s v="En Bolivia, ya no existen las comunidades cautivas, ninguna forma de pongueaje y esclavismo, y explotación en el trabajo infantil"/>
    <s v="0103.RS.1.3.21.A"/>
    <s v="A"/>
    <s v="Eliminación de relacions de servidumbre en actividades agrícolas y ganaderas"/>
    <m/>
    <m/>
    <n v="100"/>
    <m/>
    <m/>
    <x v="1"/>
    <x v="1"/>
    <x v="4"/>
    <m/>
    <m/>
    <m/>
    <m/>
    <m/>
    <m/>
    <m/>
    <m/>
    <n v="20"/>
    <x v="0"/>
    <x v="0"/>
    <x v="1"/>
    <x v="0"/>
    <x v="1"/>
    <x v="0"/>
    <x v="0"/>
    <x v="0"/>
    <x v="0"/>
    <x v="0"/>
    <x v="1"/>
    <x v="1"/>
    <x v="1"/>
    <x v="1"/>
    <x v="20"/>
    <x v="4"/>
    <x v="3"/>
    <x v="3"/>
    <m/>
    <m/>
    <m/>
    <s v="0103021"/>
    <m/>
    <m/>
    <m/>
    <m/>
    <m/>
    <m/>
    <m/>
    <m/>
    <m/>
    <m/>
    <m/>
    <m/>
    <m/>
    <m/>
    <m/>
    <n v="0"/>
    <n v="0"/>
    <n v="5"/>
    <n v="0"/>
    <m/>
    <n v="0"/>
    <e v="#DIV/0!"/>
    <n v="0"/>
    <m/>
    <n v="0"/>
    <e v="#DIV/0!"/>
    <n v="0"/>
    <m/>
    <n v="0"/>
    <e v="#DIV/0!"/>
    <n v="0"/>
    <m/>
    <n v="0"/>
    <e v="#DIV/0!"/>
    <n v="0"/>
    <m/>
    <n v="0"/>
    <e v="#DIV/0!"/>
  </r>
  <r>
    <x v="0"/>
    <x v="0"/>
    <x v="2"/>
    <x v="2"/>
    <x v="3"/>
    <x v="21"/>
    <x v="21"/>
    <x v="21"/>
    <x v="21"/>
    <x v="21"/>
    <x v="1"/>
    <x v="1"/>
    <x v="0"/>
    <x v="2"/>
    <x v="3"/>
    <x v="0"/>
    <m/>
    <s v="RS"/>
    <s v="0103"/>
    <s v="En Bolivia, ya no existen las comunidades cautivas, ninguna forma de pongueaje y esclavismo, y explotación en el trabajo infantil"/>
    <s v="0103.RS.1.3.22.B"/>
    <s v="B"/>
    <s v="Reducción de Trata y Tráfico y Delitos Conexos"/>
    <m/>
    <m/>
    <n v="100"/>
    <m/>
    <m/>
    <x v="0"/>
    <x v="0"/>
    <x v="5"/>
    <m/>
    <m/>
    <m/>
    <m/>
    <m/>
    <m/>
    <m/>
    <m/>
    <n v="20"/>
    <x v="0"/>
    <x v="0"/>
    <x v="0"/>
    <x v="0"/>
    <x v="0"/>
    <x v="0"/>
    <x v="0"/>
    <x v="0"/>
    <x v="0"/>
    <x v="0"/>
    <x v="0"/>
    <x v="0"/>
    <x v="1"/>
    <x v="1"/>
    <x v="21"/>
    <x v="4"/>
    <x v="3"/>
    <x v="3"/>
    <m/>
    <m/>
    <m/>
    <s v="0103022"/>
    <m/>
    <m/>
    <m/>
    <m/>
    <m/>
    <m/>
    <m/>
    <m/>
    <m/>
    <m/>
    <m/>
    <m/>
    <m/>
    <m/>
    <m/>
    <n v="0"/>
    <n v="0"/>
    <n v="5"/>
    <n v="0"/>
    <m/>
    <n v="0"/>
    <e v="#DIV/0!"/>
    <n v="0"/>
    <m/>
    <n v="0"/>
    <e v="#DIV/0!"/>
    <n v="0"/>
    <m/>
    <n v="0"/>
    <e v="#DIV/0!"/>
    <n v="0"/>
    <m/>
    <n v="0"/>
    <e v="#DIV/0!"/>
    <n v="0"/>
    <m/>
    <n v="0"/>
    <e v="#DIV/0!"/>
  </r>
  <r>
    <x v="0"/>
    <x v="0"/>
    <x v="2"/>
    <x v="2"/>
    <x v="4"/>
    <x v="22"/>
    <x v="22"/>
    <x v="22"/>
    <x v="22"/>
    <x v="22"/>
    <x v="1"/>
    <x v="1"/>
    <x v="0"/>
    <x v="2"/>
    <x v="3"/>
    <x v="1"/>
    <n v="1"/>
    <s v="RS"/>
    <s v="0103"/>
    <s v="En Bolivia, ya no existen las comunidades cautivas, ninguna forma de pongueaje y esclavismo, y explotación en el trabajo infantil"/>
    <s v="0103.RS.1.3.23.C"/>
    <s v="C"/>
    <s v="Erradicación de la Explotación Laboral de niños y adolescentes"/>
    <m/>
    <m/>
    <n v="100"/>
    <m/>
    <m/>
    <x v="1"/>
    <x v="1"/>
    <x v="6"/>
    <m/>
    <m/>
    <m/>
    <m/>
    <m/>
    <m/>
    <m/>
    <m/>
    <n v="20"/>
    <x v="0"/>
    <x v="0"/>
    <x v="1"/>
    <x v="0"/>
    <x v="1"/>
    <x v="0"/>
    <x v="0"/>
    <x v="0"/>
    <x v="0"/>
    <x v="0"/>
    <x v="1"/>
    <x v="1"/>
    <x v="1"/>
    <x v="1"/>
    <x v="22"/>
    <x v="4"/>
    <x v="3"/>
    <x v="3"/>
    <m/>
    <m/>
    <m/>
    <s v="0103023"/>
    <m/>
    <m/>
    <m/>
    <m/>
    <m/>
    <m/>
    <m/>
    <m/>
    <m/>
    <m/>
    <m/>
    <m/>
    <m/>
    <m/>
    <m/>
    <n v="0"/>
    <n v="0"/>
    <n v="5"/>
    <n v="0"/>
    <m/>
    <n v="0"/>
    <e v="#DIV/0!"/>
    <n v="0"/>
    <m/>
    <n v="0"/>
    <e v="#DIV/0!"/>
    <n v="0"/>
    <m/>
    <n v="0"/>
    <e v="#DIV/0!"/>
    <n v="0"/>
    <m/>
    <n v="0"/>
    <e v="#DIV/0!"/>
    <n v="0"/>
    <m/>
    <n v="0"/>
    <e v="#DIV/0!"/>
  </r>
  <r>
    <x v="0"/>
    <x v="0"/>
    <x v="3"/>
    <x v="3"/>
    <x v="0"/>
    <x v="23"/>
    <x v="23"/>
    <x v="23"/>
    <x v="23"/>
    <x v="23"/>
    <x v="2"/>
    <x v="2"/>
    <x v="0"/>
    <x v="1"/>
    <x v="3"/>
    <x v="0"/>
    <n v="1"/>
    <s v="RS"/>
    <s v="0104"/>
    <s v="Combatir la discriminación y el racismo."/>
    <s v="0104.RS.1.4.24.A"/>
    <s v="A"/>
    <s v="Reducción de toda forma de Abuso, Agresión, Acoso, Violencia, Racismo y Discriminación en el ámbito educativo y laboral"/>
    <m/>
    <m/>
    <n v="16.666666666666668"/>
    <s v="0106.PC.1.6.38.C"/>
    <m/>
    <x v="0"/>
    <x v="0"/>
    <x v="7"/>
    <m/>
    <m/>
    <m/>
    <m/>
    <m/>
    <m/>
    <m/>
    <m/>
    <n v="20"/>
    <x v="0"/>
    <x v="0"/>
    <x v="0"/>
    <x v="0"/>
    <x v="0"/>
    <x v="0"/>
    <x v="0"/>
    <x v="0"/>
    <x v="0"/>
    <x v="0"/>
    <x v="1"/>
    <x v="1"/>
    <x v="1"/>
    <x v="1"/>
    <x v="23"/>
    <x v="4"/>
    <x v="3"/>
    <x v="3"/>
    <m/>
    <m/>
    <m/>
    <s v="0104024"/>
    <m/>
    <m/>
    <m/>
    <m/>
    <m/>
    <m/>
    <m/>
    <m/>
    <m/>
    <m/>
    <m/>
    <m/>
    <m/>
    <m/>
    <m/>
    <n v="0"/>
    <n v="0"/>
    <n v="5"/>
    <n v="0"/>
    <m/>
    <n v="0"/>
    <e v="#DIV/0!"/>
    <n v="0"/>
    <m/>
    <n v="0"/>
    <e v="#DIV/0!"/>
    <n v="0"/>
    <m/>
    <n v="0"/>
    <e v="#DIV/0!"/>
    <n v="0"/>
    <m/>
    <n v="0"/>
    <e v="#DIV/0!"/>
    <n v="0"/>
    <m/>
    <n v="0"/>
    <e v="#DIV/0!"/>
  </r>
  <r>
    <x v="0"/>
    <x v="0"/>
    <x v="3"/>
    <x v="3"/>
    <x v="1"/>
    <x v="24"/>
    <x v="24"/>
    <x v="24"/>
    <x v="24"/>
    <x v="24"/>
    <x v="2"/>
    <x v="2"/>
    <x v="1"/>
    <x v="2"/>
    <x v="3"/>
    <x v="1"/>
    <n v="1"/>
    <s v="PC"/>
    <s v="0104"/>
    <s v="Combatir la discriminación y el racismo."/>
    <s v="0104.PC.1.4.25.A"/>
    <s v="A"/>
    <s v="Reducción de toda forma de Abuso, Agresión, Acoso, Violencia, Racismo y Discriminación en el ámbito educativo y laboral"/>
    <m/>
    <s v="0104.RS.1.4.24.A"/>
    <n v="16.666666666666668"/>
    <s v="0106.PC.1.6.38.C"/>
    <m/>
    <x v="0"/>
    <x v="1"/>
    <x v="2"/>
    <m/>
    <m/>
    <m/>
    <m/>
    <m/>
    <m/>
    <m/>
    <m/>
    <n v="20"/>
    <x v="1"/>
    <x v="1"/>
    <x v="1"/>
    <x v="0"/>
    <x v="0"/>
    <x v="0"/>
    <x v="1"/>
    <x v="0"/>
    <x v="0"/>
    <x v="0"/>
    <x v="1"/>
    <x v="1"/>
    <x v="1"/>
    <x v="1"/>
    <x v="24"/>
    <x v="4"/>
    <x v="3"/>
    <x v="3"/>
    <m/>
    <m/>
    <m/>
    <s v="0104025"/>
    <m/>
    <m/>
    <m/>
    <m/>
    <m/>
    <m/>
    <m/>
    <m/>
    <m/>
    <m/>
    <m/>
    <m/>
    <m/>
    <m/>
    <m/>
    <n v="0"/>
    <n v="0"/>
    <n v="5"/>
    <n v="0"/>
    <m/>
    <n v="0"/>
    <e v="#DIV/0!"/>
    <n v="0"/>
    <m/>
    <n v="0"/>
    <e v="#DIV/0!"/>
    <n v="0"/>
    <m/>
    <n v="0"/>
    <e v="#DIV/0!"/>
    <n v="0"/>
    <m/>
    <n v="0"/>
    <e v="#DIV/0!"/>
    <n v="0"/>
    <m/>
    <n v="0"/>
    <e v="#DIV/0!"/>
  </r>
  <r>
    <x v="0"/>
    <x v="0"/>
    <x v="3"/>
    <x v="3"/>
    <x v="2"/>
    <x v="25"/>
    <x v="25"/>
    <x v="25"/>
    <x v="25"/>
    <x v="25"/>
    <x v="2"/>
    <x v="2"/>
    <x v="1"/>
    <x v="2"/>
    <x v="3"/>
    <x v="1"/>
    <n v="1"/>
    <s v="PC"/>
    <s v="0104"/>
    <s v="Combatir la discriminación y el racismo."/>
    <s v="0104.PC.1.4.26.A"/>
    <s v="A"/>
    <s v="Reducción de toda forma de Abuso, Agresión, Acoso, Violencia, Racismo y Discriminación en el ámbito educativo y laboral"/>
    <m/>
    <s v="0104.RS.1.4.24.A"/>
    <n v="16.666666666666668"/>
    <s v="0106.PC.1.6.38.C"/>
    <m/>
    <x v="0"/>
    <x v="1"/>
    <x v="2"/>
    <m/>
    <m/>
    <m/>
    <m/>
    <m/>
    <m/>
    <m/>
    <m/>
    <n v="20"/>
    <x v="1"/>
    <x v="1"/>
    <x v="1"/>
    <x v="0"/>
    <x v="0"/>
    <x v="0"/>
    <x v="1"/>
    <x v="0"/>
    <x v="0"/>
    <x v="0"/>
    <x v="1"/>
    <x v="1"/>
    <x v="1"/>
    <x v="1"/>
    <x v="25"/>
    <x v="4"/>
    <x v="3"/>
    <x v="3"/>
    <m/>
    <m/>
    <m/>
    <s v="0104026"/>
    <m/>
    <m/>
    <m/>
    <m/>
    <m/>
    <m/>
    <m/>
    <m/>
    <m/>
    <m/>
    <m/>
    <m/>
    <m/>
    <m/>
    <m/>
    <n v="0"/>
    <n v="0"/>
    <n v="5"/>
    <n v="0"/>
    <m/>
    <n v="0"/>
    <e v="#DIV/0!"/>
    <n v="0"/>
    <m/>
    <n v="0"/>
    <e v="#DIV/0!"/>
    <n v="0"/>
    <m/>
    <n v="0"/>
    <e v="#DIV/0!"/>
    <n v="0"/>
    <m/>
    <n v="0"/>
    <e v="#DIV/0!"/>
    <n v="0"/>
    <m/>
    <n v="0"/>
    <e v="#DIV/0!"/>
  </r>
  <r>
    <x v="0"/>
    <x v="0"/>
    <x v="3"/>
    <x v="3"/>
    <x v="3"/>
    <x v="26"/>
    <x v="26"/>
    <x v="26"/>
    <x v="26"/>
    <x v="26"/>
    <x v="2"/>
    <x v="2"/>
    <x v="1"/>
    <x v="2"/>
    <x v="3"/>
    <x v="1"/>
    <m/>
    <s v="PC"/>
    <s v="0104"/>
    <s v="Combatir la discriminación y el racismo."/>
    <s v="0104.PC.1.4.27.A"/>
    <s v="A"/>
    <s v="Reducción de toda forma de Abuso, Agresión, Acoso, Violencia, Racismo y Discriminación en el ámbito educativo y laboral"/>
    <m/>
    <s v="0104.RS.1.4.24.A"/>
    <n v="16.666666666666668"/>
    <s v="0106.PC.1.6.38.C"/>
    <m/>
    <x v="0"/>
    <x v="1"/>
    <x v="2"/>
    <m/>
    <m/>
    <m/>
    <m/>
    <m/>
    <m/>
    <m/>
    <m/>
    <n v="20"/>
    <x v="1"/>
    <x v="1"/>
    <x v="1"/>
    <x v="0"/>
    <x v="0"/>
    <x v="0"/>
    <x v="1"/>
    <x v="0"/>
    <x v="0"/>
    <x v="0"/>
    <x v="1"/>
    <x v="1"/>
    <x v="1"/>
    <x v="1"/>
    <x v="26"/>
    <x v="4"/>
    <x v="3"/>
    <x v="3"/>
    <m/>
    <m/>
    <m/>
    <s v="0104027"/>
    <m/>
    <m/>
    <m/>
    <m/>
    <m/>
    <m/>
    <m/>
    <m/>
    <m/>
    <m/>
    <m/>
    <m/>
    <m/>
    <m/>
    <m/>
    <n v="0"/>
    <n v="0"/>
    <n v="5"/>
    <n v="0"/>
    <m/>
    <n v="0"/>
    <e v="#DIV/0!"/>
    <n v="0"/>
    <m/>
    <n v="0"/>
    <e v="#DIV/0!"/>
    <n v="0"/>
    <m/>
    <n v="0"/>
    <e v="#DIV/0!"/>
    <n v="0"/>
    <m/>
    <n v="0"/>
    <e v="#DIV/0!"/>
    <n v="0"/>
    <m/>
    <n v="0"/>
    <e v="#DIV/0!"/>
  </r>
  <r>
    <x v="0"/>
    <x v="0"/>
    <x v="3"/>
    <x v="3"/>
    <x v="4"/>
    <x v="27"/>
    <x v="27"/>
    <x v="27"/>
    <x v="27"/>
    <x v="27"/>
    <x v="2"/>
    <x v="2"/>
    <x v="1"/>
    <x v="2"/>
    <x v="3"/>
    <x v="1"/>
    <m/>
    <s v="PC"/>
    <s v="0104"/>
    <s v="Combatir la discriminación y el racismo."/>
    <s v="0104.PC.1.4.28.A"/>
    <s v="A"/>
    <s v="Reducción de toda forma de Abuso, Agresión, Acoso, Violencia, Racismo y Discriminación en el ámbito educativo y laboral"/>
    <m/>
    <s v="0104.RS.1.4.24.A"/>
    <n v="16.666666666666668"/>
    <s v="0106.PC.1.6.38.C"/>
    <m/>
    <x v="0"/>
    <x v="1"/>
    <x v="2"/>
    <m/>
    <m/>
    <m/>
    <m/>
    <m/>
    <m/>
    <m/>
    <m/>
    <n v="20"/>
    <x v="1"/>
    <x v="1"/>
    <x v="1"/>
    <x v="0"/>
    <x v="0"/>
    <x v="0"/>
    <x v="1"/>
    <x v="0"/>
    <x v="0"/>
    <x v="0"/>
    <x v="1"/>
    <x v="1"/>
    <x v="1"/>
    <x v="1"/>
    <x v="27"/>
    <x v="4"/>
    <x v="3"/>
    <x v="3"/>
    <m/>
    <m/>
    <m/>
    <s v="0104028"/>
    <m/>
    <m/>
    <m/>
    <m/>
    <m/>
    <m/>
    <m/>
    <m/>
    <m/>
    <m/>
    <m/>
    <m/>
    <m/>
    <m/>
    <m/>
    <n v="0"/>
    <n v="0"/>
    <n v="5"/>
    <n v="0"/>
    <m/>
    <n v="0"/>
    <e v="#DIV/0!"/>
    <n v="0"/>
    <m/>
    <n v="0"/>
    <e v="#DIV/0!"/>
    <n v="0"/>
    <m/>
    <n v="0"/>
    <e v="#DIV/0!"/>
    <n v="0"/>
    <m/>
    <n v="0"/>
    <e v="#DIV/0!"/>
    <n v="0"/>
    <m/>
    <n v="0"/>
    <e v="#DIV/0!"/>
  </r>
  <r>
    <x v="0"/>
    <x v="0"/>
    <x v="4"/>
    <x v="4"/>
    <x v="0"/>
    <x v="28"/>
    <x v="28"/>
    <x v="28"/>
    <x v="28"/>
    <x v="28"/>
    <x v="2"/>
    <x v="2"/>
    <x v="0"/>
    <x v="2"/>
    <x v="3"/>
    <x v="0"/>
    <m/>
    <s v="RS"/>
    <s v="0105"/>
    <s v="Combatir la pobreza espiritual."/>
    <s v="0105.RS.1.5.29.A"/>
    <s v="A"/>
    <s v="Erradicación de toda forma de violencia contra las mujeres"/>
    <s v="1. Cultura de la no violencia y contra las mujeres_x000a_2. Reducción de niveles de impunidad de los casos de violencias contra las mujeres_x000a_3. Reducción de casos de violencia conra las mujeres"/>
    <m/>
    <n v="50"/>
    <s v="0106.PC.1.6.38.C"/>
    <m/>
    <x v="0"/>
    <x v="0"/>
    <x v="8"/>
    <m/>
    <m/>
    <m/>
    <m/>
    <m/>
    <m/>
    <m/>
    <m/>
    <n v="14.285714285714286"/>
    <x v="0"/>
    <x v="0"/>
    <x v="1"/>
    <x v="1"/>
    <x v="0"/>
    <x v="0"/>
    <x v="0"/>
    <x v="0"/>
    <x v="1"/>
    <x v="0"/>
    <x v="1"/>
    <x v="0"/>
    <x v="1"/>
    <x v="1"/>
    <x v="28"/>
    <x v="4"/>
    <x v="3"/>
    <x v="3"/>
    <m/>
    <m/>
    <m/>
    <s v="0105029"/>
    <m/>
    <m/>
    <m/>
    <m/>
    <m/>
    <m/>
    <m/>
    <m/>
    <m/>
    <m/>
    <m/>
    <m/>
    <m/>
    <m/>
    <m/>
    <n v="0"/>
    <n v="0"/>
    <n v="5"/>
    <n v="0"/>
    <m/>
    <n v="0"/>
    <e v="#DIV/0!"/>
    <n v="0"/>
    <m/>
    <n v="0"/>
    <e v="#DIV/0!"/>
    <n v="0"/>
    <m/>
    <n v="0"/>
    <e v="#DIV/0!"/>
    <n v="0"/>
    <m/>
    <n v="0"/>
    <e v="#DIV/0!"/>
    <n v="0"/>
    <m/>
    <n v="0"/>
    <e v="#DIV/0!"/>
  </r>
  <r>
    <x v="0"/>
    <x v="0"/>
    <x v="4"/>
    <x v="4"/>
    <x v="1"/>
    <x v="29"/>
    <x v="29"/>
    <x v="29"/>
    <x v="29"/>
    <x v="29"/>
    <x v="2"/>
    <x v="2"/>
    <x v="1"/>
    <x v="1"/>
    <x v="1"/>
    <x v="1"/>
    <m/>
    <s v="PC"/>
    <s v="0106"/>
    <s v="Construir un ser humano integral para Vivir Bien."/>
    <s v="0106.PC.1.5.30.A"/>
    <s v="A"/>
    <s v="Se aplican prácticas y valores ancenstrales y constitucionales, saberes y conocimientos que promueven el Vivir Bien"/>
    <m/>
    <s v="0106.PC.1.6.36.A"/>
    <n v="50"/>
    <s v="0106.PC.1.6.38.C"/>
    <m/>
    <x v="0"/>
    <x v="1"/>
    <x v="2"/>
    <m/>
    <m/>
    <m/>
    <m/>
    <m/>
    <m/>
    <m/>
    <m/>
    <n v="14.285714285714286"/>
    <x v="1"/>
    <x v="1"/>
    <x v="1"/>
    <x v="0"/>
    <x v="0"/>
    <x v="0"/>
    <x v="1"/>
    <x v="0"/>
    <x v="0"/>
    <x v="0"/>
    <x v="1"/>
    <x v="1"/>
    <x v="1"/>
    <x v="1"/>
    <x v="29"/>
    <x v="4"/>
    <x v="3"/>
    <x v="3"/>
    <m/>
    <m/>
    <m/>
    <s v="0105030"/>
    <m/>
    <m/>
    <m/>
    <m/>
    <m/>
    <m/>
    <m/>
    <m/>
    <m/>
    <m/>
    <m/>
    <m/>
    <m/>
    <m/>
    <m/>
    <n v="0"/>
    <n v="0"/>
    <n v="5"/>
    <n v="0"/>
    <m/>
    <n v="0"/>
    <e v="#DIV/0!"/>
    <n v="0"/>
    <m/>
    <n v="0"/>
    <e v="#DIV/0!"/>
    <n v="0"/>
    <m/>
    <n v="0"/>
    <e v="#DIV/0!"/>
    <n v="0"/>
    <m/>
    <n v="0"/>
    <e v="#DIV/0!"/>
    <n v="0"/>
    <m/>
    <n v="0"/>
    <e v="#DIV/0!"/>
  </r>
  <r>
    <x v="0"/>
    <x v="0"/>
    <x v="4"/>
    <x v="4"/>
    <x v="2"/>
    <x v="30"/>
    <x v="30"/>
    <x v="30"/>
    <x v="30"/>
    <x v="30"/>
    <x v="2"/>
    <x v="2"/>
    <x v="0"/>
    <x v="1"/>
    <x v="1"/>
    <x v="0"/>
    <m/>
    <s v="RS"/>
    <s v="0105"/>
    <s v="Combatir la pobreza espiritual."/>
    <s v="0105.RS.1.5.31.B"/>
    <s v="B"/>
    <s v="Reducción de consumo de bebidas alcohólicas  y de otras sustancias nocivas para la salud"/>
    <m/>
    <m/>
    <n v="100"/>
    <m/>
    <m/>
    <x v="0"/>
    <x v="0"/>
    <x v="8"/>
    <m/>
    <m/>
    <m/>
    <m/>
    <m/>
    <m/>
    <m/>
    <m/>
    <n v="14.285714285714286"/>
    <x v="0"/>
    <x v="0"/>
    <x v="1"/>
    <x v="0"/>
    <x v="1"/>
    <x v="0"/>
    <x v="0"/>
    <x v="0"/>
    <x v="0"/>
    <x v="1"/>
    <x v="1"/>
    <x v="0"/>
    <x v="0"/>
    <x v="1"/>
    <x v="30"/>
    <x v="4"/>
    <x v="3"/>
    <x v="3"/>
    <m/>
    <m/>
    <m/>
    <s v="0105031"/>
    <m/>
    <m/>
    <m/>
    <m/>
    <m/>
    <m/>
    <m/>
    <m/>
    <m/>
    <m/>
    <m/>
    <m/>
    <m/>
    <m/>
    <m/>
    <n v="0"/>
    <n v="0"/>
    <n v="5"/>
    <n v="0"/>
    <m/>
    <n v="0"/>
    <e v="#DIV/0!"/>
    <n v="0"/>
    <m/>
    <n v="0"/>
    <e v="#DIV/0!"/>
    <n v="0"/>
    <m/>
    <n v="0"/>
    <e v="#DIV/0!"/>
    <n v="0"/>
    <m/>
    <n v="0"/>
    <e v="#DIV/0!"/>
    <n v="0"/>
    <m/>
    <n v="0"/>
    <e v="#DIV/0!"/>
  </r>
  <r>
    <x v="0"/>
    <x v="0"/>
    <x v="4"/>
    <x v="4"/>
    <x v="3"/>
    <x v="31"/>
    <x v="31"/>
    <x v="31"/>
    <x v="31"/>
    <x v="31"/>
    <x v="2"/>
    <x v="2"/>
    <x v="1"/>
    <x v="1"/>
    <x v="1"/>
    <x v="1"/>
    <m/>
    <s v="PC"/>
    <s v="0105"/>
    <s v="Combatir la pobreza espiritual."/>
    <s v="0105.PC.1.5.32.C"/>
    <s v="C"/>
    <s v="Sociedad menos individualista y menos consumista"/>
    <m/>
    <m/>
    <n v="100"/>
    <m/>
    <m/>
    <x v="0"/>
    <x v="1"/>
    <x v="2"/>
    <m/>
    <m/>
    <m/>
    <m/>
    <m/>
    <m/>
    <m/>
    <m/>
    <n v="14.285714285714286"/>
    <x v="1"/>
    <x v="1"/>
    <x v="1"/>
    <x v="0"/>
    <x v="0"/>
    <x v="0"/>
    <x v="1"/>
    <x v="0"/>
    <x v="0"/>
    <x v="0"/>
    <x v="1"/>
    <x v="1"/>
    <x v="1"/>
    <x v="1"/>
    <x v="31"/>
    <x v="4"/>
    <x v="3"/>
    <x v="3"/>
    <m/>
    <m/>
    <m/>
    <s v="0105032"/>
    <m/>
    <m/>
    <m/>
    <m/>
    <m/>
    <m/>
    <m/>
    <m/>
    <m/>
    <m/>
    <m/>
    <m/>
    <m/>
    <m/>
    <m/>
    <n v="0"/>
    <n v="0"/>
    <n v="5"/>
    <n v="0"/>
    <m/>
    <n v="0"/>
    <e v="#DIV/0!"/>
    <n v="0"/>
    <m/>
    <n v="0"/>
    <e v="#DIV/0!"/>
    <n v="0"/>
    <m/>
    <n v="0"/>
    <e v="#DIV/0!"/>
    <n v="0"/>
    <m/>
    <n v="0"/>
    <e v="#DIV/0!"/>
    <n v="0"/>
    <m/>
    <n v="0"/>
    <e v="#DIV/0!"/>
  </r>
  <r>
    <x v="0"/>
    <x v="0"/>
    <x v="4"/>
    <x v="4"/>
    <x v="4"/>
    <x v="32"/>
    <x v="32"/>
    <x v="32"/>
    <x v="32"/>
    <x v="32"/>
    <x v="2"/>
    <x v="2"/>
    <x v="2"/>
    <x v="2"/>
    <x v="3"/>
    <x v="1"/>
    <m/>
    <s v="PD"/>
    <s v="0105"/>
    <s v="Combatir la pobreza espiritual."/>
    <s v="0105.PD.1.5.33.A"/>
    <s v="A"/>
    <s v="Erradicación de toda forma de violencia contra las mujeres"/>
    <m/>
    <s v="0105.RS.1.5.29.A"/>
    <n v="50"/>
    <m/>
    <m/>
    <x v="0"/>
    <x v="1"/>
    <x v="2"/>
    <m/>
    <m/>
    <m/>
    <m/>
    <m/>
    <m/>
    <m/>
    <m/>
    <n v="14.285714285714286"/>
    <x v="1"/>
    <x v="1"/>
    <x v="1"/>
    <x v="0"/>
    <x v="0"/>
    <x v="0"/>
    <x v="1"/>
    <x v="0"/>
    <x v="0"/>
    <x v="0"/>
    <x v="1"/>
    <x v="1"/>
    <x v="1"/>
    <x v="1"/>
    <x v="32"/>
    <x v="4"/>
    <x v="3"/>
    <x v="3"/>
    <m/>
    <m/>
    <m/>
    <s v="0105033"/>
    <m/>
    <m/>
    <m/>
    <m/>
    <m/>
    <m/>
    <m/>
    <m/>
    <m/>
    <m/>
    <m/>
    <m/>
    <m/>
    <m/>
    <m/>
    <n v="0"/>
    <n v="0"/>
    <n v="5"/>
    <n v="0"/>
    <m/>
    <n v="0"/>
    <e v="#DIV/0!"/>
    <n v="0"/>
    <m/>
    <n v="0"/>
    <e v="#DIV/0!"/>
    <n v="0"/>
    <m/>
    <n v="0"/>
    <e v="#DIV/0!"/>
    <n v="0"/>
    <m/>
    <n v="0"/>
    <e v="#DIV/0!"/>
    <n v="0"/>
    <m/>
    <n v="0"/>
    <e v="#DIV/0!"/>
  </r>
  <r>
    <x v="0"/>
    <x v="0"/>
    <x v="4"/>
    <x v="4"/>
    <x v="5"/>
    <x v="33"/>
    <x v="33"/>
    <x v="33"/>
    <x v="33"/>
    <x v="33"/>
    <x v="2"/>
    <x v="2"/>
    <x v="1"/>
    <x v="2"/>
    <x v="3"/>
    <x v="1"/>
    <m/>
    <s v="PC"/>
    <s v="0104"/>
    <s v="Combatir la discriminación y el racismo."/>
    <s v="0104.PC.1.5.34.A"/>
    <s v="A"/>
    <s v="Reducción de toda forma de Abuso, Agresión, Acoso, Violencia, Racismo y Discriminación en el ámbito educativo y laboral"/>
    <m/>
    <s v="0104.RS.1.4.24.A"/>
    <n v="16.666666666666668"/>
    <s v="0106.PC.1.6.38.C"/>
    <m/>
    <x v="0"/>
    <x v="1"/>
    <x v="2"/>
    <m/>
    <m/>
    <m/>
    <m/>
    <m/>
    <m/>
    <m/>
    <m/>
    <n v="14.285714285714286"/>
    <x v="1"/>
    <x v="1"/>
    <x v="1"/>
    <x v="0"/>
    <x v="0"/>
    <x v="0"/>
    <x v="1"/>
    <x v="0"/>
    <x v="0"/>
    <x v="0"/>
    <x v="1"/>
    <x v="1"/>
    <x v="1"/>
    <x v="1"/>
    <x v="33"/>
    <x v="4"/>
    <x v="3"/>
    <x v="3"/>
    <m/>
    <m/>
    <m/>
    <s v="0105034"/>
    <m/>
    <m/>
    <m/>
    <m/>
    <m/>
    <m/>
    <m/>
    <m/>
    <m/>
    <m/>
    <m/>
    <m/>
    <m/>
    <m/>
    <m/>
    <n v="0"/>
    <n v="0"/>
    <n v="5"/>
    <n v="0"/>
    <m/>
    <n v="0"/>
    <e v="#DIV/0!"/>
    <n v="0"/>
    <m/>
    <n v="0"/>
    <e v="#DIV/0!"/>
    <n v="0"/>
    <m/>
    <n v="0"/>
    <e v="#DIV/0!"/>
    <n v="0"/>
    <m/>
    <n v="0"/>
    <e v="#DIV/0!"/>
    <n v="0"/>
    <m/>
    <n v="0"/>
    <e v="#DIV/0!"/>
  </r>
  <r>
    <x v="0"/>
    <x v="0"/>
    <x v="4"/>
    <x v="4"/>
    <x v="6"/>
    <x v="34"/>
    <x v="34"/>
    <x v="34"/>
    <x v="34"/>
    <x v="34"/>
    <x v="2"/>
    <x v="2"/>
    <x v="1"/>
    <x v="0"/>
    <x v="2"/>
    <x v="1"/>
    <m/>
    <s v="PC"/>
    <s v="0105"/>
    <s v="Combatir la pobreza espiritual."/>
    <s v="0105.PC.1.5.35.D"/>
    <s v="D"/>
    <s v="Práctica de valores  de Equidad de género y generacional"/>
    <m/>
    <m/>
    <n v="100"/>
    <s v="0106.PC.1.6.38.C"/>
    <m/>
    <x v="0"/>
    <x v="1"/>
    <x v="2"/>
    <s v="0105.RS.1.5.29.A"/>
    <m/>
    <m/>
    <m/>
    <m/>
    <m/>
    <m/>
    <m/>
    <n v="14.285714285714286"/>
    <x v="1"/>
    <x v="1"/>
    <x v="1"/>
    <x v="0"/>
    <x v="0"/>
    <x v="0"/>
    <x v="1"/>
    <x v="0"/>
    <x v="0"/>
    <x v="0"/>
    <x v="1"/>
    <x v="1"/>
    <x v="1"/>
    <x v="1"/>
    <x v="34"/>
    <x v="4"/>
    <x v="3"/>
    <x v="3"/>
    <m/>
    <m/>
    <m/>
    <s v="0105035"/>
    <m/>
    <m/>
    <m/>
    <m/>
    <m/>
    <m/>
    <m/>
    <m/>
    <m/>
    <m/>
    <m/>
    <m/>
    <m/>
    <m/>
    <m/>
    <n v="0"/>
    <n v="0"/>
    <n v="5"/>
    <n v="0"/>
    <m/>
    <n v="0"/>
    <e v="#DIV/0!"/>
    <n v="0"/>
    <m/>
    <n v="0"/>
    <e v="#DIV/0!"/>
    <n v="0"/>
    <m/>
    <n v="0"/>
    <e v="#DIV/0!"/>
    <n v="0"/>
    <m/>
    <n v="0"/>
    <e v="#DIV/0!"/>
    <n v="0"/>
    <m/>
    <n v="0"/>
    <e v="#DIV/0!"/>
  </r>
  <r>
    <x v="0"/>
    <x v="0"/>
    <x v="5"/>
    <x v="5"/>
    <x v="0"/>
    <x v="35"/>
    <x v="35"/>
    <x v="35"/>
    <x v="35"/>
    <x v="35"/>
    <x v="2"/>
    <x v="2"/>
    <x v="1"/>
    <x v="1"/>
    <x v="1"/>
    <x v="1"/>
    <m/>
    <s v="PC"/>
    <s v="0106"/>
    <s v="Construir un ser humano integral para Vivir Bien."/>
    <s v="0106.PC.1.6.36.A"/>
    <s v="A"/>
    <s v="Se aplican prácticas y valores ancenstrales y constitucionales, saberes y conocimientos que promueven el Vivir Bien"/>
    <m/>
    <m/>
    <n v="50"/>
    <s v="0106.PC.1.6.38.C"/>
    <m/>
    <x v="0"/>
    <x v="1"/>
    <x v="2"/>
    <m/>
    <m/>
    <m/>
    <m/>
    <m/>
    <m/>
    <m/>
    <m/>
    <n v="33.333333333333336"/>
    <x v="1"/>
    <x v="1"/>
    <x v="1"/>
    <x v="0"/>
    <x v="0"/>
    <x v="0"/>
    <x v="1"/>
    <x v="0"/>
    <x v="0"/>
    <x v="0"/>
    <x v="1"/>
    <x v="1"/>
    <x v="1"/>
    <x v="1"/>
    <x v="35"/>
    <x v="4"/>
    <x v="3"/>
    <x v="3"/>
    <m/>
    <m/>
    <m/>
    <s v="0106036"/>
    <m/>
    <m/>
    <m/>
    <m/>
    <m/>
    <m/>
    <m/>
    <m/>
    <m/>
    <m/>
    <m/>
    <m/>
    <m/>
    <m/>
    <m/>
    <n v="0"/>
    <n v="0"/>
    <n v="5"/>
    <n v="0"/>
    <m/>
    <n v="0"/>
    <e v="#DIV/0!"/>
    <n v="0"/>
    <m/>
    <n v="0"/>
    <e v="#DIV/0!"/>
    <n v="0"/>
    <m/>
    <n v="0"/>
    <e v="#DIV/0!"/>
    <n v="0"/>
    <m/>
    <n v="0"/>
    <e v="#DIV/0!"/>
    <n v="0"/>
    <m/>
    <n v="0"/>
    <e v="#DIV/0!"/>
  </r>
  <r>
    <x v="0"/>
    <x v="0"/>
    <x v="5"/>
    <x v="5"/>
    <x v="1"/>
    <x v="36"/>
    <x v="36"/>
    <x v="36"/>
    <x v="36"/>
    <x v="36"/>
    <x v="2"/>
    <x v="2"/>
    <x v="1"/>
    <x v="1"/>
    <x v="1"/>
    <x v="1"/>
    <m/>
    <s v="PC"/>
    <s v="0106"/>
    <s v="Construir un ser humano integral para Vivir Bien."/>
    <s v="0106.PC.1.6.37.B"/>
    <s v="B"/>
    <s v="Se combaten prácticas colonialistas, patriarcales y excluyentes en instituciones públicas, privadas, sociales, comunitarias y educativas"/>
    <m/>
    <s v="0104.RS.1.4.24.A"/>
    <n v="100"/>
    <s v="0106.PC.1.6.38.C"/>
    <m/>
    <x v="0"/>
    <x v="1"/>
    <x v="2"/>
    <m/>
    <m/>
    <m/>
    <m/>
    <m/>
    <m/>
    <m/>
    <m/>
    <n v="33.333333333333336"/>
    <x v="1"/>
    <x v="1"/>
    <x v="1"/>
    <x v="0"/>
    <x v="0"/>
    <x v="1"/>
    <x v="0"/>
    <x v="0"/>
    <x v="0"/>
    <x v="0"/>
    <x v="1"/>
    <x v="1"/>
    <x v="1"/>
    <x v="1"/>
    <x v="36"/>
    <x v="4"/>
    <x v="3"/>
    <x v="3"/>
    <m/>
    <m/>
    <m/>
    <s v="0106037"/>
    <m/>
    <m/>
    <m/>
    <m/>
    <m/>
    <m/>
    <m/>
    <m/>
    <m/>
    <m/>
    <m/>
    <m/>
    <m/>
    <m/>
    <m/>
    <n v="0"/>
    <n v="0"/>
    <n v="5"/>
    <n v="0"/>
    <m/>
    <n v="0"/>
    <e v="#DIV/0!"/>
    <n v="0"/>
    <m/>
    <n v="0"/>
    <e v="#DIV/0!"/>
    <n v="0"/>
    <m/>
    <n v="0"/>
    <e v="#DIV/0!"/>
    <n v="0"/>
    <m/>
    <n v="0"/>
    <e v="#DIV/0!"/>
    <n v="0"/>
    <m/>
    <n v="0"/>
    <e v="#DIV/0!"/>
  </r>
  <r>
    <x v="0"/>
    <x v="0"/>
    <x v="5"/>
    <x v="5"/>
    <x v="2"/>
    <x v="37"/>
    <x v="37"/>
    <x v="37"/>
    <x v="37"/>
    <x v="37"/>
    <x v="2"/>
    <x v="2"/>
    <x v="1"/>
    <x v="2"/>
    <x v="4"/>
    <x v="1"/>
    <m/>
    <s v="PC"/>
    <s v="0106"/>
    <s v="Construir un ser humano integral para Vivir Bien."/>
    <s v="0106.PC.1.6.38.C"/>
    <s v="C"/>
    <s v="Modelo de Estado Plurinacional Descolonizado y Despatriarcalizado"/>
    <m/>
    <m/>
    <n v="100"/>
    <m/>
    <m/>
    <x v="0"/>
    <x v="1"/>
    <x v="2"/>
    <m/>
    <m/>
    <m/>
    <m/>
    <m/>
    <m/>
    <m/>
    <m/>
    <n v="33.333333333333336"/>
    <x v="1"/>
    <x v="1"/>
    <x v="1"/>
    <x v="0"/>
    <x v="0"/>
    <x v="0"/>
    <x v="1"/>
    <x v="0"/>
    <x v="0"/>
    <x v="0"/>
    <x v="1"/>
    <x v="1"/>
    <x v="1"/>
    <x v="1"/>
    <x v="37"/>
    <x v="4"/>
    <x v="3"/>
    <x v="3"/>
    <m/>
    <m/>
    <m/>
    <s v="0106038"/>
    <m/>
    <m/>
    <m/>
    <m/>
    <m/>
    <m/>
    <m/>
    <m/>
    <m/>
    <m/>
    <m/>
    <m/>
    <m/>
    <m/>
    <m/>
    <n v="0"/>
    <n v="0"/>
    <n v="5"/>
    <n v="0"/>
    <m/>
    <n v="0"/>
    <e v="#DIV/0!"/>
    <n v="0"/>
    <m/>
    <n v="0"/>
    <e v="#DIV/0!"/>
    <n v="0"/>
    <m/>
    <n v="0"/>
    <e v="#DIV/0!"/>
    <n v="0"/>
    <m/>
    <n v="0"/>
    <e v="#DIV/0!"/>
    <n v="0"/>
    <m/>
    <n v="0"/>
    <e v="#DIV/0!"/>
  </r>
  <r>
    <x v="1"/>
    <x v="1"/>
    <x v="0"/>
    <x v="6"/>
    <x v="0"/>
    <x v="38"/>
    <x v="38"/>
    <x v="38"/>
    <x v="38"/>
    <x v="38"/>
    <x v="3"/>
    <x v="3"/>
    <x v="0"/>
    <x v="0"/>
    <x v="5"/>
    <x v="0"/>
    <n v="1"/>
    <s v="RS"/>
    <s v="0201"/>
    <s v="Acceso Universal a servicios de agua y alcantarillado sanitario"/>
    <s v="0201.RS.2.1.39.A"/>
    <s v="A"/>
    <s v="Servicios de Agua"/>
    <s v="Acceso a Agua Potable"/>
    <m/>
    <n v="50"/>
    <s v="0101.RS.1.1.3.B"/>
    <m/>
    <x v="0"/>
    <x v="1"/>
    <x v="9"/>
    <m/>
    <m/>
    <m/>
    <m/>
    <m/>
    <m/>
    <m/>
    <m/>
    <n v="25"/>
    <x v="0"/>
    <x v="0"/>
    <x v="1"/>
    <x v="0"/>
    <x v="1"/>
    <x v="0"/>
    <x v="0"/>
    <x v="0"/>
    <x v="0"/>
    <x v="1"/>
    <x v="1"/>
    <x v="0"/>
    <x v="0"/>
    <x v="1"/>
    <x v="38"/>
    <x v="4"/>
    <x v="3"/>
    <x v="3"/>
    <m/>
    <m/>
    <m/>
    <s v="0201039"/>
    <m/>
    <m/>
    <m/>
    <m/>
    <m/>
    <m/>
    <m/>
    <m/>
    <m/>
    <m/>
    <m/>
    <m/>
    <m/>
    <m/>
    <m/>
    <n v="0"/>
    <n v="0"/>
    <n v="5"/>
    <n v="0"/>
    <m/>
    <n v="0"/>
    <e v="#DIV/0!"/>
    <n v="0"/>
    <m/>
    <n v="0"/>
    <e v="#DIV/0!"/>
    <n v="0"/>
    <m/>
    <n v="0"/>
    <e v="#DIV/0!"/>
    <n v="0"/>
    <m/>
    <n v="0"/>
    <e v="#DIV/0!"/>
    <n v="0"/>
    <m/>
    <n v="0"/>
    <e v="#DIV/0!"/>
  </r>
  <r>
    <x v="1"/>
    <x v="1"/>
    <x v="0"/>
    <x v="6"/>
    <x v="1"/>
    <x v="39"/>
    <x v="39"/>
    <x v="39"/>
    <x v="39"/>
    <x v="39"/>
    <x v="3"/>
    <x v="3"/>
    <x v="0"/>
    <x v="0"/>
    <x v="5"/>
    <x v="0"/>
    <n v="1"/>
    <s v="RS"/>
    <s v="0201"/>
    <s v="Acceso Universal a servicios de agua y alcantarillado sanitario"/>
    <s v="0201.RS.2.1.40.A"/>
    <s v="A"/>
    <s v="Servicios de Agua"/>
    <s v="Acceso a Agua Potable"/>
    <s v="0201.RS.2.1.39.A"/>
    <n v="50"/>
    <s v="0101.RS.1.1.3.B"/>
    <m/>
    <x v="0"/>
    <x v="1"/>
    <x v="9"/>
    <m/>
    <m/>
    <m/>
    <m/>
    <m/>
    <m/>
    <m/>
    <m/>
    <n v="25"/>
    <x v="0"/>
    <x v="0"/>
    <x v="0"/>
    <x v="0"/>
    <x v="0"/>
    <x v="0"/>
    <x v="0"/>
    <x v="0"/>
    <x v="0"/>
    <x v="0"/>
    <x v="1"/>
    <x v="1"/>
    <x v="0"/>
    <x v="1"/>
    <x v="39"/>
    <x v="4"/>
    <x v="3"/>
    <x v="3"/>
    <m/>
    <m/>
    <m/>
    <s v="0201040"/>
    <m/>
    <m/>
    <m/>
    <m/>
    <m/>
    <m/>
    <m/>
    <m/>
    <m/>
    <m/>
    <m/>
    <m/>
    <m/>
    <m/>
    <m/>
    <n v="0"/>
    <n v="0"/>
    <n v="5"/>
    <n v="0"/>
    <m/>
    <n v="0"/>
    <e v="#DIV/0!"/>
    <n v="0"/>
    <m/>
    <n v="0"/>
    <e v="#DIV/0!"/>
    <n v="0"/>
    <m/>
    <n v="0"/>
    <e v="#DIV/0!"/>
    <n v="0"/>
    <m/>
    <n v="0"/>
    <e v="#DIV/0!"/>
    <n v="0"/>
    <m/>
    <n v="0"/>
    <e v="#DIV/0!"/>
  </r>
  <r>
    <x v="1"/>
    <x v="1"/>
    <x v="0"/>
    <x v="6"/>
    <x v="2"/>
    <x v="40"/>
    <x v="40"/>
    <x v="40"/>
    <x v="40"/>
    <x v="40"/>
    <x v="3"/>
    <x v="3"/>
    <x v="0"/>
    <x v="0"/>
    <x v="5"/>
    <x v="0"/>
    <n v="1"/>
    <s v="RS"/>
    <s v="0201"/>
    <s v="Acceso Universal a servicios de agua y alcantarillado sanitario"/>
    <s v="0201.RS.2.1.41.B"/>
    <s v="B"/>
    <s v="Servicios de Saneamiento"/>
    <s v="Acceso a alcantarillado y saneamiento"/>
    <m/>
    <n v="50"/>
    <s v="0101.RS.1.1.3.B"/>
    <m/>
    <x v="0"/>
    <x v="1"/>
    <x v="9"/>
    <m/>
    <m/>
    <m/>
    <m/>
    <m/>
    <m/>
    <m/>
    <m/>
    <n v="25"/>
    <x v="0"/>
    <x v="0"/>
    <x v="1"/>
    <x v="0"/>
    <x v="1"/>
    <x v="0"/>
    <x v="0"/>
    <x v="0"/>
    <x v="0"/>
    <x v="1"/>
    <x v="1"/>
    <x v="0"/>
    <x v="0"/>
    <x v="1"/>
    <x v="40"/>
    <x v="4"/>
    <x v="3"/>
    <x v="3"/>
    <m/>
    <m/>
    <m/>
    <s v="0201041"/>
    <m/>
    <m/>
    <m/>
    <m/>
    <m/>
    <m/>
    <m/>
    <m/>
    <m/>
    <m/>
    <m/>
    <m/>
    <m/>
    <m/>
    <m/>
    <n v="0"/>
    <n v="0"/>
    <n v="5"/>
    <n v="0"/>
    <m/>
    <n v="0"/>
    <e v="#DIV/0!"/>
    <n v="0"/>
    <m/>
    <n v="0"/>
    <e v="#DIV/0!"/>
    <n v="0"/>
    <m/>
    <n v="0"/>
    <e v="#DIV/0!"/>
    <n v="0"/>
    <m/>
    <n v="0"/>
    <e v="#DIV/0!"/>
    <n v="0"/>
    <m/>
    <n v="0"/>
    <e v="#DIV/0!"/>
  </r>
  <r>
    <x v="1"/>
    <x v="1"/>
    <x v="0"/>
    <x v="6"/>
    <x v="3"/>
    <x v="41"/>
    <x v="41"/>
    <x v="41"/>
    <x v="41"/>
    <x v="41"/>
    <x v="3"/>
    <x v="3"/>
    <x v="0"/>
    <x v="0"/>
    <x v="5"/>
    <x v="0"/>
    <n v="1"/>
    <s v="RS"/>
    <s v="0201"/>
    <s v="Acceso Universal a servicios de agua y alcantarillado sanitario"/>
    <s v="0201.RS.2.1.42.B"/>
    <s v="B"/>
    <s v="Servicios de Saneamiento"/>
    <s v="Acceso a alcantarillado y saneamiento"/>
    <s v="0201.RS.2.1.41.B"/>
    <n v="50"/>
    <s v="0101.RS.1.1.3.B"/>
    <m/>
    <x v="0"/>
    <x v="1"/>
    <x v="9"/>
    <m/>
    <m/>
    <m/>
    <m/>
    <m/>
    <m/>
    <m/>
    <m/>
    <n v="25"/>
    <x v="0"/>
    <x v="0"/>
    <x v="0"/>
    <x v="0"/>
    <x v="0"/>
    <x v="0"/>
    <x v="0"/>
    <x v="0"/>
    <x v="0"/>
    <x v="0"/>
    <x v="1"/>
    <x v="1"/>
    <x v="0"/>
    <x v="1"/>
    <x v="41"/>
    <x v="4"/>
    <x v="3"/>
    <x v="3"/>
    <m/>
    <m/>
    <m/>
    <s v="0201042"/>
    <m/>
    <m/>
    <m/>
    <m/>
    <m/>
    <m/>
    <m/>
    <m/>
    <m/>
    <m/>
    <m/>
    <m/>
    <m/>
    <m/>
    <m/>
    <n v="0"/>
    <n v="0"/>
    <n v="5"/>
    <n v="0"/>
    <m/>
    <n v="0"/>
    <e v="#DIV/0!"/>
    <n v="0"/>
    <m/>
    <n v="0"/>
    <e v="#DIV/0!"/>
    <n v="0"/>
    <m/>
    <n v="0"/>
    <e v="#DIV/0!"/>
    <n v="0"/>
    <m/>
    <n v="0"/>
    <e v="#DIV/0!"/>
    <n v="0"/>
    <m/>
    <n v="0"/>
    <e v="#DIV/0!"/>
  </r>
  <r>
    <x v="1"/>
    <x v="1"/>
    <x v="1"/>
    <x v="7"/>
    <x v="0"/>
    <x v="42"/>
    <x v="42"/>
    <x v="42"/>
    <x v="42"/>
    <x v="42"/>
    <x v="3"/>
    <x v="4"/>
    <x v="0"/>
    <x v="0"/>
    <x v="5"/>
    <x v="0"/>
    <m/>
    <s v="RS"/>
    <s v="0202"/>
    <s v="Acceso Universal a servicios de comunicación telefónica e internet"/>
    <s v="0202.RS.2.2.43.A"/>
    <s v="A"/>
    <s v="Cobertura de Telefonía Móvil"/>
    <m/>
    <m/>
    <n v="100"/>
    <m/>
    <m/>
    <x v="0"/>
    <x v="1"/>
    <x v="10"/>
    <m/>
    <m/>
    <m/>
    <m/>
    <m/>
    <m/>
    <m/>
    <m/>
    <n v="50"/>
    <x v="0"/>
    <x v="0"/>
    <x v="0"/>
    <x v="0"/>
    <x v="0"/>
    <x v="0"/>
    <x v="0"/>
    <x v="0"/>
    <x v="0"/>
    <x v="0"/>
    <x v="1"/>
    <x v="1"/>
    <x v="0"/>
    <x v="1"/>
    <x v="42"/>
    <x v="4"/>
    <x v="3"/>
    <x v="3"/>
    <m/>
    <m/>
    <m/>
    <s v="0202043"/>
    <m/>
    <m/>
    <m/>
    <m/>
    <m/>
    <m/>
    <m/>
    <m/>
    <m/>
    <m/>
    <m/>
    <m/>
    <m/>
    <m/>
    <m/>
    <n v="0"/>
    <n v="0"/>
    <n v="5"/>
    <n v="0"/>
    <m/>
    <n v="0"/>
    <e v="#DIV/0!"/>
    <n v="0"/>
    <m/>
    <n v="0"/>
    <e v="#DIV/0!"/>
    <n v="0"/>
    <m/>
    <n v="0"/>
    <e v="#DIV/0!"/>
    <n v="0"/>
    <m/>
    <n v="0"/>
    <e v="#DIV/0!"/>
    <n v="0"/>
    <m/>
    <n v="0"/>
    <e v="#DIV/0!"/>
  </r>
  <r>
    <x v="1"/>
    <x v="1"/>
    <x v="1"/>
    <x v="7"/>
    <x v="1"/>
    <x v="43"/>
    <x v="43"/>
    <x v="43"/>
    <x v="43"/>
    <x v="43"/>
    <x v="3"/>
    <x v="4"/>
    <x v="0"/>
    <x v="0"/>
    <x v="5"/>
    <x v="0"/>
    <m/>
    <s v="RS"/>
    <s v="0202"/>
    <s v="Acceso Universal a servicios de comunicación telefónica e internet"/>
    <s v="0202.RS.2.2.44.B"/>
    <s v="B"/>
    <s v="Cobertura de Telefonía e Internet"/>
    <m/>
    <m/>
    <n v="100"/>
    <m/>
    <m/>
    <x v="0"/>
    <x v="1"/>
    <x v="10"/>
    <m/>
    <m/>
    <m/>
    <m/>
    <m/>
    <m/>
    <m/>
    <m/>
    <n v="50"/>
    <x v="0"/>
    <x v="0"/>
    <x v="1"/>
    <x v="0"/>
    <x v="1"/>
    <x v="0"/>
    <x v="0"/>
    <x v="0"/>
    <x v="0"/>
    <x v="1"/>
    <x v="1"/>
    <x v="0"/>
    <x v="0"/>
    <x v="1"/>
    <x v="43"/>
    <x v="4"/>
    <x v="3"/>
    <x v="3"/>
    <m/>
    <m/>
    <m/>
    <s v="0202044"/>
    <m/>
    <m/>
    <m/>
    <m/>
    <m/>
    <m/>
    <m/>
    <m/>
    <m/>
    <m/>
    <m/>
    <m/>
    <m/>
    <m/>
    <m/>
    <n v="0"/>
    <n v="0"/>
    <n v="5"/>
    <n v="0"/>
    <m/>
    <n v="0"/>
    <e v="#DIV/0!"/>
    <n v="0"/>
    <m/>
    <n v="0"/>
    <e v="#DIV/0!"/>
    <n v="0"/>
    <m/>
    <n v="0"/>
    <e v="#DIV/0!"/>
    <n v="0"/>
    <m/>
    <n v="0"/>
    <e v="#DIV/0!"/>
    <n v="0"/>
    <m/>
    <n v="0"/>
    <e v="#DIV/0!"/>
  </r>
  <r>
    <x v="1"/>
    <x v="1"/>
    <x v="2"/>
    <x v="8"/>
    <x v="0"/>
    <x v="44"/>
    <x v="44"/>
    <x v="44"/>
    <x v="44"/>
    <x v="44"/>
    <x v="3"/>
    <x v="5"/>
    <x v="0"/>
    <x v="0"/>
    <x v="5"/>
    <x v="0"/>
    <m/>
    <s v="RS"/>
    <s v="0203"/>
    <s v="Acceso Universal a servicios de energía eléctrica y luz"/>
    <s v="0203.RS.2.3.45.A"/>
    <s v="A"/>
    <s v="Cobertura de energía eléctrica y luz"/>
    <s v="Acceso a la electricidad"/>
    <m/>
    <n v="33.333333333333336"/>
    <s v="0101.RS.1.1.3.B"/>
    <m/>
    <x v="0"/>
    <x v="1"/>
    <x v="10"/>
    <m/>
    <m/>
    <m/>
    <m/>
    <m/>
    <m/>
    <m/>
    <m/>
    <n v="33.333333333333336"/>
    <x v="0"/>
    <x v="0"/>
    <x v="1"/>
    <x v="0"/>
    <x v="1"/>
    <x v="0"/>
    <x v="0"/>
    <x v="0"/>
    <x v="0"/>
    <x v="1"/>
    <x v="1"/>
    <x v="0"/>
    <x v="1"/>
    <x v="1"/>
    <x v="44"/>
    <x v="4"/>
    <x v="3"/>
    <x v="3"/>
    <m/>
    <m/>
    <m/>
    <s v="0203045"/>
    <m/>
    <m/>
    <m/>
    <m/>
    <m/>
    <m/>
    <m/>
    <m/>
    <m/>
    <m/>
    <m/>
    <m/>
    <m/>
    <m/>
    <m/>
    <n v="0"/>
    <n v="0"/>
    <n v="5"/>
    <n v="0"/>
    <m/>
    <n v="0"/>
    <e v="#DIV/0!"/>
    <n v="0"/>
    <m/>
    <n v="0"/>
    <e v="#DIV/0!"/>
    <n v="0"/>
    <m/>
    <n v="0"/>
    <e v="#DIV/0!"/>
    <n v="0"/>
    <m/>
    <n v="0"/>
    <e v="#DIV/0!"/>
    <n v="0"/>
    <m/>
    <n v="0"/>
    <e v="#DIV/0!"/>
  </r>
  <r>
    <x v="1"/>
    <x v="1"/>
    <x v="2"/>
    <x v="8"/>
    <x v="1"/>
    <x v="45"/>
    <x v="45"/>
    <x v="45"/>
    <x v="45"/>
    <x v="45"/>
    <x v="3"/>
    <x v="5"/>
    <x v="0"/>
    <x v="0"/>
    <x v="5"/>
    <x v="0"/>
    <m/>
    <s v="RS"/>
    <s v="0203"/>
    <s v="Acceso Universal a servicios de energía eléctrica y luz"/>
    <s v="0203.RS.2.3.46.A"/>
    <s v="A"/>
    <s v="Cobertura de energía eléctrica y luz"/>
    <m/>
    <s v="0203.RS.2.3.45.A"/>
    <n v="33.333333333333336"/>
    <m/>
    <m/>
    <x v="0"/>
    <x v="1"/>
    <x v="10"/>
    <m/>
    <m/>
    <m/>
    <m/>
    <m/>
    <m/>
    <m/>
    <m/>
    <n v="33.333333333333336"/>
    <x v="0"/>
    <x v="0"/>
    <x v="0"/>
    <x v="0"/>
    <x v="0"/>
    <x v="0"/>
    <x v="0"/>
    <x v="0"/>
    <x v="0"/>
    <x v="0"/>
    <x v="1"/>
    <x v="1"/>
    <x v="1"/>
    <x v="1"/>
    <x v="45"/>
    <x v="4"/>
    <x v="3"/>
    <x v="3"/>
    <m/>
    <m/>
    <m/>
    <s v="0203046"/>
    <m/>
    <m/>
    <m/>
    <m/>
    <m/>
    <m/>
    <m/>
    <m/>
    <m/>
    <m/>
    <m/>
    <m/>
    <m/>
    <m/>
    <m/>
    <n v="0"/>
    <n v="0"/>
    <n v="5"/>
    <n v="0"/>
    <m/>
    <n v="0"/>
    <e v="#DIV/0!"/>
    <n v="0"/>
    <m/>
    <n v="0"/>
    <e v="#DIV/0!"/>
    <n v="0"/>
    <m/>
    <n v="0"/>
    <e v="#DIV/0!"/>
    <n v="0"/>
    <m/>
    <n v="0"/>
    <e v="#DIV/0!"/>
    <n v="0"/>
    <m/>
    <n v="0"/>
    <e v="#DIV/0!"/>
  </r>
  <r>
    <x v="1"/>
    <x v="1"/>
    <x v="2"/>
    <x v="8"/>
    <x v="2"/>
    <x v="46"/>
    <x v="46"/>
    <x v="46"/>
    <x v="46"/>
    <x v="46"/>
    <x v="3"/>
    <x v="5"/>
    <x v="0"/>
    <x v="0"/>
    <x v="5"/>
    <x v="0"/>
    <m/>
    <s v="RS"/>
    <s v="0203"/>
    <s v="Acceso Universal a servicios de energía eléctrica y luz"/>
    <s v="0203.RS.2.3.47.A"/>
    <s v="A"/>
    <s v="Cobertura de energía eléctrica y luz"/>
    <m/>
    <s v="0203.RS.2.3.45.A"/>
    <n v="33.333333333333336"/>
    <m/>
    <m/>
    <x v="0"/>
    <x v="1"/>
    <x v="10"/>
    <m/>
    <m/>
    <m/>
    <m/>
    <m/>
    <m/>
    <m/>
    <m/>
    <n v="33.333333333333336"/>
    <x v="0"/>
    <x v="0"/>
    <x v="0"/>
    <x v="0"/>
    <x v="0"/>
    <x v="0"/>
    <x v="0"/>
    <x v="0"/>
    <x v="0"/>
    <x v="0"/>
    <x v="1"/>
    <x v="1"/>
    <x v="1"/>
    <x v="1"/>
    <x v="46"/>
    <x v="4"/>
    <x v="3"/>
    <x v="3"/>
    <m/>
    <m/>
    <m/>
    <s v="0203047"/>
    <m/>
    <m/>
    <m/>
    <m/>
    <m/>
    <m/>
    <m/>
    <m/>
    <m/>
    <m/>
    <m/>
    <m/>
    <m/>
    <m/>
    <m/>
    <n v="0"/>
    <n v="0"/>
    <n v="5"/>
    <n v="0"/>
    <m/>
    <n v="0"/>
    <e v="#DIV/0!"/>
    <n v="0"/>
    <m/>
    <n v="0"/>
    <e v="#DIV/0!"/>
    <n v="0"/>
    <m/>
    <n v="0"/>
    <e v="#DIV/0!"/>
    <n v="0"/>
    <m/>
    <n v="0"/>
    <e v="#DIV/0!"/>
    <n v="0"/>
    <m/>
    <n v="0"/>
    <e v="#DIV/0!"/>
  </r>
  <r>
    <x v="1"/>
    <x v="1"/>
    <x v="6"/>
    <x v="9"/>
    <x v="12"/>
    <x v="47"/>
    <x v="47"/>
    <x v="47"/>
    <x v="47"/>
    <x v="47"/>
    <x v="3"/>
    <x v="6"/>
    <x v="0"/>
    <x v="3"/>
    <x v="6"/>
    <x v="0"/>
    <m/>
    <s v="RS"/>
    <s v="0204"/>
    <s v="Acceso Universal a los  Sistemas Intermodales de transporte Integrados"/>
    <s v="0204.RS.2.4.48r.Z"/>
    <s v="Z"/>
    <s v="Integración de poblaciones a través de Sistemas Intermodales de transporte"/>
    <s v="A)Acceso a Transporte Carretero Nacional_x000a_B) Acceso a Transporte Carretero Internacional_x000a_C)  Acceso a Transporte Ferroviario_x000a_D) Acceso a Transporte Fluvial _x000a_E) Acceso a Transporte por Cable _x000a_F) Acceso a Transporte Aéreo_x000a_G) Sistema Intermodal de Transporte"/>
    <m/>
    <n v="100.00000000000001"/>
    <m/>
    <m/>
    <x v="0"/>
    <x v="1"/>
    <x v="10"/>
    <m/>
    <m/>
    <m/>
    <m/>
    <m/>
    <m/>
    <m/>
    <m/>
    <n v="100.00000000000001"/>
    <x v="0"/>
    <x v="0"/>
    <x v="0"/>
    <x v="0"/>
    <x v="0"/>
    <x v="0"/>
    <x v="0"/>
    <x v="0"/>
    <x v="0"/>
    <x v="0"/>
    <x v="1"/>
    <x v="1"/>
    <x v="0"/>
    <x v="1"/>
    <x v="47"/>
    <x v="4"/>
    <x v="3"/>
    <x v="3"/>
    <m/>
    <m/>
    <m/>
    <s v="020048r"/>
    <m/>
    <m/>
    <m/>
    <m/>
    <m/>
    <m/>
    <m/>
    <m/>
    <m/>
    <m/>
    <m/>
    <m/>
    <m/>
    <m/>
    <m/>
    <n v="0"/>
    <n v="0"/>
    <n v="5"/>
    <n v="0"/>
    <m/>
    <n v="0"/>
    <e v="#DIV/0!"/>
    <n v="0"/>
    <m/>
    <n v="0"/>
    <e v="#DIV/0!"/>
    <n v="0"/>
    <m/>
    <n v="0"/>
    <e v="#DIV/0!"/>
    <n v="0"/>
    <m/>
    <n v="0"/>
    <e v="#DIV/0!"/>
    <n v="0"/>
    <m/>
    <n v="0"/>
    <e v="#DIV/0!"/>
  </r>
  <r>
    <x v="1"/>
    <x v="1"/>
    <x v="3"/>
    <x v="9"/>
    <x v="0"/>
    <x v="48"/>
    <x v="48"/>
    <x v="48"/>
    <x v="48"/>
    <x v="48"/>
    <x v="3"/>
    <x v="6"/>
    <x v="2"/>
    <x v="3"/>
    <x v="6"/>
    <x v="1"/>
    <m/>
    <s v="PD"/>
    <s v="0204"/>
    <s v="Acceso Universal a los  Sistemas Intermodales de transporte Integrados"/>
    <s v="0204.PD.2.4.48.A"/>
    <s v="A"/>
    <s v="Acceso a Transporte Carretero Nacional"/>
    <m/>
    <m/>
    <n v="12.5"/>
    <s v="0204.RS.2.4.48r.Z"/>
    <m/>
    <x v="0"/>
    <x v="1"/>
    <x v="2"/>
    <m/>
    <m/>
    <m/>
    <m/>
    <m/>
    <m/>
    <m/>
    <m/>
    <n v="4.5454545454545459"/>
    <x v="1"/>
    <x v="1"/>
    <x v="1"/>
    <x v="1"/>
    <x v="0"/>
    <x v="0"/>
    <x v="0"/>
    <x v="0"/>
    <x v="0"/>
    <x v="0"/>
    <x v="0"/>
    <x v="0"/>
    <x v="1"/>
    <x v="1"/>
    <x v="48"/>
    <x v="4"/>
    <x v="3"/>
    <x v="3"/>
    <m/>
    <m/>
    <m/>
    <s v="0204048"/>
    <m/>
    <m/>
    <m/>
    <m/>
    <m/>
    <m/>
    <m/>
    <m/>
    <m/>
    <m/>
    <m/>
    <m/>
    <m/>
    <m/>
    <m/>
    <n v="0"/>
    <n v="0"/>
    <n v="5"/>
    <n v="0"/>
    <m/>
    <n v="0"/>
    <e v="#DIV/0!"/>
    <n v="0"/>
    <m/>
    <n v="0"/>
    <e v="#DIV/0!"/>
    <n v="0"/>
    <m/>
    <n v="0"/>
    <e v="#DIV/0!"/>
    <n v="0"/>
    <m/>
    <n v="0"/>
    <e v="#DIV/0!"/>
    <n v="0"/>
    <m/>
    <n v="0"/>
    <e v="#DIV/0!"/>
  </r>
  <r>
    <x v="1"/>
    <x v="1"/>
    <x v="3"/>
    <x v="9"/>
    <x v="1"/>
    <x v="49"/>
    <x v="49"/>
    <x v="49"/>
    <x v="49"/>
    <x v="49"/>
    <x v="3"/>
    <x v="6"/>
    <x v="2"/>
    <x v="3"/>
    <x v="6"/>
    <x v="1"/>
    <m/>
    <s v="PD"/>
    <s v="0204"/>
    <s v="Acceso Universal a los  Sistemas Intermodales de transporte Integrados"/>
    <s v="0204.PD.2.4.49.A"/>
    <s v="A"/>
    <s v="Acceso a Transporte Carretero Nacional"/>
    <m/>
    <m/>
    <n v="12.5"/>
    <s v="0204.RS.2.4.48r.Z"/>
    <m/>
    <x v="0"/>
    <x v="1"/>
    <x v="2"/>
    <m/>
    <m/>
    <m/>
    <m/>
    <m/>
    <m/>
    <m/>
    <m/>
    <n v="4.5454545454545459"/>
    <x v="1"/>
    <x v="1"/>
    <x v="1"/>
    <x v="1"/>
    <x v="0"/>
    <x v="0"/>
    <x v="0"/>
    <x v="0"/>
    <x v="0"/>
    <x v="0"/>
    <x v="1"/>
    <x v="1"/>
    <x v="1"/>
    <x v="1"/>
    <x v="49"/>
    <x v="4"/>
    <x v="3"/>
    <x v="3"/>
    <m/>
    <m/>
    <m/>
    <s v="0204049"/>
    <m/>
    <m/>
    <m/>
    <m/>
    <m/>
    <m/>
    <m/>
    <m/>
    <m/>
    <m/>
    <m/>
    <m/>
    <m/>
    <m/>
    <m/>
    <n v="0"/>
    <n v="0"/>
    <n v="5"/>
    <n v="0"/>
    <m/>
    <n v="0"/>
    <e v="#DIV/0!"/>
    <n v="0"/>
    <m/>
    <n v="0"/>
    <e v="#DIV/0!"/>
    <n v="0"/>
    <m/>
    <n v="0"/>
    <e v="#DIV/0!"/>
    <n v="0"/>
    <m/>
    <n v="0"/>
    <e v="#DIV/0!"/>
    <n v="0"/>
    <m/>
    <n v="0"/>
    <e v="#DIV/0!"/>
  </r>
  <r>
    <x v="1"/>
    <x v="1"/>
    <x v="3"/>
    <x v="9"/>
    <x v="2"/>
    <x v="50"/>
    <x v="50"/>
    <x v="50"/>
    <x v="50"/>
    <x v="50"/>
    <x v="3"/>
    <x v="6"/>
    <x v="2"/>
    <x v="3"/>
    <x v="6"/>
    <x v="1"/>
    <m/>
    <s v="PD"/>
    <s v="0204"/>
    <s v="Acceso Universal a los  Sistemas Intermodales de transporte Integrados"/>
    <s v="0204.PD.2.4.50.A"/>
    <s v="A"/>
    <s v="Acceso a Transporte Carretero Nacional"/>
    <m/>
    <m/>
    <n v="12.5"/>
    <s v="0204.RS.2.4.48r.Z"/>
    <m/>
    <x v="0"/>
    <x v="1"/>
    <x v="2"/>
    <m/>
    <m/>
    <m/>
    <m/>
    <m/>
    <m/>
    <m/>
    <m/>
    <n v="4.5454545454545459"/>
    <x v="1"/>
    <x v="1"/>
    <x v="1"/>
    <x v="1"/>
    <x v="0"/>
    <x v="0"/>
    <x v="0"/>
    <x v="0"/>
    <x v="0"/>
    <x v="0"/>
    <x v="1"/>
    <x v="1"/>
    <x v="1"/>
    <x v="1"/>
    <x v="50"/>
    <x v="4"/>
    <x v="3"/>
    <x v="3"/>
    <m/>
    <m/>
    <m/>
    <s v="0204050"/>
    <m/>
    <m/>
    <m/>
    <m/>
    <m/>
    <m/>
    <m/>
    <m/>
    <m/>
    <m/>
    <m/>
    <m/>
    <m/>
    <m/>
    <m/>
    <n v="0"/>
    <n v="0"/>
    <n v="5"/>
    <n v="0"/>
    <m/>
    <n v="0"/>
    <e v="#DIV/0!"/>
    <n v="0"/>
    <m/>
    <n v="0"/>
    <e v="#DIV/0!"/>
    <n v="0"/>
    <m/>
    <n v="0"/>
    <e v="#DIV/0!"/>
    <n v="0"/>
    <m/>
    <n v="0"/>
    <e v="#DIV/0!"/>
    <n v="0"/>
    <m/>
    <n v="0"/>
    <e v="#DIV/0!"/>
  </r>
  <r>
    <x v="1"/>
    <x v="1"/>
    <x v="3"/>
    <x v="9"/>
    <x v="3"/>
    <x v="51"/>
    <x v="51"/>
    <x v="51"/>
    <x v="51"/>
    <x v="51"/>
    <x v="3"/>
    <x v="6"/>
    <x v="2"/>
    <x v="3"/>
    <x v="6"/>
    <x v="1"/>
    <m/>
    <s v="PD"/>
    <s v="0204"/>
    <s v="Acceso Universal a los  Sistemas Intermodales de transporte Integrados"/>
    <s v="0204.PD.2.4.51.A"/>
    <s v="A"/>
    <s v="Acceso a Transporte Carretero Nacional"/>
    <m/>
    <m/>
    <n v="12.5"/>
    <s v="0204.RS.2.4.48r.Z"/>
    <m/>
    <x v="0"/>
    <x v="1"/>
    <x v="2"/>
    <m/>
    <m/>
    <m/>
    <m/>
    <m/>
    <m/>
    <m/>
    <m/>
    <n v="4.5454545454545459"/>
    <x v="1"/>
    <x v="1"/>
    <x v="1"/>
    <x v="1"/>
    <x v="0"/>
    <x v="0"/>
    <x v="0"/>
    <x v="0"/>
    <x v="0"/>
    <x v="0"/>
    <x v="1"/>
    <x v="1"/>
    <x v="1"/>
    <x v="1"/>
    <x v="51"/>
    <x v="4"/>
    <x v="3"/>
    <x v="3"/>
    <m/>
    <m/>
    <m/>
    <s v="0204051"/>
    <m/>
    <m/>
    <m/>
    <m/>
    <m/>
    <m/>
    <m/>
    <m/>
    <m/>
    <m/>
    <m/>
    <m/>
    <m/>
    <m/>
    <m/>
    <n v="0"/>
    <n v="0"/>
    <n v="5"/>
    <n v="0"/>
    <m/>
    <n v="0"/>
    <e v="#DIV/0!"/>
    <n v="0"/>
    <m/>
    <n v="0"/>
    <e v="#DIV/0!"/>
    <n v="0"/>
    <m/>
    <n v="0"/>
    <e v="#DIV/0!"/>
    <n v="0"/>
    <m/>
    <n v="0"/>
    <e v="#DIV/0!"/>
    <n v="0"/>
    <m/>
    <n v="0"/>
    <e v="#DIV/0!"/>
  </r>
  <r>
    <x v="1"/>
    <x v="1"/>
    <x v="3"/>
    <x v="9"/>
    <x v="4"/>
    <x v="52"/>
    <x v="52"/>
    <x v="52"/>
    <x v="52"/>
    <x v="52"/>
    <x v="3"/>
    <x v="6"/>
    <x v="2"/>
    <x v="3"/>
    <x v="6"/>
    <x v="1"/>
    <m/>
    <s v="PD"/>
    <s v="0204"/>
    <s v="Acceso Universal a los  Sistemas Intermodales de transporte Integrados"/>
    <s v="0204.PD.2.4.52.A"/>
    <s v="A"/>
    <s v="Acceso a Transporte Carretero Nacional"/>
    <m/>
    <m/>
    <n v="12.5"/>
    <s v="0204.RS.2.4.48r.Z"/>
    <m/>
    <x v="0"/>
    <x v="1"/>
    <x v="2"/>
    <m/>
    <m/>
    <m/>
    <m/>
    <m/>
    <m/>
    <m/>
    <m/>
    <n v="4.5454545454545459"/>
    <x v="1"/>
    <x v="1"/>
    <x v="1"/>
    <x v="1"/>
    <x v="0"/>
    <x v="0"/>
    <x v="0"/>
    <x v="0"/>
    <x v="0"/>
    <x v="0"/>
    <x v="1"/>
    <x v="1"/>
    <x v="1"/>
    <x v="1"/>
    <x v="52"/>
    <x v="4"/>
    <x v="3"/>
    <x v="3"/>
    <m/>
    <m/>
    <m/>
    <s v="0204052"/>
    <m/>
    <m/>
    <m/>
    <m/>
    <m/>
    <m/>
    <m/>
    <m/>
    <m/>
    <m/>
    <m/>
    <m/>
    <m/>
    <m/>
    <m/>
    <n v="0"/>
    <n v="0"/>
    <n v="5"/>
    <n v="0"/>
    <m/>
    <n v="0"/>
    <e v="#DIV/0!"/>
    <n v="0"/>
    <m/>
    <n v="0"/>
    <e v="#DIV/0!"/>
    <n v="0"/>
    <m/>
    <n v="0"/>
    <e v="#DIV/0!"/>
    <n v="0"/>
    <m/>
    <n v="0"/>
    <e v="#DIV/0!"/>
    <n v="0"/>
    <m/>
    <n v="0"/>
    <e v="#DIV/0!"/>
  </r>
  <r>
    <x v="1"/>
    <x v="1"/>
    <x v="3"/>
    <x v="9"/>
    <x v="5"/>
    <x v="53"/>
    <x v="53"/>
    <x v="53"/>
    <x v="53"/>
    <x v="53"/>
    <x v="3"/>
    <x v="6"/>
    <x v="2"/>
    <x v="3"/>
    <x v="6"/>
    <x v="1"/>
    <m/>
    <s v="PD"/>
    <s v="0204"/>
    <s v="Acceso Universal a los  Sistemas Intermodales de transporte Integrados"/>
    <s v="0204.PD.2.4.53.A"/>
    <s v="A"/>
    <s v="Acceso a Transporte Carretero Nacional"/>
    <m/>
    <m/>
    <n v="12.5"/>
    <s v="0204.RS.2.4.48r.Z"/>
    <m/>
    <x v="0"/>
    <x v="1"/>
    <x v="2"/>
    <m/>
    <m/>
    <m/>
    <m/>
    <m/>
    <m/>
    <m/>
    <m/>
    <n v="4.5454545454545459"/>
    <x v="1"/>
    <x v="1"/>
    <x v="1"/>
    <x v="1"/>
    <x v="0"/>
    <x v="0"/>
    <x v="0"/>
    <x v="0"/>
    <x v="0"/>
    <x v="0"/>
    <x v="1"/>
    <x v="1"/>
    <x v="1"/>
    <x v="1"/>
    <x v="53"/>
    <x v="4"/>
    <x v="3"/>
    <x v="3"/>
    <m/>
    <m/>
    <m/>
    <s v="0204053"/>
    <m/>
    <m/>
    <m/>
    <m/>
    <m/>
    <m/>
    <m/>
    <m/>
    <m/>
    <m/>
    <m/>
    <m/>
    <m/>
    <m/>
    <m/>
    <n v="0"/>
    <n v="0"/>
    <n v="5"/>
    <n v="0"/>
    <m/>
    <n v="0"/>
    <e v="#DIV/0!"/>
    <n v="0"/>
    <m/>
    <n v="0"/>
    <e v="#DIV/0!"/>
    <n v="0"/>
    <m/>
    <n v="0"/>
    <e v="#DIV/0!"/>
    <n v="0"/>
    <m/>
    <n v="0"/>
    <e v="#DIV/0!"/>
    <n v="0"/>
    <m/>
    <n v="0"/>
    <e v="#DIV/0!"/>
  </r>
  <r>
    <x v="1"/>
    <x v="1"/>
    <x v="3"/>
    <x v="9"/>
    <x v="6"/>
    <x v="54"/>
    <x v="54"/>
    <x v="54"/>
    <x v="54"/>
    <x v="54"/>
    <x v="3"/>
    <x v="6"/>
    <x v="2"/>
    <x v="3"/>
    <x v="6"/>
    <x v="1"/>
    <m/>
    <s v="PD"/>
    <s v="0204"/>
    <s v="Acceso Universal a los  Sistemas Intermodales de transporte Integrados"/>
    <s v="0204.PD.2.4.54.A"/>
    <s v="A"/>
    <s v="Acceso a Transporte Carretero Nacional"/>
    <m/>
    <m/>
    <n v="12.5"/>
    <s v="0204.RS.2.4.48r.Z"/>
    <m/>
    <x v="0"/>
    <x v="1"/>
    <x v="2"/>
    <m/>
    <m/>
    <m/>
    <m/>
    <m/>
    <m/>
    <m/>
    <m/>
    <n v="4.5454545454545459"/>
    <x v="1"/>
    <x v="1"/>
    <x v="1"/>
    <x v="1"/>
    <x v="0"/>
    <x v="0"/>
    <x v="0"/>
    <x v="0"/>
    <x v="0"/>
    <x v="0"/>
    <x v="1"/>
    <x v="1"/>
    <x v="1"/>
    <x v="1"/>
    <x v="54"/>
    <x v="4"/>
    <x v="3"/>
    <x v="3"/>
    <m/>
    <m/>
    <m/>
    <s v="0204054"/>
    <m/>
    <m/>
    <m/>
    <m/>
    <m/>
    <m/>
    <m/>
    <m/>
    <m/>
    <m/>
    <m/>
    <m/>
    <m/>
    <m/>
    <m/>
    <n v="0"/>
    <n v="0"/>
    <n v="5"/>
    <n v="0"/>
    <m/>
    <n v="0"/>
    <e v="#DIV/0!"/>
    <n v="0"/>
    <m/>
    <n v="0"/>
    <e v="#DIV/0!"/>
    <n v="0"/>
    <m/>
    <n v="0"/>
    <e v="#DIV/0!"/>
    <n v="0"/>
    <m/>
    <n v="0"/>
    <e v="#DIV/0!"/>
    <n v="0"/>
    <m/>
    <n v="0"/>
    <e v="#DIV/0!"/>
  </r>
  <r>
    <x v="1"/>
    <x v="1"/>
    <x v="3"/>
    <x v="9"/>
    <x v="7"/>
    <x v="55"/>
    <x v="55"/>
    <x v="55"/>
    <x v="55"/>
    <x v="55"/>
    <x v="3"/>
    <x v="6"/>
    <x v="2"/>
    <x v="3"/>
    <x v="6"/>
    <x v="1"/>
    <m/>
    <s v="PD"/>
    <s v="0204"/>
    <s v="Acceso Universal a los  Sistemas Intermodales de transporte Integrados"/>
    <s v="0204.PD.2.4.55.A"/>
    <s v="A"/>
    <s v="Acceso a Transporte Carretero Nacional"/>
    <m/>
    <m/>
    <n v="12.5"/>
    <s v="0204.RS.2.4.48r.Z"/>
    <m/>
    <x v="0"/>
    <x v="1"/>
    <x v="2"/>
    <m/>
    <m/>
    <m/>
    <m/>
    <m/>
    <m/>
    <m/>
    <m/>
    <n v="4.5454545454545459"/>
    <x v="1"/>
    <x v="1"/>
    <x v="1"/>
    <x v="1"/>
    <x v="0"/>
    <x v="0"/>
    <x v="0"/>
    <x v="0"/>
    <x v="0"/>
    <x v="0"/>
    <x v="0"/>
    <x v="0"/>
    <x v="1"/>
    <x v="1"/>
    <x v="55"/>
    <x v="4"/>
    <x v="3"/>
    <x v="3"/>
    <m/>
    <m/>
    <m/>
    <s v="0204055"/>
    <m/>
    <m/>
    <m/>
    <m/>
    <m/>
    <m/>
    <m/>
    <m/>
    <m/>
    <m/>
    <m/>
    <m/>
    <m/>
    <m/>
    <m/>
    <n v="0"/>
    <n v="0"/>
    <n v="5"/>
    <n v="0"/>
    <m/>
    <n v="0"/>
    <e v="#DIV/0!"/>
    <n v="0"/>
    <m/>
    <n v="0"/>
    <e v="#DIV/0!"/>
    <n v="0"/>
    <m/>
    <n v="0"/>
    <e v="#DIV/0!"/>
    <n v="0"/>
    <m/>
    <n v="0"/>
    <e v="#DIV/0!"/>
    <n v="0"/>
    <m/>
    <n v="0"/>
    <e v="#DIV/0!"/>
  </r>
  <r>
    <x v="1"/>
    <x v="1"/>
    <x v="3"/>
    <x v="9"/>
    <x v="8"/>
    <x v="56"/>
    <x v="56"/>
    <x v="56"/>
    <x v="56"/>
    <x v="56"/>
    <x v="3"/>
    <x v="6"/>
    <x v="1"/>
    <x v="3"/>
    <x v="6"/>
    <x v="1"/>
    <m/>
    <s v="PC"/>
    <s v="0204"/>
    <s v="Acceso Universal a los  Sistemas Intermodales de transporte Integrados"/>
    <s v="0204.PC.2.4.56.B"/>
    <s v="B"/>
    <s v="Acceso a Transporte Carretero Internacional"/>
    <m/>
    <m/>
    <n v="100"/>
    <s v="0204.RS.2.4.48r.Z"/>
    <m/>
    <x v="0"/>
    <x v="1"/>
    <x v="2"/>
    <m/>
    <m/>
    <m/>
    <m/>
    <m/>
    <m/>
    <m/>
    <m/>
    <n v="4.5454545454545459"/>
    <x v="1"/>
    <x v="1"/>
    <x v="1"/>
    <x v="0"/>
    <x v="0"/>
    <x v="0"/>
    <x v="1"/>
    <x v="0"/>
    <x v="0"/>
    <x v="0"/>
    <x v="1"/>
    <x v="1"/>
    <x v="1"/>
    <x v="1"/>
    <x v="56"/>
    <x v="4"/>
    <x v="3"/>
    <x v="3"/>
    <m/>
    <m/>
    <m/>
    <s v="0204056"/>
    <m/>
    <m/>
    <m/>
    <m/>
    <m/>
    <m/>
    <m/>
    <m/>
    <m/>
    <m/>
    <m/>
    <m/>
    <m/>
    <m/>
    <m/>
    <n v="0"/>
    <n v="0"/>
    <n v="5"/>
    <n v="0"/>
    <m/>
    <n v="0"/>
    <e v="#DIV/0!"/>
    <n v="0"/>
    <m/>
    <n v="0"/>
    <e v="#DIV/0!"/>
    <n v="0"/>
    <m/>
    <n v="0"/>
    <e v="#DIV/0!"/>
    <n v="0"/>
    <m/>
    <n v="0"/>
    <e v="#DIV/0!"/>
    <n v="0"/>
    <m/>
    <n v="0"/>
    <e v="#DIV/0!"/>
  </r>
  <r>
    <x v="1"/>
    <x v="1"/>
    <x v="3"/>
    <x v="9"/>
    <x v="9"/>
    <x v="57"/>
    <x v="57"/>
    <x v="57"/>
    <x v="57"/>
    <x v="57"/>
    <x v="3"/>
    <x v="6"/>
    <x v="2"/>
    <x v="3"/>
    <x v="6"/>
    <x v="1"/>
    <m/>
    <s v="PD"/>
    <s v="0204"/>
    <s v="Acceso Universal a los  Sistemas Intermodales de transporte Integrados"/>
    <s v="0204.PD.2.4.57.C"/>
    <s v="C"/>
    <s v="Acceso a Transporte Ferroviario"/>
    <m/>
    <m/>
    <n v="33.333333333333336"/>
    <s v="0204.RS.2.4.48r.Z"/>
    <m/>
    <x v="0"/>
    <x v="1"/>
    <x v="2"/>
    <m/>
    <m/>
    <m/>
    <m/>
    <m/>
    <m/>
    <m/>
    <m/>
    <n v="4.5454545454545459"/>
    <x v="1"/>
    <x v="1"/>
    <x v="1"/>
    <x v="1"/>
    <x v="0"/>
    <x v="0"/>
    <x v="0"/>
    <x v="0"/>
    <x v="0"/>
    <x v="0"/>
    <x v="1"/>
    <x v="1"/>
    <x v="1"/>
    <x v="1"/>
    <x v="57"/>
    <x v="4"/>
    <x v="3"/>
    <x v="3"/>
    <m/>
    <m/>
    <m/>
    <s v="0204057"/>
    <m/>
    <m/>
    <m/>
    <m/>
    <m/>
    <m/>
    <m/>
    <m/>
    <m/>
    <m/>
    <m/>
    <m/>
    <m/>
    <m/>
    <m/>
    <n v="0"/>
    <n v="0"/>
    <n v="5"/>
    <n v="0"/>
    <m/>
    <n v="0"/>
    <e v="#DIV/0!"/>
    <n v="0"/>
    <m/>
    <n v="0"/>
    <e v="#DIV/0!"/>
    <n v="0"/>
    <m/>
    <n v="0"/>
    <e v="#DIV/0!"/>
    <n v="0"/>
    <m/>
    <n v="0"/>
    <e v="#DIV/0!"/>
    <n v="0"/>
    <m/>
    <n v="0"/>
    <e v="#DIV/0!"/>
  </r>
  <r>
    <x v="1"/>
    <x v="1"/>
    <x v="3"/>
    <x v="9"/>
    <x v="10"/>
    <x v="58"/>
    <x v="58"/>
    <x v="58"/>
    <x v="58"/>
    <x v="58"/>
    <x v="3"/>
    <x v="6"/>
    <x v="1"/>
    <x v="3"/>
    <x v="6"/>
    <x v="1"/>
    <m/>
    <s v="PC"/>
    <s v="0204"/>
    <s v="Acceso Universal a los  Sistemas Intermodales de transporte Integrados"/>
    <s v="0204.PC.2.4.58.C"/>
    <s v="C"/>
    <s v="Acceso a Transporte Ferroviario"/>
    <m/>
    <m/>
    <n v="33.333333333333336"/>
    <s v="0204.RS.2.4.48r.Z"/>
    <m/>
    <x v="0"/>
    <x v="1"/>
    <x v="2"/>
    <m/>
    <m/>
    <m/>
    <m/>
    <m/>
    <m/>
    <m/>
    <m/>
    <n v="4.5454545454545459"/>
    <x v="1"/>
    <x v="1"/>
    <x v="1"/>
    <x v="0"/>
    <x v="0"/>
    <x v="0"/>
    <x v="1"/>
    <x v="0"/>
    <x v="0"/>
    <x v="0"/>
    <x v="1"/>
    <x v="1"/>
    <x v="1"/>
    <x v="1"/>
    <x v="58"/>
    <x v="4"/>
    <x v="3"/>
    <x v="3"/>
    <m/>
    <m/>
    <m/>
    <s v="0204058"/>
    <m/>
    <m/>
    <m/>
    <m/>
    <m/>
    <m/>
    <m/>
    <m/>
    <m/>
    <m/>
    <m/>
    <m/>
    <m/>
    <m/>
    <m/>
    <n v="0"/>
    <n v="0"/>
    <n v="5"/>
    <n v="0"/>
    <m/>
    <n v="0"/>
    <e v="#DIV/0!"/>
    <n v="0"/>
    <m/>
    <n v="0"/>
    <e v="#DIV/0!"/>
    <n v="0"/>
    <m/>
    <n v="0"/>
    <e v="#DIV/0!"/>
    <n v="0"/>
    <m/>
    <n v="0"/>
    <e v="#DIV/0!"/>
    <n v="0"/>
    <m/>
    <n v="0"/>
    <e v="#DIV/0!"/>
  </r>
  <r>
    <x v="1"/>
    <x v="1"/>
    <x v="3"/>
    <x v="9"/>
    <x v="11"/>
    <x v="59"/>
    <x v="59"/>
    <x v="59"/>
    <x v="59"/>
    <x v="59"/>
    <x v="3"/>
    <x v="6"/>
    <x v="2"/>
    <x v="3"/>
    <x v="6"/>
    <x v="1"/>
    <m/>
    <s v="PD"/>
    <s v="0204"/>
    <s v="Acceso Universal a los  Sistemas Intermodales de transporte Integrados"/>
    <s v="0204.PD.2.4.59.C"/>
    <s v="C"/>
    <s v="Acceso a Transporte Ferroviario"/>
    <m/>
    <m/>
    <n v="33.333333333333336"/>
    <s v="0204.RS.2.4.48r.Z"/>
    <m/>
    <x v="0"/>
    <x v="1"/>
    <x v="2"/>
    <m/>
    <m/>
    <m/>
    <m/>
    <m/>
    <m/>
    <m/>
    <m/>
    <n v="4.5454545454545459"/>
    <x v="1"/>
    <x v="1"/>
    <x v="1"/>
    <x v="1"/>
    <x v="0"/>
    <x v="0"/>
    <x v="0"/>
    <x v="0"/>
    <x v="0"/>
    <x v="0"/>
    <x v="1"/>
    <x v="1"/>
    <x v="1"/>
    <x v="1"/>
    <x v="59"/>
    <x v="4"/>
    <x v="3"/>
    <x v="3"/>
    <m/>
    <m/>
    <m/>
    <s v="0204059"/>
    <m/>
    <m/>
    <m/>
    <m/>
    <m/>
    <m/>
    <m/>
    <m/>
    <m/>
    <m/>
    <m/>
    <m/>
    <m/>
    <m/>
    <m/>
    <n v="0"/>
    <n v="0"/>
    <n v="5"/>
    <n v="0"/>
    <m/>
    <n v="0"/>
    <e v="#DIV/0!"/>
    <n v="0"/>
    <m/>
    <n v="0"/>
    <e v="#DIV/0!"/>
    <n v="0"/>
    <m/>
    <n v="0"/>
    <e v="#DIV/0!"/>
    <n v="0"/>
    <m/>
    <n v="0"/>
    <e v="#DIV/0!"/>
    <n v="0"/>
    <m/>
    <n v="0"/>
    <e v="#DIV/0!"/>
  </r>
  <r>
    <x v="1"/>
    <x v="1"/>
    <x v="3"/>
    <x v="9"/>
    <x v="13"/>
    <x v="60"/>
    <x v="60"/>
    <x v="60"/>
    <x v="60"/>
    <x v="60"/>
    <x v="3"/>
    <x v="6"/>
    <x v="2"/>
    <x v="3"/>
    <x v="6"/>
    <x v="1"/>
    <m/>
    <s v="PD"/>
    <s v="0204"/>
    <s v="Acceso Universal a los  Sistemas Intermodales de transporte Integrados"/>
    <s v="0204.PD.2.4.60.D"/>
    <s v="D"/>
    <s v="Acceso a Transporte Fluvial "/>
    <m/>
    <m/>
    <n v="25"/>
    <s v="0204.RS.2.4.48r.Z"/>
    <m/>
    <x v="0"/>
    <x v="1"/>
    <x v="2"/>
    <m/>
    <m/>
    <m/>
    <m/>
    <m/>
    <m/>
    <m/>
    <m/>
    <n v="4.5454545454545459"/>
    <x v="1"/>
    <x v="1"/>
    <x v="1"/>
    <x v="1"/>
    <x v="0"/>
    <x v="0"/>
    <x v="0"/>
    <x v="0"/>
    <x v="0"/>
    <x v="0"/>
    <x v="1"/>
    <x v="1"/>
    <x v="1"/>
    <x v="1"/>
    <x v="60"/>
    <x v="4"/>
    <x v="3"/>
    <x v="3"/>
    <m/>
    <m/>
    <m/>
    <s v="0204060"/>
    <m/>
    <m/>
    <m/>
    <m/>
    <m/>
    <m/>
    <m/>
    <m/>
    <m/>
    <m/>
    <m/>
    <m/>
    <m/>
    <m/>
    <m/>
    <n v="0"/>
    <n v="0"/>
    <n v="5"/>
    <n v="0"/>
    <m/>
    <n v="0"/>
    <e v="#DIV/0!"/>
    <n v="0"/>
    <m/>
    <n v="0"/>
    <e v="#DIV/0!"/>
    <n v="0"/>
    <m/>
    <n v="0"/>
    <e v="#DIV/0!"/>
    <n v="0"/>
    <m/>
    <n v="0"/>
    <e v="#DIV/0!"/>
    <n v="0"/>
    <m/>
    <n v="0"/>
    <e v="#DIV/0!"/>
  </r>
  <r>
    <x v="1"/>
    <x v="1"/>
    <x v="3"/>
    <x v="9"/>
    <x v="14"/>
    <x v="61"/>
    <x v="61"/>
    <x v="61"/>
    <x v="61"/>
    <x v="61"/>
    <x v="3"/>
    <x v="6"/>
    <x v="2"/>
    <x v="3"/>
    <x v="6"/>
    <x v="1"/>
    <m/>
    <s v="PD"/>
    <s v="0204"/>
    <s v="Acceso Universal a los  Sistemas Intermodales de transporte Integrados"/>
    <s v="0204.PD.2.4.61.D"/>
    <s v="D"/>
    <s v="Acceso a Transporte Fluvial "/>
    <m/>
    <m/>
    <n v="25"/>
    <s v="0204.RS.2.4.48r.Z"/>
    <m/>
    <x v="0"/>
    <x v="1"/>
    <x v="2"/>
    <m/>
    <m/>
    <m/>
    <m/>
    <m/>
    <m/>
    <m/>
    <m/>
    <n v="4.5454545454545459"/>
    <x v="1"/>
    <x v="1"/>
    <x v="1"/>
    <x v="1"/>
    <x v="0"/>
    <x v="0"/>
    <x v="0"/>
    <x v="0"/>
    <x v="0"/>
    <x v="0"/>
    <x v="1"/>
    <x v="1"/>
    <x v="1"/>
    <x v="1"/>
    <x v="61"/>
    <x v="4"/>
    <x v="3"/>
    <x v="3"/>
    <m/>
    <m/>
    <m/>
    <s v="0204061"/>
    <m/>
    <m/>
    <m/>
    <m/>
    <m/>
    <m/>
    <m/>
    <m/>
    <m/>
    <m/>
    <m/>
    <m/>
    <m/>
    <m/>
    <m/>
    <n v="0"/>
    <n v="0"/>
    <n v="5"/>
    <n v="0"/>
    <m/>
    <n v="0"/>
    <e v="#DIV/0!"/>
    <n v="0"/>
    <m/>
    <n v="0"/>
    <e v="#DIV/0!"/>
    <n v="0"/>
    <m/>
    <n v="0"/>
    <e v="#DIV/0!"/>
    <n v="0"/>
    <m/>
    <n v="0"/>
    <e v="#DIV/0!"/>
    <n v="0"/>
    <m/>
    <n v="0"/>
    <e v="#DIV/0!"/>
  </r>
  <r>
    <x v="1"/>
    <x v="1"/>
    <x v="3"/>
    <x v="9"/>
    <x v="15"/>
    <x v="62"/>
    <x v="62"/>
    <x v="62"/>
    <x v="62"/>
    <x v="62"/>
    <x v="3"/>
    <x v="6"/>
    <x v="1"/>
    <x v="3"/>
    <x v="6"/>
    <x v="1"/>
    <m/>
    <s v="PC"/>
    <s v="0204"/>
    <s v="Acceso Universal a los  Sistemas Intermodales de transporte Integrados"/>
    <s v="0204.PC.2.4.62.D"/>
    <s v="D"/>
    <s v="Acceso a Transporte Fluvial "/>
    <m/>
    <m/>
    <n v="25"/>
    <s v="0204.RS.2.4.48r.Z"/>
    <m/>
    <x v="0"/>
    <x v="1"/>
    <x v="2"/>
    <m/>
    <m/>
    <m/>
    <m/>
    <m/>
    <m/>
    <m/>
    <m/>
    <n v="4.5454545454545459"/>
    <x v="1"/>
    <x v="1"/>
    <x v="1"/>
    <x v="0"/>
    <x v="0"/>
    <x v="1"/>
    <x v="0"/>
    <x v="0"/>
    <x v="0"/>
    <x v="0"/>
    <x v="1"/>
    <x v="1"/>
    <x v="1"/>
    <x v="1"/>
    <x v="62"/>
    <x v="4"/>
    <x v="3"/>
    <x v="3"/>
    <m/>
    <m/>
    <m/>
    <s v="0204062"/>
    <m/>
    <m/>
    <m/>
    <m/>
    <m/>
    <m/>
    <m/>
    <m/>
    <m/>
    <m/>
    <m/>
    <m/>
    <m/>
    <m/>
    <m/>
    <n v="0"/>
    <n v="0"/>
    <n v="5"/>
    <n v="0"/>
    <m/>
    <n v="0"/>
    <e v="#DIV/0!"/>
    <n v="0"/>
    <m/>
    <n v="0"/>
    <e v="#DIV/0!"/>
    <n v="0"/>
    <m/>
    <n v="0"/>
    <e v="#DIV/0!"/>
    <n v="0"/>
    <m/>
    <n v="0"/>
    <e v="#DIV/0!"/>
    <n v="0"/>
    <m/>
    <n v="0"/>
    <e v="#DIV/0!"/>
  </r>
  <r>
    <x v="1"/>
    <x v="1"/>
    <x v="3"/>
    <x v="9"/>
    <x v="16"/>
    <x v="63"/>
    <x v="63"/>
    <x v="63"/>
    <x v="63"/>
    <x v="63"/>
    <x v="3"/>
    <x v="6"/>
    <x v="1"/>
    <x v="3"/>
    <x v="6"/>
    <x v="1"/>
    <m/>
    <s v="PC"/>
    <s v="0204"/>
    <s v="Acceso Universal a los  Sistemas Intermodales de transporte Integrados"/>
    <s v="0204.PC.2.4.63.D"/>
    <s v="D"/>
    <s v="Acceso a Transporte Fluvial "/>
    <m/>
    <m/>
    <n v="25"/>
    <s v="0204.RS.2.4.48r.Z"/>
    <m/>
    <x v="0"/>
    <x v="1"/>
    <x v="2"/>
    <m/>
    <m/>
    <m/>
    <m/>
    <m/>
    <m/>
    <m/>
    <m/>
    <n v="4.5454545454545459"/>
    <x v="1"/>
    <x v="1"/>
    <x v="1"/>
    <x v="0"/>
    <x v="0"/>
    <x v="1"/>
    <x v="0"/>
    <x v="0"/>
    <x v="0"/>
    <x v="0"/>
    <x v="1"/>
    <x v="1"/>
    <x v="1"/>
    <x v="1"/>
    <x v="63"/>
    <x v="4"/>
    <x v="3"/>
    <x v="3"/>
    <m/>
    <m/>
    <m/>
    <s v="0204063"/>
    <m/>
    <m/>
    <m/>
    <m/>
    <m/>
    <m/>
    <m/>
    <m/>
    <m/>
    <m/>
    <m/>
    <m/>
    <m/>
    <m/>
    <m/>
    <n v="0"/>
    <n v="0"/>
    <n v="5"/>
    <n v="0"/>
    <m/>
    <n v="0"/>
    <e v="#DIV/0!"/>
    <n v="0"/>
    <m/>
    <n v="0"/>
    <e v="#DIV/0!"/>
    <n v="0"/>
    <m/>
    <n v="0"/>
    <e v="#DIV/0!"/>
    <n v="0"/>
    <m/>
    <n v="0"/>
    <e v="#DIV/0!"/>
    <n v="0"/>
    <m/>
    <n v="0"/>
    <e v="#DIV/0!"/>
  </r>
  <r>
    <x v="1"/>
    <x v="1"/>
    <x v="3"/>
    <x v="9"/>
    <x v="17"/>
    <x v="64"/>
    <x v="64"/>
    <x v="64"/>
    <x v="64"/>
    <x v="64"/>
    <x v="3"/>
    <x v="6"/>
    <x v="2"/>
    <x v="3"/>
    <x v="6"/>
    <x v="1"/>
    <m/>
    <s v="PD"/>
    <s v="0204"/>
    <s v="Acceso Universal a los  Sistemas Intermodales de transporte Integrados"/>
    <s v="0204.PD.2.4.64.E"/>
    <s v="E"/>
    <s v=" Acceso a Transporte por Cable"/>
    <m/>
    <m/>
    <n v="50"/>
    <s v="0204.RS.2.4.48r.Z"/>
    <m/>
    <x v="0"/>
    <x v="1"/>
    <x v="2"/>
    <m/>
    <m/>
    <m/>
    <m/>
    <m/>
    <m/>
    <m/>
    <m/>
    <n v="4.5454545454545459"/>
    <x v="1"/>
    <x v="1"/>
    <x v="1"/>
    <x v="0"/>
    <x v="0"/>
    <x v="1"/>
    <x v="0"/>
    <x v="0"/>
    <x v="0"/>
    <x v="1"/>
    <x v="1"/>
    <x v="0"/>
    <x v="1"/>
    <x v="1"/>
    <x v="64"/>
    <x v="4"/>
    <x v="3"/>
    <x v="3"/>
    <m/>
    <m/>
    <m/>
    <s v="0204064"/>
    <m/>
    <m/>
    <m/>
    <m/>
    <m/>
    <m/>
    <m/>
    <m/>
    <m/>
    <m/>
    <m/>
    <m/>
    <m/>
    <m/>
    <m/>
    <n v="0"/>
    <n v="0"/>
    <n v="5"/>
    <n v="0"/>
    <m/>
    <n v="0"/>
    <e v="#DIV/0!"/>
    <n v="0"/>
    <m/>
    <n v="0"/>
    <e v="#DIV/0!"/>
    <n v="0"/>
    <m/>
    <n v="0"/>
    <e v="#DIV/0!"/>
    <n v="0"/>
    <m/>
    <n v="0"/>
    <e v="#DIV/0!"/>
    <n v="0"/>
    <m/>
    <n v="0"/>
    <e v="#DIV/0!"/>
  </r>
  <r>
    <x v="1"/>
    <x v="1"/>
    <x v="3"/>
    <x v="9"/>
    <x v="18"/>
    <x v="65"/>
    <x v="65"/>
    <x v="65"/>
    <x v="65"/>
    <x v="65"/>
    <x v="3"/>
    <x v="6"/>
    <x v="1"/>
    <x v="3"/>
    <x v="6"/>
    <x v="1"/>
    <m/>
    <s v="PC"/>
    <s v="0204"/>
    <s v="Acceso Universal a los  Sistemas Intermodales de transporte Integrados"/>
    <s v="0204.PC.2.4.65.E"/>
    <s v="E"/>
    <s v=" Acceso a Transporte por Cable"/>
    <m/>
    <s v="0204.PD.2.4.64.E"/>
    <n v="50"/>
    <s v="0204.RS.2.4.48r.Z"/>
    <m/>
    <x v="0"/>
    <x v="1"/>
    <x v="2"/>
    <m/>
    <m/>
    <m/>
    <m/>
    <m/>
    <m/>
    <m/>
    <m/>
    <n v="4.5454545454545459"/>
    <x v="1"/>
    <x v="1"/>
    <x v="1"/>
    <x v="0"/>
    <x v="0"/>
    <x v="0"/>
    <x v="1"/>
    <x v="0"/>
    <x v="0"/>
    <x v="0"/>
    <x v="1"/>
    <x v="1"/>
    <x v="1"/>
    <x v="1"/>
    <x v="65"/>
    <x v="4"/>
    <x v="3"/>
    <x v="3"/>
    <m/>
    <m/>
    <m/>
    <s v="0204065"/>
    <m/>
    <m/>
    <m/>
    <m/>
    <m/>
    <m/>
    <m/>
    <m/>
    <m/>
    <m/>
    <m/>
    <m/>
    <m/>
    <m/>
    <m/>
    <n v="0"/>
    <n v="0"/>
    <n v="5"/>
    <n v="0"/>
    <m/>
    <n v="0"/>
    <e v="#DIV/0!"/>
    <n v="0"/>
    <m/>
    <n v="0"/>
    <e v="#DIV/0!"/>
    <n v="0"/>
    <m/>
    <n v="0"/>
    <e v="#DIV/0!"/>
    <n v="0"/>
    <m/>
    <n v="0"/>
    <e v="#DIV/0!"/>
    <n v="0"/>
    <m/>
    <n v="0"/>
    <e v="#DIV/0!"/>
  </r>
  <r>
    <x v="1"/>
    <x v="1"/>
    <x v="3"/>
    <x v="9"/>
    <x v="19"/>
    <x v="66"/>
    <x v="66"/>
    <x v="66"/>
    <x v="66"/>
    <x v="66"/>
    <x v="3"/>
    <x v="6"/>
    <x v="2"/>
    <x v="3"/>
    <x v="6"/>
    <x v="1"/>
    <m/>
    <s v="PD"/>
    <s v="0204"/>
    <s v="Acceso Universal a los  Sistemas Intermodales de transporte Integrados"/>
    <s v="0204.PD.2.4.66.F"/>
    <s v="F"/>
    <s v="Acceso a Transporte Aéreo"/>
    <m/>
    <m/>
    <n v="33.333333333333336"/>
    <s v="0204.RS.2.4.48r.Z"/>
    <m/>
    <x v="0"/>
    <x v="1"/>
    <x v="2"/>
    <m/>
    <m/>
    <m/>
    <m/>
    <m/>
    <m/>
    <m/>
    <m/>
    <n v="4.5454545454545459"/>
    <x v="1"/>
    <x v="1"/>
    <x v="1"/>
    <x v="1"/>
    <x v="0"/>
    <x v="0"/>
    <x v="0"/>
    <x v="0"/>
    <x v="0"/>
    <x v="0"/>
    <x v="1"/>
    <x v="1"/>
    <x v="1"/>
    <x v="1"/>
    <x v="66"/>
    <x v="4"/>
    <x v="3"/>
    <x v="3"/>
    <m/>
    <m/>
    <m/>
    <s v="0204066"/>
    <m/>
    <m/>
    <m/>
    <m/>
    <m/>
    <m/>
    <m/>
    <m/>
    <m/>
    <m/>
    <m/>
    <m/>
    <m/>
    <m/>
    <m/>
    <n v="0"/>
    <n v="0"/>
    <n v="5"/>
    <n v="0"/>
    <m/>
    <n v="0"/>
    <e v="#DIV/0!"/>
    <n v="0"/>
    <m/>
    <n v="0"/>
    <e v="#DIV/0!"/>
    <n v="0"/>
    <m/>
    <n v="0"/>
    <e v="#DIV/0!"/>
    <n v="0"/>
    <m/>
    <n v="0"/>
    <e v="#DIV/0!"/>
    <n v="0"/>
    <m/>
    <n v="0"/>
    <e v="#DIV/0!"/>
  </r>
  <r>
    <x v="1"/>
    <x v="1"/>
    <x v="3"/>
    <x v="9"/>
    <x v="20"/>
    <x v="67"/>
    <x v="67"/>
    <x v="67"/>
    <x v="67"/>
    <x v="67"/>
    <x v="3"/>
    <x v="6"/>
    <x v="2"/>
    <x v="3"/>
    <x v="6"/>
    <x v="1"/>
    <m/>
    <s v="PD"/>
    <s v="0204"/>
    <s v="Acceso Universal a los  Sistemas Intermodales de transporte Integrados"/>
    <s v="0204.PD.2.4.67.F"/>
    <s v="F"/>
    <s v="Acceso a Transporte Aéreo"/>
    <m/>
    <m/>
    <n v="33.333333333333336"/>
    <s v="0204.RS.2.4.48r.Z"/>
    <m/>
    <x v="0"/>
    <x v="1"/>
    <x v="2"/>
    <m/>
    <m/>
    <m/>
    <m/>
    <m/>
    <m/>
    <m/>
    <m/>
    <n v="4.5454545454545459"/>
    <x v="1"/>
    <x v="1"/>
    <x v="1"/>
    <x v="1"/>
    <x v="0"/>
    <x v="0"/>
    <x v="0"/>
    <x v="0"/>
    <x v="0"/>
    <x v="0"/>
    <x v="1"/>
    <x v="1"/>
    <x v="1"/>
    <x v="1"/>
    <x v="67"/>
    <x v="4"/>
    <x v="3"/>
    <x v="3"/>
    <m/>
    <m/>
    <m/>
    <s v="0204067"/>
    <m/>
    <m/>
    <m/>
    <m/>
    <m/>
    <m/>
    <m/>
    <m/>
    <m/>
    <m/>
    <m/>
    <m/>
    <m/>
    <m/>
    <m/>
    <n v="0"/>
    <n v="0"/>
    <n v="5"/>
    <n v="0"/>
    <m/>
    <n v="0"/>
    <e v="#DIV/0!"/>
    <n v="0"/>
    <m/>
    <n v="0"/>
    <e v="#DIV/0!"/>
    <n v="0"/>
    <m/>
    <n v="0"/>
    <e v="#DIV/0!"/>
    <n v="0"/>
    <m/>
    <n v="0"/>
    <e v="#DIV/0!"/>
    <n v="0"/>
    <m/>
    <n v="0"/>
    <e v="#DIV/0!"/>
  </r>
  <r>
    <x v="1"/>
    <x v="1"/>
    <x v="3"/>
    <x v="9"/>
    <x v="21"/>
    <x v="68"/>
    <x v="68"/>
    <x v="68"/>
    <x v="68"/>
    <x v="68"/>
    <x v="3"/>
    <x v="6"/>
    <x v="2"/>
    <x v="3"/>
    <x v="6"/>
    <x v="1"/>
    <m/>
    <s v="PD"/>
    <s v="0204"/>
    <s v="Acceso Universal a los  Sistemas Intermodales de transporte Integrados"/>
    <s v="0204.PD.2.4.68.F"/>
    <s v="F"/>
    <s v="Acceso a Transporte Aéreo"/>
    <m/>
    <m/>
    <n v="33.333333333333336"/>
    <s v="0204.RS.2.4.48r.Z"/>
    <m/>
    <x v="0"/>
    <x v="1"/>
    <x v="2"/>
    <m/>
    <m/>
    <m/>
    <m/>
    <m/>
    <m/>
    <m/>
    <m/>
    <n v="4.5454545454545459"/>
    <x v="1"/>
    <x v="1"/>
    <x v="1"/>
    <x v="1"/>
    <x v="0"/>
    <x v="0"/>
    <x v="0"/>
    <x v="0"/>
    <x v="0"/>
    <x v="0"/>
    <x v="1"/>
    <x v="1"/>
    <x v="1"/>
    <x v="1"/>
    <x v="68"/>
    <x v="4"/>
    <x v="3"/>
    <x v="3"/>
    <m/>
    <m/>
    <m/>
    <s v="0204068"/>
    <m/>
    <m/>
    <m/>
    <m/>
    <m/>
    <m/>
    <m/>
    <m/>
    <m/>
    <m/>
    <m/>
    <m/>
    <m/>
    <m/>
    <m/>
    <n v="0"/>
    <n v="0"/>
    <n v="5"/>
    <n v="0"/>
    <m/>
    <n v="0"/>
    <e v="#DIV/0!"/>
    <n v="0"/>
    <m/>
    <n v="0"/>
    <e v="#DIV/0!"/>
    <n v="0"/>
    <m/>
    <n v="0"/>
    <e v="#DIV/0!"/>
    <n v="0"/>
    <m/>
    <n v="0"/>
    <e v="#DIV/0!"/>
    <n v="0"/>
    <m/>
    <n v="0"/>
    <e v="#DIV/0!"/>
  </r>
  <r>
    <x v="1"/>
    <x v="1"/>
    <x v="3"/>
    <x v="9"/>
    <x v="22"/>
    <x v="69"/>
    <x v="69"/>
    <x v="69"/>
    <x v="69"/>
    <x v="69"/>
    <x v="3"/>
    <x v="6"/>
    <x v="2"/>
    <x v="3"/>
    <x v="6"/>
    <x v="1"/>
    <m/>
    <s v="PD"/>
    <s v="0204"/>
    <s v="Acceso Universal a los  Sistemas Intermodales de transporte Integrados"/>
    <s v="0204.PD.2.4.69.G"/>
    <s v="G"/>
    <s v="Sistema Intermodal de Transporte"/>
    <m/>
    <m/>
    <n v="100"/>
    <s v="0204.RS.2.4.48r.Z"/>
    <m/>
    <x v="0"/>
    <x v="1"/>
    <x v="2"/>
    <m/>
    <m/>
    <m/>
    <m/>
    <m/>
    <m/>
    <m/>
    <m/>
    <n v="4.5454545454545459"/>
    <x v="1"/>
    <x v="1"/>
    <x v="1"/>
    <x v="1"/>
    <x v="0"/>
    <x v="0"/>
    <x v="0"/>
    <x v="0"/>
    <x v="0"/>
    <x v="0"/>
    <x v="1"/>
    <x v="1"/>
    <x v="1"/>
    <x v="1"/>
    <x v="69"/>
    <x v="4"/>
    <x v="3"/>
    <x v="3"/>
    <m/>
    <m/>
    <m/>
    <s v="0204069"/>
    <m/>
    <m/>
    <m/>
    <m/>
    <m/>
    <m/>
    <m/>
    <m/>
    <m/>
    <m/>
    <m/>
    <m/>
    <m/>
    <m/>
    <m/>
    <n v="0"/>
    <n v="0"/>
    <n v="5"/>
    <n v="0"/>
    <m/>
    <n v="0"/>
    <e v="#DIV/0!"/>
    <n v="0"/>
    <m/>
    <n v="0"/>
    <e v="#DIV/0!"/>
    <n v="0"/>
    <m/>
    <n v="0"/>
    <e v="#DIV/0!"/>
    <n v="0"/>
    <m/>
    <n v="0"/>
    <e v="#DIV/0!"/>
    <n v="0"/>
    <m/>
    <n v="0"/>
    <e v="#DIV/0!"/>
  </r>
  <r>
    <x v="1"/>
    <x v="1"/>
    <x v="4"/>
    <x v="10"/>
    <x v="0"/>
    <x v="70"/>
    <x v="70"/>
    <x v="70"/>
    <x v="70"/>
    <x v="70"/>
    <x v="3"/>
    <x v="7"/>
    <x v="0"/>
    <x v="0"/>
    <x v="7"/>
    <x v="0"/>
    <m/>
    <s v="RS"/>
    <s v="0205"/>
    <s v="Acceso Universal a viviendas dignas con servicios básicos"/>
    <s v="0205.RS.2.5.70.A"/>
    <s v="A"/>
    <s v="Déficit Habitacional"/>
    <m/>
    <m/>
    <n v="33.333333333333336"/>
    <s v="0101.RS.1.1.3.B"/>
    <m/>
    <x v="0"/>
    <x v="1"/>
    <x v="10"/>
    <m/>
    <m/>
    <m/>
    <m/>
    <m/>
    <m/>
    <m/>
    <m/>
    <n v="33.333333333333336"/>
    <x v="0"/>
    <x v="0"/>
    <x v="0"/>
    <x v="0"/>
    <x v="0"/>
    <x v="0"/>
    <x v="0"/>
    <x v="0"/>
    <x v="0"/>
    <x v="0"/>
    <x v="0"/>
    <x v="0"/>
    <x v="0"/>
    <x v="1"/>
    <x v="70"/>
    <x v="4"/>
    <x v="3"/>
    <x v="3"/>
    <m/>
    <m/>
    <m/>
    <s v="0205070"/>
    <m/>
    <m/>
    <m/>
    <m/>
    <m/>
    <m/>
    <m/>
    <m/>
    <m/>
    <m/>
    <m/>
    <m/>
    <m/>
    <m/>
    <m/>
    <n v="0"/>
    <n v="0"/>
    <n v="5"/>
    <n v="0"/>
    <m/>
    <n v="0"/>
    <e v="#DIV/0!"/>
    <n v="0"/>
    <m/>
    <n v="0"/>
    <e v="#DIV/0!"/>
    <n v="0"/>
    <m/>
    <n v="0"/>
    <e v="#DIV/0!"/>
    <n v="0"/>
    <m/>
    <n v="0"/>
    <e v="#DIV/0!"/>
    <n v="0"/>
    <m/>
    <n v="0"/>
    <e v="#DIV/0!"/>
  </r>
  <r>
    <x v="1"/>
    <x v="1"/>
    <x v="4"/>
    <x v="10"/>
    <x v="1"/>
    <x v="71"/>
    <x v="71"/>
    <x v="71"/>
    <x v="71"/>
    <x v="71"/>
    <x v="3"/>
    <x v="7"/>
    <x v="2"/>
    <x v="0"/>
    <x v="7"/>
    <x v="0"/>
    <m/>
    <s v="PD"/>
    <s v="0205"/>
    <s v="Acceso Universal a viviendas dignas con servicios básicos"/>
    <s v="0205.PD.2.5.71.A"/>
    <s v="A"/>
    <s v="Déficit Habitacional"/>
    <m/>
    <s v="0205.RS.2.5.70.A"/>
    <n v="33.333333333333336"/>
    <m/>
    <m/>
    <x v="0"/>
    <x v="1"/>
    <x v="2"/>
    <m/>
    <m/>
    <m/>
    <m/>
    <m/>
    <m/>
    <m/>
    <m/>
    <n v="33.333333333333336"/>
    <x v="1"/>
    <x v="1"/>
    <x v="1"/>
    <x v="0"/>
    <x v="0"/>
    <x v="1"/>
    <x v="0"/>
    <x v="0"/>
    <x v="0"/>
    <x v="1"/>
    <x v="1"/>
    <x v="0"/>
    <x v="1"/>
    <x v="1"/>
    <x v="71"/>
    <x v="4"/>
    <x v="3"/>
    <x v="3"/>
    <m/>
    <m/>
    <m/>
    <s v="0205071"/>
    <m/>
    <m/>
    <m/>
    <m/>
    <m/>
    <m/>
    <m/>
    <m/>
    <m/>
    <m/>
    <m/>
    <m/>
    <m/>
    <m/>
    <m/>
    <n v="0"/>
    <n v="0"/>
    <n v="5"/>
    <n v="0"/>
    <m/>
    <n v="0"/>
    <e v="#DIV/0!"/>
    <n v="0"/>
    <m/>
    <n v="0"/>
    <e v="#DIV/0!"/>
    <n v="0"/>
    <m/>
    <n v="0"/>
    <e v="#DIV/0!"/>
    <n v="0"/>
    <m/>
    <n v="0"/>
    <e v="#DIV/0!"/>
    <n v="0"/>
    <m/>
    <n v="0"/>
    <e v="#DIV/0!"/>
  </r>
  <r>
    <x v="1"/>
    <x v="1"/>
    <x v="4"/>
    <x v="10"/>
    <x v="2"/>
    <x v="72"/>
    <x v="72"/>
    <x v="72"/>
    <x v="72"/>
    <x v="72"/>
    <x v="3"/>
    <x v="7"/>
    <x v="2"/>
    <x v="0"/>
    <x v="7"/>
    <x v="0"/>
    <m/>
    <s v="PD"/>
    <s v="0205"/>
    <s v="Acceso Universal a viviendas dignas con servicios básicos"/>
    <s v="0205.PD.2.5.72.A"/>
    <s v="A"/>
    <s v="Déficit Habitacional"/>
    <m/>
    <s v="0205.RS.2.5.70.A"/>
    <n v="33.333333333333336"/>
    <m/>
    <m/>
    <x v="0"/>
    <x v="1"/>
    <x v="2"/>
    <m/>
    <m/>
    <m/>
    <m/>
    <m/>
    <m/>
    <m/>
    <m/>
    <n v="33.333333333333336"/>
    <x v="1"/>
    <x v="1"/>
    <x v="1"/>
    <x v="1"/>
    <x v="0"/>
    <x v="0"/>
    <x v="0"/>
    <x v="0"/>
    <x v="0"/>
    <x v="0"/>
    <x v="1"/>
    <x v="1"/>
    <x v="1"/>
    <x v="1"/>
    <x v="72"/>
    <x v="4"/>
    <x v="3"/>
    <x v="3"/>
    <m/>
    <m/>
    <m/>
    <s v="0205072"/>
    <m/>
    <m/>
    <m/>
    <m/>
    <m/>
    <m/>
    <m/>
    <m/>
    <m/>
    <m/>
    <m/>
    <m/>
    <m/>
    <m/>
    <m/>
    <n v="0"/>
    <n v="0"/>
    <n v="5"/>
    <n v="0"/>
    <m/>
    <n v="0"/>
    <e v="#DIV/0!"/>
    <n v="0"/>
    <m/>
    <n v="0"/>
    <e v="#DIV/0!"/>
    <n v="0"/>
    <m/>
    <n v="0"/>
    <e v="#DIV/0!"/>
    <n v="0"/>
    <m/>
    <n v="0"/>
    <e v="#DIV/0!"/>
    <n v="0"/>
    <m/>
    <n v="0"/>
    <e v="#DIV/0!"/>
  </r>
  <r>
    <x v="1"/>
    <x v="1"/>
    <x v="5"/>
    <x v="11"/>
    <x v="0"/>
    <x v="73"/>
    <x v="73"/>
    <x v="73"/>
    <x v="73"/>
    <x v="73"/>
    <x v="3"/>
    <x v="8"/>
    <x v="0"/>
    <x v="0"/>
    <x v="5"/>
    <x v="0"/>
    <m/>
    <s v="RS"/>
    <s v="0206"/>
    <s v="Acceso a servicio de gas domiciliario"/>
    <s v="0206.RS.2.6.73.A"/>
    <s v="A"/>
    <s v="Servicio de Gas Domiciliario"/>
    <s v="Acceso a Gas Domiciliario"/>
    <m/>
    <n v="33.333333333333336"/>
    <s v="0101.RS.1.1.3.B"/>
    <m/>
    <x v="0"/>
    <x v="1"/>
    <x v="10"/>
    <m/>
    <m/>
    <m/>
    <m/>
    <m/>
    <m/>
    <m/>
    <m/>
    <n v="33.333333333333336"/>
    <x v="0"/>
    <x v="0"/>
    <x v="1"/>
    <x v="0"/>
    <x v="1"/>
    <x v="0"/>
    <x v="0"/>
    <x v="0"/>
    <x v="0"/>
    <x v="1"/>
    <x v="1"/>
    <x v="0"/>
    <x v="1"/>
    <x v="1"/>
    <x v="73"/>
    <x v="4"/>
    <x v="3"/>
    <x v="3"/>
    <m/>
    <m/>
    <m/>
    <s v="0206073"/>
    <m/>
    <m/>
    <m/>
    <m/>
    <m/>
    <m/>
    <m/>
    <m/>
    <m/>
    <m/>
    <m/>
    <m/>
    <m/>
    <m/>
    <m/>
    <n v="0"/>
    <n v="0"/>
    <n v="5"/>
    <n v="0"/>
    <m/>
    <n v="0"/>
    <e v="#DIV/0!"/>
    <n v="0"/>
    <m/>
    <n v="0"/>
    <e v="#DIV/0!"/>
    <n v="0"/>
    <m/>
    <n v="0"/>
    <e v="#DIV/0!"/>
    <n v="0"/>
    <m/>
    <n v="0"/>
    <e v="#DIV/0!"/>
    <n v="0"/>
    <m/>
    <n v="0"/>
    <e v="#DIV/0!"/>
  </r>
  <r>
    <x v="1"/>
    <x v="1"/>
    <x v="5"/>
    <x v="11"/>
    <x v="1"/>
    <x v="74"/>
    <x v="74"/>
    <x v="74"/>
    <x v="74"/>
    <x v="74"/>
    <x v="3"/>
    <x v="8"/>
    <x v="2"/>
    <x v="0"/>
    <x v="5"/>
    <x v="1"/>
    <m/>
    <s v="PD"/>
    <s v="0206"/>
    <s v="Acceso a servicio de gas domiciliario"/>
    <s v="0206.PD.2.6.74.A"/>
    <s v="A"/>
    <s v="Servicio de Gas Domiciliario"/>
    <m/>
    <s v="0206.RS.2.6.73.A"/>
    <n v="33.333333333333336"/>
    <m/>
    <m/>
    <x v="0"/>
    <x v="1"/>
    <x v="2"/>
    <m/>
    <m/>
    <m/>
    <m/>
    <m/>
    <m/>
    <m/>
    <m/>
    <n v="33.333333333333336"/>
    <x v="1"/>
    <x v="1"/>
    <x v="1"/>
    <x v="1"/>
    <x v="0"/>
    <x v="0"/>
    <x v="0"/>
    <x v="0"/>
    <x v="0"/>
    <x v="0"/>
    <x v="1"/>
    <x v="1"/>
    <x v="1"/>
    <x v="1"/>
    <x v="74"/>
    <x v="4"/>
    <x v="3"/>
    <x v="3"/>
    <m/>
    <m/>
    <m/>
    <s v="0206074"/>
    <m/>
    <m/>
    <m/>
    <m/>
    <m/>
    <m/>
    <m/>
    <m/>
    <m/>
    <m/>
    <m/>
    <m/>
    <m/>
    <m/>
    <m/>
    <n v="0"/>
    <n v="0"/>
    <n v="5"/>
    <n v="0"/>
    <m/>
    <n v="0"/>
    <e v="#DIV/0!"/>
    <n v="0"/>
    <m/>
    <n v="0"/>
    <e v="#DIV/0!"/>
    <n v="0"/>
    <m/>
    <n v="0"/>
    <e v="#DIV/0!"/>
    <n v="0"/>
    <m/>
    <n v="0"/>
    <e v="#DIV/0!"/>
    <n v="0"/>
    <m/>
    <n v="0"/>
    <e v="#DIV/0!"/>
  </r>
  <r>
    <x v="1"/>
    <x v="1"/>
    <x v="5"/>
    <x v="11"/>
    <x v="2"/>
    <x v="75"/>
    <x v="75"/>
    <x v="75"/>
    <x v="75"/>
    <x v="75"/>
    <x v="3"/>
    <x v="8"/>
    <x v="2"/>
    <x v="0"/>
    <x v="5"/>
    <x v="1"/>
    <m/>
    <s v="PD"/>
    <s v="0206"/>
    <s v="Acceso a servicio de gas domiciliario"/>
    <s v="0206.PD.2.6.75.A"/>
    <s v="A"/>
    <s v="Servicio de Gas Domiciliario"/>
    <m/>
    <s v="0206.RS.2.6.73.A"/>
    <n v="33.333333333333336"/>
    <m/>
    <m/>
    <x v="0"/>
    <x v="1"/>
    <x v="2"/>
    <m/>
    <m/>
    <m/>
    <m/>
    <m/>
    <m/>
    <m/>
    <m/>
    <n v="33.333333333333336"/>
    <x v="1"/>
    <x v="1"/>
    <x v="1"/>
    <x v="1"/>
    <x v="0"/>
    <x v="0"/>
    <x v="0"/>
    <x v="0"/>
    <x v="0"/>
    <x v="0"/>
    <x v="1"/>
    <x v="1"/>
    <x v="1"/>
    <x v="1"/>
    <x v="75"/>
    <x v="4"/>
    <x v="3"/>
    <x v="3"/>
    <m/>
    <m/>
    <m/>
    <s v="0206075"/>
    <m/>
    <m/>
    <m/>
    <m/>
    <m/>
    <m/>
    <m/>
    <m/>
    <m/>
    <m/>
    <m/>
    <m/>
    <m/>
    <m/>
    <m/>
    <n v="0"/>
    <n v="0"/>
    <n v="5"/>
    <n v="0"/>
    <m/>
    <n v="0"/>
    <e v="#DIV/0!"/>
    <n v="0"/>
    <m/>
    <n v="0"/>
    <e v="#DIV/0!"/>
    <n v="0"/>
    <m/>
    <n v="0"/>
    <e v="#DIV/0!"/>
    <n v="0"/>
    <m/>
    <n v="0"/>
    <e v="#DIV/0!"/>
    <n v="0"/>
    <m/>
    <n v="0"/>
    <e v="#DIV/0!"/>
  </r>
  <r>
    <x v="2"/>
    <x v="2"/>
    <x v="0"/>
    <x v="12"/>
    <x v="0"/>
    <x v="76"/>
    <x v="76"/>
    <x v="76"/>
    <x v="76"/>
    <x v="76"/>
    <x v="4"/>
    <x v="9"/>
    <x v="1"/>
    <x v="0"/>
    <x v="8"/>
    <x v="1"/>
    <m/>
    <s v="PC"/>
    <s v="0301"/>
    <s v="Acceso universal al servicio de salud"/>
    <s v="0301.PC.3.1.76.A"/>
    <s v="A"/>
    <s v="Cobertura del Servicio de Salud en todos los  niveles territoriales."/>
    <s v="Disponibilidad del Servicio de Salud en todos los  niveles territoriales._x000a__x000a_Acceso gratuito al Servicio de Salud  en todos los  niveles territoriales."/>
    <s v="0301.RS.3.1.77.B"/>
    <n v="100"/>
    <s v="0101.RS.1.1.3.B"/>
    <m/>
    <x v="0"/>
    <x v="1"/>
    <x v="2"/>
    <m/>
    <m/>
    <m/>
    <m/>
    <m/>
    <m/>
    <m/>
    <m/>
    <n v="8.3333333333333339"/>
    <x v="1"/>
    <x v="1"/>
    <x v="1"/>
    <x v="0"/>
    <x v="0"/>
    <x v="0"/>
    <x v="1"/>
    <x v="0"/>
    <x v="0"/>
    <x v="0"/>
    <x v="1"/>
    <x v="1"/>
    <x v="1"/>
    <x v="1"/>
    <x v="76"/>
    <x v="4"/>
    <x v="3"/>
    <x v="3"/>
    <m/>
    <m/>
    <m/>
    <s v="0301076"/>
    <m/>
    <m/>
    <m/>
    <m/>
    <m/>
    <m/>
    <m/>
    <m/>
    <m/>
    <m/>
    <m/>
    <m/>
    <m/>
    <m/>
    <m/>
    <n v="0"/>
    <n v="0"/>
    <n v="5"/>
    <n v="0"/>
    <m/>
    <n v="0"/>
    <e v="#DIV/0!"/>
    <n v="0"/>
    <m/>
    <n v="0"/>
    <e v="#DIV/0!"/>
    <n v="0"/>
    <m/>
    <n v="0"/>
    <e v="#DIV/0!"/>
    <n v="0"/>
    <m/>
    <n v="0"/>
    <e v="#DIV/0!"/>
    <n v="0"/>
    <m/>
    <n v="0"/>
    <e v="#DIV/0!"/>
  </r>
  <r>
    <x v="2"/>
    <x v="2"/>
    <x v="0"/>
    <x v="12"/>
    <x v="1"/>
    <x v="77"/>
    <x v="77"/>
    <x v="77"/>
    <x v="77"/>
    <x v="77"/>
    <x v="4"/>
    <x v="9"/>
    <x v="0"/>
    <x v="0"/>
    <x v="8"/>
    <x v="1"/>
    <m/>
    <s v="RS"/>
    <s v="0301"/>
    <s v="Acceso universal al servicio de salud"/>
    <s v="0301.RS.3.1.77.B"/>
    <s v="B"/>
    <s v="Acceso a Medicamentos"/>
    <m/>
    <m/>
    <n v="100"/>
    <m/>
    <m/>
    <x v="0"/>
    <x v="1"/>
    <x v="11"/>
    <m/>
    <m/>
    <m/>
    <m/>
    <m/>
    <m/>
    <m/>
    <m/>
    <n v="8.3333333333333339"/>
    <x v="0"/>
    <x v="0"/>
    <x v="1"/>
    <x v="0"/>
    <x v="1"/>
    <x v="0"/>
    <x v="0"/>
    <x v="0"/>
    <x v="0"/>
    <x v="0"/>
    <x v="1"/>
    <x v="1"/>
    <x v="0"/>
    <x v="1"/>
    <x v="77"/>
    <x v="4"/>
    <x v="3"/>
    <x v="3"/>
    <m/>
    <m/>
    <m/>
    <s v="0301077"/>
    <m/>
    <m/>
    <m/>
    <m/>
    <m/>
    <m/>
    <m/>
    <m/>
    <m/>
    <m/>
    <m/>
    <m/>
    <m/>
    <m/>
    <m/>
    <n v="0"/>
    <n v="0"/>
    <n v="5"/>
    <n v="0"/>
    <m/>
    <n v="0"/>
    <e v="#DIV/0!"/>
    <n v="0"/>
    <m/>
    <n v="0"/>
    <e v="#DIV/0!"/>
    <n v="0"/>
    <m/>
    <n v="0"/>
    <e v="#DIV/0!"/>
    <n v="0"/>
    <m/>
    <n v="0"/>
    <e v="#DIV/0!"/>
    <n v="0"/>
    <m/>
    <n v="0"/>
    <e v="#DIV/0!"/>
  </r>
  <r>
    <x v="2"/>
    <x v="2"/>
    <x v="0"/>
    <x v="12"/>
    <x v="2"/>
    <x v="78"/>
    <x v="78"/>
    <x v="78"/>
    <x v="78"/>
    <x v="78"/>
    <x v="4"/>
    <x v="9"/>
    <x v="1"/>
    <x v="0"/>
    <x v="8"/>
    <x v="1"/>
    <m/>
    <s v="PC"/>
    <s v="0301"/>
    <s v="Acceso universal al servicio de salud"/>
    <s v="0301.PC.3.1.78.C"/>
    <s v="C"/>
    <s v="Atención a domicilio"/>
    <s v="Atención Salud Infantil_x000a_Atención Salud Materna_x000a_Cobertura de Consulta Médica Externa"/>
    <s v="0301.RS.3.1.80.E"/>
    <n v="100"/>
    <s v="0301.RS.3.1.81.F"/>
    <m/>
    <x v="0"/>
    <x v="1"/>
    <x v="2"/>
    <m/>
    <m/>
    <m/>
    <m/>
    <m/>
    <m/>
    <m/>
    <m/>
    <n v="8.3333333333333339"/>
    <x v="1"/>
    <x v="1"/>
    <x v="1"/>
    <x v="0"/>
    <x v="0"/>
    <x v="1"/>
    <x v="0"/>
    <x v="0"/>
    <x v="0"/>
    <x v="1"/>
    <x v="1"/>
    <x v="0"/>
    <x v="1"/>
    <x v="1"/>
    <x v="78"/>
    <x v="4"/>
    <x v="3"/>
    <x v="3"/>
    <m/>
    <m/>
    <m/>
    <s v="0301078"/>
    <m/>
    <m/>
    <m/>
    <m/>
    <m/>
    <m/>
    <m/>
    <m/>
    <m/>
    <m/>
    <m/>
    <m/>
    <m/>
    <m/>
    <m/>
    <n v="0"/>
    <n v="0"/>
    <n v="5"/>
    <n v="0"/>
    <m/>
    <n v="0"/>
    <e v="#DIV/0!"/>
    <n v="0"/>
    <m/>
    <n v="0"/>
    <e v="#DIV/0!"/>
    <n v="0"/>
    <m/>
    <n v="0"/>
    <e v="#DIV/0!"/>
    <n v="0"/>
    <m/>
    <n v="0"/>
    <e v="#DIV/0!"/>
    <n v="0"/>
    <m/>
    <n v="0"/>
    <e v="#DIV/0!"/>
  </r>
  <r>
    <x v="2"/>
    <x v="2"/>
    <x v="0"/>
    <x v="12"/>
    <x v="3"/>
    <x v="79"/>
    <x v="79"/>
    <x v="79"/>
    <x v="79"/>
    <x v="79"/>
    <x v="4"/>
    <x v="9"/>
    <x v="1"/>
    <x v="0"/>
    <x v="8"/>
    <x v="1"/>
    <m/>
    <s v="PC"/>
    <s v="0301"/>
    <s v="Acceso universal al servicio de salud"/>
    <s v="0301.PC.3.1.79.D"/>
    <s v="D"/>
    <s v="Acceso a Servicios de Telemedicina"/>
    <m/>
    <m/>
    <n v="100"/>
    <m/>
    <m/>
    <x v="0"/>
    <x v="1"/>
    <x v="2"/>
    <m/>
    <m/>
    <m/>
    <m/>
    <m/>
    <m/>
    <m/>
    <m/>
    <n v="8.3333333333333339"/>
    <x v="1"/>
    <x v="1"/>
    <x v="1"/>
    <x v="0"/>
    <x v="0"/>
    <x v="0"/>
    <x v="1"/>
    <x v="0"/>
    <x v="0"/>
    <x v="0"/>
    <x v="1"/>
    <x v="1"/>
    <x v="1"/>
    <x v="1"/>
    <x v="79"/>
    <x v="4"/>
    <x v="3"/>
    <x v="3"/>
    <m/>
    <m/>
    <m/>
    <s v="0301079"/>
    <m/>
    <m/>
    <m/>
    <m/>
    <m/>
    <m/>
    <m/>
    <m/>
    <m/>
    <m/>
    <m/>
    <m/>
    <m/>
    <m/>
    <m/>
    <n v="0"/>
    <n v="0"/>
    <n v="5"/>
    <n v="0"/>
    <m/>
    <n v="0"/>
    <e v="#DIV/0!"/>
    <n v="0"/>
    <m/>
    <n v="0"/>
    <e v="#DIV/0!"/>
    <n v="0"/>
    <m/>
    <n v="0"/>
    <e v="#DIV/0!"/>
    <n v="0"/>
    <m/>
    <n v="0"/>
    <e v="#DIV/0!"/>
    <n v="0"/>
    <m/>
    <n v="0"/>
    <e v="#DIV/0!"/>
  </r>
  <r>
    <x v="2"/>
    <x v="2"/>
    <x v="0"/>
    <x v="12"/>
    <x v="4"/>
    <x v="80"/>
    <x v="80"/>
    <x v="80"/>
    <x v="80"/>
    <x v="80"/>
    <x v="4"/>
    <x v="9"/>
    <x v="0"/>
    <x v="0"/>
    <x v="8"/>
    <x v="0"/>
    <m/>
    <s v="RS"/>
    <s v="0301"/>
    <s v="Acceso universal al servicio de salud"/>
    <s v="0301.RS.3.1.80.E"/>
    <s v="E"/>
    <s v="Atención en Salud Infantil"/>
    <s v="Mortalidad Infantil"/>
    <m/>
    <n v="100"/>
    <m/>
    <m/>
    <x v="0"/>
    <x v="1"/>
    <x v="11"/>
    <m/>
    <m/>
    <m/>
    <m/>
    <m/>
    <m/>
    <m/>
    <m/>
    <n v="8.3333333333333339"/>
    <x v="0"/>
    <x v="0"/>
    <x v="0"/>
    <x v="0"/>
    <x v="0"/>
    <x v="0"/>
    <x v="0"/>
    <x v="0"/>
    <x v="0"/>
    <x v="0"/>
    <x v="0"/>
    <x v="0"/>
    <x v="0"/>
    <x v="1"/>
    <x v="80"/>
    <x v="4"/>
    <x v="3"/>
    <x v="3"/>
    <m/>
    <m/>
    <m/>
    <s v="0301080"/>
    <m/>
    <m/>
    <m/>
    <m/>
    <m/>
    <m/>
    <m/>
    <m/>
    <m/>
    <m/>
    <m/>
    <m/>
    <m/>
    <m/>
    <m/>
    <n v="0"/>
    <n v="0"/>
    <n v="5"/>
    <n v="0"/>
    <m/>
    <n v="0"/>
    <e v="#DIV/0!"/>
    <n v="0"/>
    <m/>
    <n v="0"/>
    <e v="#DIV/0!"/>
    <n v="0"/>
    <m/>
    <n v="0"/>
    <e v="#DIV/0!"/>
    <n v="0"/>
    <m/>
    <n v="0"/>
    <e v="#DIV/0!"/>
    <n v="0"/>
    <m/>
    <n v="0"/>
    <e v="#DIV/0!"/>
  </r>
  <r>
    <x v="2"/>
    <x v="2"/>
    <x v="0"/>
    <x v="12"/>
    <x v="5"/>
    <x v="81"/>
    <x v="81"/>
    <x v="81"/>
    <x v="81"/>
    <x v="81"/>
    <x v="4"/>
    <x v="9"/>
    <x v="0"/>
    <x v="0"/>
    <x v="8"/>
    <x v="0"/>
    <m/>
    <s v="RS"/>
    <s v="0301"/>
    <s v="Acceso universal al servicio de salud"/>
    <s v="0301.RS.3.1.81.F"/>
    <s v="F"/>
    <s v="Atención en Salud Materna"/>
    <s v="Mortalidad Materna"/>
    <m/>
    <n v="50"/>
    <m/>
    <m/>
    <x v="0"/>
    <x v="1"/>
    <x v="11"/>
    <m/>
    <m/>
    <m/>
    <m/>
    <m/>
    <m/>
    <m/>
    <m/>
    <n v="8.3333333333333339"/>
    <x v="0"/>
    <x v="0"/>
    <x v="1"/>
    <x v="0"/>
    <x v="1"/>
    <x v="0"/>
    <x v="0"/>
    <x v="0"/>
    <x v="1"/>
    <x v="0"/>
    <x v="1"/>
    <x v="0"/>
    <x v="0"/>
    <x v="1"/>
    <x v="81"/>
    <x v="4"/>
    <x v="3"/>
    <x v="3"/>
    <m/>
    <m/>
    <m/>
    <s v="0301081"/>
    <m/>
    <m/>
    <m/>
    <m/>
    <m/>
    <m/>
    <m/>
    <m/>
    <m/>
    <m/>
    <m/>
    <m/>
    <m/>
    <m/>
    <m/>
    <n v="0"/>
    <n v="0"/>
    <n v="5"/>
    <n v="0"/>
    <m/>
    <n v="0"/>
    <e v="#DIV/0!"/>
    <n v="0"/>
    <m/>
    <n v="0"/>
    <e v="#DIV/0!"/>
    <n v="0"/>
    <m/>
    <n v="0"/>
    <e v="#DIV/0!"/>
    <n v="0"/>
    <m/>
    <n v="0"/>
    <e v="#DIV/0!"/>
    <n v="0"/>
    <m/>
    <n v="0"/>
    <e v="#DIV/0!"/>
  </r>
  <r>
    <x v="2"/>
    <x v="2"/>
    <x v="0"/>
    <x v="12"/>
    <x v="6"/>
    <x v="82"/>
    <x v="82"/>
    <x v="82"/>
    <x v="82"/>
    <x v="82"/>
    <x v="4"/>
    <x v="9"/>
    <x v="0"/>
    <x v="0"/>
    <x v="8"/>
    <x v="1"/>
    <m/>
    <s v="RS"/>
    <s v="0301"/>
    <s v="Acceso universal al servicio de salud"/>
    <s v="0301.RS.3.1.82.F"/>
    <s v="F"/>
    <s v="Atención en Salud Materna"/>
    <s v="Cobertura de Parto institucional"/>
    <s v="0301.RS.3.1.81.F"/>
    <n v="50"/>
    <s v="0301.PC.3.1.76.A"/>
    <m/>
    <x v="0"/>
    <x v="1"/>
    <x v="2"/>
    <s v="0301.PC.3.1.78.C"/>
    <m/>
    <s v="0301.RS.3.1.83.G"/>
    <m/>
    <m/>
    <m/>
    <m/>
    <m/>
    <n v="8.3333333333333339"/>
    <x v="0"/>
    <x v="0"/>
    <x v="1"/>
    <x v="0"/>
    <x v="1"/>
    <x v="0"/>
    <x v="0"/>
    <x v="0"/>
    <x v="0"/>
    <x v="1"/>
    <x v="1"/>
    <x v="0"/>
    <x v="1"/>
    <x v="1"/>
    <x v="82"/>
    <x v="4"/>
    <x v="3"/>
    <x v="3"/>
    <m/>
    <m/>
    <m/>
    <s v="0301082"/>
    <m/>
    <m/>
    <m/>
    <m/>
    <m/>
    <m/>
    <m/>
    <m/>
    <m/>
    <m/>
    <m/>
    <m/>
    <m/>
    <m/>
    <m/>
    <n v="0"/>
    <n v="0"/>
    <n v="5"/>
    <n v="0"/>
    <m/>
    <n v="0"/>
    <e v="#DIV/0!"/>
    <n v="0"/>
    <m/>
    <n v="0"/>
    <e v="#DIV/0!"/>
    <n v="0"/>
    <m/>
    <n v="0"/>
    <e v="#DIV/0!"/>
    <n v="0"/>
    <m/>
    <n v="0"/>
    <e v="#DIV/0!"/>
    <n v="0"/>
    <m/>
    <n v="0"/>
    <e v="#DIV/0!"/>
  </r>
  <r>
    <x v="2"/>
    <x v="2"/>
    <x v="0"/>
    <x v="12"/>
    <x v="7"/>
    <x v="83"/>
    <x v="83"/>
    <x v="83"/>
    <x v="83"/>
    <x v="83"/>
    <x v="4"/>
    <x v="9"/>
    <x v="0"/>
    <x v="0"/>
    <x v="8"/>
    <x v="1"/>
    <m/>
    <s v="RS"/>
    <s v="0301"/>
    <s v="Acceso universal al servicio de salud"/>
    <s v="0301.RS.3.1.83.G"/>
    <s v="G"/>
    <s v="Embarazos no deseados"/>
    <s v="Adolescentes embarazadas"/>
    <m/>
    <n v="100"/>
    <m/>
    <m/>
    <x v="0"/>
    <x v="1"/>
    <x v="11"/>
    <m/>
    <m/>
    <m/>
    <m/>
    <m/>
    <m/>
    <m/>
    <m/>
    <n v="8.3333333333333339"/>
    <x v="0"/>
    <x v="0"/>
    <x v="1"/>
    <x v="0"/>
    <x v="1"/>
    <x v="0"/>
    <x v="0"/>
    <x v="0"/>
    <x v="0"/>
    <x v="0"/>
    <x v="1"/>
    <x v="1"/>
    <x v="0"/>
    <x v="1"/>
    <x v="83"/>
    <x v="4"/>
    <x v="3"/>
    <x v="3"/>
    <m/>
    <m/>
    <m/>
    <s v="0301083"/>
    <m/>
    <m/>
    <m/>
    <m/>
    <m/>
    <m/>
    <m/>
    <m/>
    <m/>
    <m/>
    <m/>
    <m/>
    <m/>
    <m/>
    <m/>
    <n v="0"/>
    <n v="0"/>
    <n v="5"/>
    <n v="0"/>
    <m/>
    <n v="0"/>
    <e v="#DIV/0!"/>
    <n v="0"/>
    <m/>
    <n v="0"/>
    <e v="#DIV/0!"/>
    <n v="0"/>
    <m/>
    <n v="0"/>
    <e v="#DIV/0!"/>
    <n v="0"/>
    <m/>
    <n v="0"/>
    <e v="#DIV/0!"/>
    <n v="0"/>
    <m/>
    <n v="0"/>
    <e v="#DIV/0!"/>
  </r>
  <r>
    <x v="2"/>
    <x v="2"/>
    <x v="0"/>
    <x v="12"/>
    <x v="8"/>
    <x v="84"/>
    <x v="84"/>
    <x v="84"/>
    <x v="84"/>
    <x v="84"/>
    <x v="4"/>
    <x v="9"/>
    <x v="2"/>
    <x v="0"/>
    <x v="8"/>
    <x v="1"/>
    <m/>
    <s v="PD"/>
    <s v="0301"/>
    <s v="Acceso universal al servicio de salud"/>
    <s v="0301.PD.3.1.84.H"/>
    <s v="H"/>
    <s v="Articulación de Planes Municipales de Salud al enfoque intersectorial"/>
    <m/>
    <s v="1105.PC.11.5.325."/>
    <n v="100"/>
    <m/>
    <m/>
    <x v="0"/>
    <x v="1"/>
    <x v="2"/>
    <m/>
    <m/>
    <m/>
    <m/>
    <m/>
    <m/>
    <m/>
    <m/>
    <n v="8.3333333333333339"/>
    <x v="1"/>
    <x v="1"/>
    <x v="1"/>
    <x v="0"/>
    <x v="0"/>
    <x v="0"/>
    <x v="1"/>
    <x v="0"/>
    <x v="0"/>
    <x v="0"/>
    <x v="1"/>
    <x v="1"/>
    <x v="1"/>
    <x v="1"/>
    <x v="84"/>
    <x v="4"/>
    <x v="3"/>
    <x v="3"/>
    <m/>
    <m/>
    <m/>
    <s v="0301084"/>
    <m/>
    <m/>
    <m/>
    <m/>
    <m/>
    <m/>
    <m/>
    <m/>
    <m/>
    <m/>
    <m/>
    <m/>
    <m/>
    <m/>
    <m/>
    <n v="0"/>
    <n v="0"/>
    <n v="5"/>
    <n v="0"/>
    <m/>
    <n v="0"/>
    <e v="#DIV/0!"/>
    <n v="0"/>
    <m/>
    <n v="0"/>
    <e v="#DIV/0!"/>
    <n v="0"/>
    <m/>
    <n v="0"/>
    <e v="#DIV/0!"/>
    <n v="0"/>
    <m/>
    <n v="0"/>
    <e v="#DIV/0!"/>
    <n v="0"/>
    <m/>
    <n v="0"/>
    <e v="#DIV/0!"/>
  </r>
  <r>
    <x v="2"/>
    <x v="2"/>
    <x v="0"/>
    <x v="12"/>
    <x v="9"/>
    <x v="85"/>
    <x v="85"/>
    <x v="85"/>
    <x v="85"/>
    <x v="85"/>
    <x v="4"/>
    <x v="9"/>
    <x v="0"/>
    <x v="0"/>
    <x v="8"/>
    <x v="1"/>
    <m/>
    <s v="RS"/>
    <s v="0301"/>
    <s v="Acceso universal al servicio de salud"/>
    <s v="0301.RS.3.1.85.I"/>
    <s v="I"/>
    <s v="Enfermedades transmisibles"/>
    <s v="Enfermedades de Transmisión Sexual (Casos y Defunciones)_x000a_Enfermedades de Transmisión …"/>
    <m/>
    <n v="100"/>
    <m/>
    <m/>
    <x v="0"/>
    <x v="1"/>
    <x v="11"/>
    <m/>
    <m/>
    <m/>
    <m/>
    <m/>
    <m/>
    <m/>
    <m/>
    <n v="8.3333333333333339"/>
    <x v="0"/>
    <x v="0"/>
    <x v="1"/>
    <x v="0"/>
    <x v="1"/>
    <x v="0"/>
    <x v="0"/>
    <x v="0"/>
    <x v="0"/>
    <x v="0"/>
    <x v="1"/>
    <x v="1"/>
    <x v="0"/>
    <x v="1"/>
    <x v="85"/>
    <x v="4"/>
    <x v="3"/>
    <x v="3"/>
    <m/>
    <m/>
    <m/>
    <s v="0301085"/>
    <m/>
    <m/>
    <m/>
    <m/>
    <m/>
    <m/>
    <m/>
    <m/>
    <m/>
    <m/>
    <m/>
    <m/>
    <m/>
    <m/>
    <m/>
    <n v="0"/>
    <n v="0"/>
    <n v="5"/>
    <n v="0"/>
    <m/>
    <n v="0"/>
    <e v="#DIV/0!"/>
    <n v="0"/>
    <m/>
    <n v="0"/>
    <e v="#DIV/0!"/>
    <n v="0"/>
    <m/>
    <n v="0"/>
    <e v="#DIV/0!"/>
    <n v="0"/>
    <m/>
    <n v="0"/>
    <e v="#DIV/0!"/>
    <n v="0"/>
    <m/>
    <n v="0"/>
    <e v="#DIV/0!"/>
  </r>
  <r>
    <x v="2"/>
    <x v="2"/>
    <x v="0"/>
    <x v="12"/>
    <x v="10"/>
    <x v="86"/>
    <x v="86"/>
    <x v="86"/>
    <x v="86"/>
    <x v="86"/>
    <x v="4"/>
    <x v="9"/>
    <x v="0"/>
    <x v="0"/>
    <x v="8"/>
    <x v="1"/>
    <m/>
    <s v="RS"/>
    <s v="0301"/>
    <s v="Acceso universal al servicio de salud"/>
    <s v="0301.RS.3.1.86.J"/>
    <s v="J"/>
    <s v="Enfermedades No transmisibles"/>
    <s v="(Casos y Defunciones)"/>
    <m/>
    <n v="100"/>
    <m/>
    <m/>
    <x v="0"/>
    <x v="1"/>
    <x v="11"/>
    <m/>
    <m/>
    <m/>
    <m/>
    <m/>
    <m/>
    <m/>
    <m/>
    <n v="8.3333333333333339"/>
    <x v="0"/>
    <x v="0"/>
    <x v="1"/>
    <x v="0"/>
    <x v="1"/>
    <x v="0"/>
    <x v="0"/>
    <x v="0"/>
    <x v="0"/>
    <x v="0"/>
    <x v="1"/>
    <x v="1"/>
    <x v="0"/>
    <x v="1"/>
    <x v="86"/>
    <x v="4"/>
    <x v="3"/>
    <x v="3"/>
    <m/>
    <m/>
    <m/>
    <s v="0301086"/>
    <m/>
    <m/>
    <m/>
    <m/>
    <m/>
    <m/>
    <m/>
    <m/>
    <m/>
    <m/>
    <m/>
    <m/>
    <m/>
    <m/>
    <m/>
    <n v="0"/>
    <n v="0"/>
    <n v="5"/>
    <n v="0"/>
    <m/>
    <n v="0"/>
    <e v="#DIV/0!"/>
    <n v="0"/>
    <m/>
    <n v="0"/>
    <e v="#DIV/0!"/>
    <n v="0"/>
    <m/>
    <n v="0"/>
    <e v="#DIV/0!"/>
    <n v="0"/>
    <m/>
    <n v="0"/>
    <e v="#DIV/0!"/>
    <n v="0"/>
    <m/>
    <n v="0"/>
    <e v="#DIV/0!"/>
  </r>
  <r>
    <x v="2"/>
    <x v="2"/>
    <x v="0"/>
    <x v="12"/>
    <x v="11"/>
    <x v="87"/>
    <x v="87"/>
    <x v="87"/>
    <x v="87"/>
    <x v="87"/>
    <x v="4"/>
    <x v="9"/>
    <x v="1"/>
    <x v="0"/>
    <x v="8"/>
    <x v="1"/>
    <m/>
    <s v="PC"/>
    <s v="0301"/>
    <s v="Acceso universal al servicio de salud"/>
    <s v="0301.PC.3.1.87.K"/>
    <s v="K"/>
    <s v="Sistema Único de Información en Salud"/>
    <m/>
    <m/>
    <n v="100"/>
    <s v="1101.RS.11.1.302."/>
    <m/>
    <x v="0"/>
    <x v="1"/>
    <x v="2"/>
    <s v="1101.PC.11.1.299."/>
    <m/>
    <m/>
    <m/>
    <m/>
    <m/>
    <m/>
    <m/>
    <n v="8.3333333333333339"/>
    <x v="1"/>
    <x v="1"/>
    <x v="1"/>
    <x v="0"/>
    <x v="0"/>
    <x v="0"/>
    <x v="1"/>
    <x v="0"/>
    <x v="0"/>
    <x v="0"/>
    <x v="1"/>
    <x v="1"/>
    <x v="1"/>
    <x v="1"/>
    <x v="87"/>
    <x v="4"/>
    <x v="3"/>
    <x v="3"/>
    <m/>
    <m/>
    <m/>
    <s v="0301087"/>
    <m/>
    <m/>
    <m/>
    <m/>
    <m/>
    <m/>
    <m/>
    <m/>
    <m/>
    <m/>
    <m/>
    <m/>
    <m/>
    <m/>
    <m/>
    <n v="0"/>
    <n v="0"/>
    <n v="5"/>
    <n v="0"/>
    <m/>
    <n v="0"/>
    <e v="#DIV/0!"/>
    <n v="0"/>
    <m/>
    <n v="0"/>
    <e v="#DIV/0!"/>
    <n v="0"/>
    <m/>
    <n v="0"/>
    <e v="#DIV/0!"/>
    <n v="0"/>
    <m/>
    <n v="0"/>
    <e v="#DIV/0!"/>
    <n v="0"/>
    <m/>
    <n v="0"/>
    <e v="#DIV/0!"/>
  </r>
  <r>
    <x v="2"/>
    <x v="2"/>
    <x v="1"/>
    <x v="13"/>
    <x v="0"/>
    <x v="88"/>
    <x v="88"/>
    <x v="88"/>
    <x v="88"/>
    <x v="88"/>
    <x v="4"/>
    <x v="9"/>
    <x v="2"/>
    <x v="0"/>
    <x v="8"/>
    <x v="1"/>
    <m/>
    <s v="PD"/>
    <s v="0302"/>
    <s v="Integración de salud convencional con la ancestral "/>
    <s v="0302.PD.3.2.88.L"/>
    <s v="L"/>
    <s v="Infraestructura y Equipamiento de Institutos y Hospitales de Salud de todos los niveles"/>
    <s v="Construcción de Institutos y Hospitales de Salud_x000a_Ampliación de Institutos y Hospitales de Salud_x000a_Equipamiento de Institutos y Hospitales de Salud"/>
    <m/>
    <n v="33.333333333333336"/>
    <m/>
    <m/>
    <x v="0"/>
    <x v="1"/>
    <x v="2"/>
    <m/>
    <m/>
    <m/>
    <m/>
    <m/>
    <m/>
    <m/>
    <m/>
    <n v="16.666666666666668"/>
    <x v="1"/>
    <x v="1"/>
    <x v="1"/>
    <x v="0"/>
    <x v="0"/>
    <x v="0"/>
    <x v="1"/>
    <x v="0"/>
    <x v="0"/>
    <x v="0"/>
    <x v="1"/>
    <x v="1"/>
    <x v="1"/>
    <x v="1"/>
    <x v="88"/>
    <x v="4"/>
    <x v="3"/>
    <x v="3"/>
    <m/>
    <m/>
    <m/>
    <s v="0302088"/>
    <m/>
    <m/>
    <m/>
    <m/>
    <m/>
    <m/>
    <m/>
    <m/>
    <m/>
    <m/>
    <m/>
    <m/>
    <m/>
    <m/>
    <m/>
    <n v="0"/>
    <n v="0"/>
    <n v="5"/>
    <n v="0"/>
    <m/>
    <n v="0"/>
    <e v="#DIV/0!"/>
    <n v="0"/>
    <m/>
    <n v="0"/>
    <e v="#DIV/0!"/>
    <n v="0"/>
    <m/>
    <n v="0"/>
    <e v="#DIV/0!"/>
    <n v="0"/>
    <m/>
    <n v="0"/>
    <e v="#DIV/0!"/>
    <n v="0"/>
    <m/>
    <n v="0"/>
    <e v="#DIV/0!"/>
  </r>
  <r>
    <x v="2"/>
    <x v="2"/>
    <x v="1"/>
    <x v="13"/>
    <x v="1"/>
    <x v="89"/>
    <x v="89"/>
    <x v="89"/>
    <x v="89"/>
    <x v="89"/>
    <x v="4"/>
    <x v="9"/>
    <x v="2"/>
    <x v="0"/>
    <x v="8"/>
    <x v="1"/>
    <m/>
    <s v="PD"/>
    <s v="0302"/>
    <s v="Integración de salud convencional y ancestral "/>
    <s v="0302.PD.3.2.89.L"/>
    <s v="L"/>
    <s v="Infraestructura y Equipamiento de Institutos y Hospitales de Salud de todos los niveles"/>
    <s v="Construcción, Ampliación y Equipamiento de Institutos de Salud de 4to. Nivel _x000a_Construcción, Ampliación y Equipamiento de Hospitales de 3er Nivel_x000a_Construcción, Ampliación y Equipamiento de Hospitales de 2do Nivel"/>
    <m/>
    <n v="33.333333333333336"/>
    <m/>
    <m/>
    <x v="0"/>
    <x v="1"/>
    <x v="2"/>
    <m/>
    <m/>
    <m/>
    <m/>
    <m/>
    <m/>
    <m/>
    <m/>
    <n v="16.666666666666668"/>
    <x v="1"/>
    <x v="1"/>
    <x v="1"/>
    <x v="0"/>
    <x v="0"/>
    <x v="0"/>
    <x v="1"/>
    <x v="0"/>
    <x v="0"/>
    <x v="0"/>
    <x v="1"/>
    <x v="1"/>
    <x v="1"/>
    <x v="1"/>
    <x v="89"/>
    <x v="4"/>
    <x v="3"/>
    <x v="3"/>
    <m/>
    <m/>
    <m/>
    <s v="0302089"/>
    <m/>
    <m/>
    <m/>
    <m/>
    <m/>
    <m/>
    <m/>
    <m/>
    <m/>
    <m/>
    <m/>
    <m/>
    <m/>
    <m/>
    <m/>
    <n v="0"/>
    <n v="0"/>
    <n v="5"/>
    <n v="0"/>
    <m/>
    <n v="0"/>
    <e v="#DIV/0!"/>
    <n v="0"/>
    <m/>
    <n v="0"/>
    <e v="#DIV/0!"/>
    <n v="0"/>
    <m/>
    <n v="0"/>
    <e v="#DIV/0!"/>
    <n v="0"/>
    <m/>
    <n v="0"/>
    <e v="#DIV/0!"/>
    <n v="0"/>
    <m/>
    <n v="0"/>
    <e v="#DIV/0!"/>
  </r>
  <r>
    <x v="2"/>
    <x v="2"/>
    <x v="1"/>
    <x v="13"/>
    <x v="2"/>
    <x v="90"/>
    <x v="90"/>
    <x v="90"/>
    <x v="90"/>
    <x v="90"/>
    <x v="4"/>
    <x v="9"/>
    <x v="2"/>
    <x v="0"/>
    <x v="8"/>
    <x v="1"/>
    <m/>
    <s v="PD"/>
    <s v="0302"/>
    <s v="Integración de salud convencional y ancestral "/>
    <s v="0302.PD.3.2.90.L"/>
    <s v="L"/>
    <s v="Infraestructura y Equipamiento de Institutos y Hospitales de Salud de todos los niveles"/>
    <s v="Construcción, Ampliación y Equipamiento de Establecimientos de Salud de 1er Nivel_x000a_Mejora de Puestos de Salud para convertirse en Centros de Salud"/>
    <m/>
    <n v="33.333333333333336"/>
    <m/>
    <m/>
    <x v="0"/>
    <x v="1"/>
    <x v="2"/>
    <m/>
    <m/>
    <m/>
    <m/>
    <m/>
    <m/>
    <m/>
    <m/>
    <n v="16.666666666666668"/>
    <x v="1"/>
    <x v="1"/>
    <x v="1"/>
    <x v="0"/>
    <x v="0"/>
    <x v="0"/>
    <x v="1"/>
    <x v="0"/>
    <x v="0"/>
    <x v="0"/>
    <x v="1"/>
    <x v="1"/>
    <x v="1"/>
    <x v="1"/>
    <x v="90"/>
    <x v="4"/>
    <x v="3"/>
    <x v="3"/>
    <m/>
    <m/>
    <m/>
    <s v="0302090"/>
    <m/>
    <m/>
    <m/>
    <m/>
    <m/>
    <m/>
    <m/>
    <m/>
    <m/>
    <m/>
    <m/>
    <m/>
    <m/>
    <m/>
    <m/>
    <n v="0"/>
    <n v="0"/>
    <n v="5"/>
    <n v="0"/>
    <m/>
    <n v="0"/>
    <e v="#DIV/0!"/>
    <n v="0"/>
    <m/>
    <n v="0"/>
    <e v="#DIV/0!"/>
    <n v="0"/>
    <m/>
    <n v="0"/>
    <e v="#DIV/0!"/>
    <n v="0"/>
    <m/>
    <n v="0"/>
    <e v="#DIV/0!"/>
    <n v="0"/>
    <m/>
    <n v="0"/>
    <e v="#DIV/0!"/>
  </r>
  <r>
    <x v="2"/>
    <x v="2"/>
    <x v="1"/>
    <x v="13"/>
    <x v="3"/>
    <x v="91"/>
    <x v="91"/>
    <x v="91"/>
    <x v="91"/>
    <x v="91"/>
    <x v="4"/>
    <x v="9"/>
    <x v="2"/>
    <x v="0"/>
    <x v="8"/>
    <x v="1"/>
    <m/>
    <s v="PD"/>
    <s v="0302"/>
    <s v="Integración de salud convencional y ancestral "/>
    <s v="0302.PD.3.2.91.M"/>
    <s v="M"/>
    <s v="Personal de Salud altamente capacitado y comprometido"/>
    <s v="Disponibilidad de Especialistas y Subespecialistas en Salud en todos los  niveles territoriales."/>
    <m/>
    <n v="100"/>
    <m/>
    <m/>
    <x v="0"/>
    <x v="1"/>
    <x v="2"/>
    <m/>
    <m/>
    <m/>
    <m/>
    <m/>
    <m/>
    <m/>
    <m/>
    <n v="16.666666666666668"/>
    <x v="1"/>
    <x v="1"/>
    <x v="1"/>
    <x v="0"/>
    <x v="0"/>
    <x v="0"/>
    <x v="1"/>
    <x v="0"/>
    <x v="0"/>
    <x v="0"/>
    <x v="1"/>
    <x v="1"/>
    <x v="1"/>
    <x v="1"/>
    <x v="91"/>
    <x v="4"/>
    <x v="3"/>
    <x v="3"/>
    <m/>
    <m/>
    <m/>
    <s v="0302091"/>
    <m/>
    <m/>
    <m/>
    <m/>
    <m/>
    <m/>
    <m/>
    <m/>
    <m/>
    <m/>
    <m/>
    <m/>
    <m/>
    <m/>
    <m/>
    <n v="0"/>
    <n v="0"/>
    <n v="5"/>
    <n v="0"/>
    <m/>
    <n v="0"/>
    <e v="#DIV/0!"/>
    <n v="0"/>
    <m/>
    <n v="0"/>
    <e v="#DIV/0!"/>
    <n v="0"/>
    <m/>
    <n v="0"/>
    <e v="#DIV/0!"/>
    <n v="0"/>
    <m/>
    <n v="0"/>
    <e v="#DIV/0!"/>
    <n v="0"/>
    <m/>
    <n v="0"/>
    <e v="#DIV/0!"/>
  </r>
  <r>
    <x v="2"/>
    <x v="2"/>
    <x v="1"/>
    <x v="13"/>
    <x v="4"/>
    <x v="92"/>
    <x v="92"/>
    <x v="92"/>
    <x v="92"/>
    <x v="92"/>
    <x v="4"/>
    <x v="9"/>
    <x v="2"/>
    <x v="0"/>
    <x v="8"/>
    <x v="1"/>
    <m/>
    <s v="PD"/>
    <s v="0302"/>
    <s v="Integración de salud convencional y ancestral "/>
    <s v="0302.PD.3.2.92.N"/>
    <s v="N"/>
    <s v="Equipamiento para tratamientos y laboratorios especializados "/>
    <s v="Tratamientos renales_x000a_Análisis de ADN_x000a_…"/>
    <m/>
    <n v="100"/>
    <m/>
    <m/>
    <x v="0"/>
    <x v="1"/>
    <x v="2"/>
    <m/>
    <m/>
    <m/>
    <m/>
    <m/>
    <m/>
    <m/>
    <m/>
    <n v="16.666666666666668"/>
    <x v="1"/>
    <x v="1"/>
    <x v="1"/>
    <x v="0"/>
    <x v="0"/>
    <x v="0"/>
    <x v="1"/>
    <x v="0"/>
    <x v="0"/>
    <x v="0"/>
    <x v="1"/>
    <x v="1"/>
    <x v="1"/>
    <x v="1"/>
    <x v="92"/>
    <x v="4"/>
    <x v="3"/>
    <x v="3"/>
    <m/>
    <m/>
    <m/>
    <s v="0302092"/>
    <m/>
    <m/>
    <m/>
    <m/>
    <m/>
    <m/>
    <m/>
    <m/>
    <m/>
    <m/>
    <m/>
    <m/>
    <m/>
    <m/>
    <m/>
    <n v="0"/>
    <n v="0"/>
    <n v="5"/>
    <n v="0"/>
    <m/>
    <n v="0"/>
    <e v="#DIV/0!"/>
    <n v="0"/>
    <m/>
    <n v="0"/>
    <e v="#DIV/0!"/>
    <n v="0"/>
    <m/>
    <n v="0"/>
    <e v="#DIV/0!"/>
    <n v="0"/>
    <m/>
    <n v="0"/>
    <e v="#DIV/0!"/>
    <n v="0"/>
    <m/>
    <n v="0"/>
    <e v="#DIV/0!"/>
  </r>
  <r>
    <x v="2"/>
    <x v="2"/>
    <x v="1"/>
    <x v="13"/>
    <x v="5"/>
    <x v="93"/>
    <x v="93"/>
    <x v="93"/>
    <x v="93"/>
    <x v="93"/>
    <x v="4"/>
    <x v="9"/>
    <x v="1"/>
    <x v="0"/>
    <x v="8"/>
    <x v="1"/>
    <m/>
    <s v="PC"/>
    <s v="0302"/>
    <s v="Integración de salud convencional y ancestral "/>
    <s v="0302.PC.3.2.93.A"/>
    <s v="A"/>
    <s v="Atención en salud con Medicina Tradicional Ancestral Boliviana"/>
    <s v="Cobertura del Servicio_x000a_Especialistas con formación en Medicina alternativa_x000a_Infraestructura dedicada para la Atención en Salud con Medicina Tradicional Ancestral Boliviana"/>
    <s v="0404.RS.4.4.130.A"/>
    <n v="100"/>
    <s v="0302.PD.3.2.91.M"/>
    <m/>
    <x v="0"/>
    <x v="1"/>
    <x v="2"/>
    <m/>
    <m/>
    <m/>
    <m/>
    <m/>
    <m/>
    <m/>
    <m/>
    <n v="16.666666666666668"/>
    <x v="1"/>
    <x v="1"/>
    <x v="1"/>
    <x v="0"/>
    <x v="0"/>
    <x v="1"/>
    <x v="0"/>
    <x v="0"/>
    <x v="0"/>
    <x v="0"/>
    <x v="1"/>
    <x v="1"/>
    <x v="1"/>
    <x v="1"/>
    <x v="93"/>
    <x v="4"/>
    <x v="3"/>
    <x v="3"/>
    <m/>
    <m/>
    <m/>
    <s v="0302093"/>
    <m/>
    <m/>
    <m/>
    <m/>
    <m/>
    <m/>
    <m/>
    <m/>
    <m/>
    <m/>
    <m/>
    <m/>
    <m/>
    <m/>
    <m/>
    <n v="0"/>
    <n v="0"/>
    <n v="5"/>
    <n v="0"/>
    <m/>
    <n v="0"/>
    <e v="#DIV/0!"/>
    <n v="0"/>
    <m/>
    <n v="0"/>
    <e v="#DIV/0!"/>
    <n v="0"/>
    <m/>
    <n v="0"/>
    <e v="#DIV/0!"/>
    <n v="0"/>
    <m/>
    <n v="0"/>
    <e v="#DIV/0!"/>
    <n v="0"/>
    <m/>
    <n v="0"/>
    <e v="#DIV/0!"/>
  </r>
  <r>
    <x v="2"/>
    <x v="2"/>
    <x v="2"/>
    <x v="14"/>
    <x v="0"/>
    <x v="94"/>
    <x v="94"/>
    <x v="94"/>
    <x v="94"/>
    <x v="94"/>
    <x v="4"/>
    <x v="10"/>
    <x v="0"/>
    <x v="0"/>
    <x v="9"/>
    <x v="0"/>
    <n v="1"/>
    <s v="RS"/>
    <s v="0303"/>
    <s v="Acceso Universal a la Educación"/>
    <s v="0303.RS.3.3.94.A"/>
    <s v="A"/>
    <s v="Acceso a la Educación Regular"/>
    <s v="Cobertura del Subsistema de Educación Regular"/>
    <m/>
    <n v="100"/>
    <m/>
    <m/>
    <x v="0"/>
    <x v="1"/>
    <x v="12"/>
    <s v="0101.RS.1.1.3.B"/>
    <m/>
    <m/>
    <m/>
    <m/>
    <m/>
    <m/>
    <m/>
    <n v="14.285714285714286"/>
    <x v="0"/>
    <x v="0"/>
    <x v="1"/>
    <x v="0"/>
    <x v="1"/>
    <x v="0"/>
    <x v="0"/>
    <x v="0"/>
    <x v="0"/>
    <x v="1"/>
    <x v="1"/>
    <x v="0"/>
    <x v="0"/>
    <x v="1"/>
    <x v="94"/>
    <x v="4"/>
    <x v="3"/>
    <x v="3"/>
    <m/>
    <m/>
    <m/>
    <s v="0303094"/>
    <m/>
    <m/>
    <m/>
    <m/>
    <m/>
    <m/>
    <m/>
    <m/>
    <m/>
    <m/>
    <m/>
    <m/>
    <m/>
    <m/>
    <m/>
    <n v="0"/>
    <n v="0"/>
    <n v="5"/>
    <n v="0"/>
    <m/>
    <n v="0"/>
    <e v="#DIV/0!"/>
    <n v="0"/>
    <m/>
    <n v="0"/>
    <e v="#DIV/0!"/>
    <n v="0"/>
    <m/>
    <n v="0"/>
    <e v="#DIV/0!"/>
    <n v="0"/>
    <m/>
    <n v="0"/>
    <e v="#DIV/0!"/>
    <n v="0"/>
    <m/>
    <n v="0"/>
    <e v="#DIV/0!"/>
  </r>
  <r>
    <x v="2"/>
    <x v="2"/>
    <x v="2"/>
    <x v="14"/>
    <x v="1"/>
    <x v="95"/>
    <x v="95"/>
    <x v="95"/>
    <x v="95"/>
    <x v="95"/>
    <x v="4"/>
    <x v="10"/>
    <x v="0"/>
    <x v="0"/>
    <x v="9"/>
    <x v="1"/>
    <n v="1"/>
    <s v="RS"/>
    <s v="0303"/>
    <s v="Acceso Universal a la Educación"/>
    <s v="0303.RS.3.3.95.B"/>
    <s v="B"/>
    <s v="Post-alfabetización para jóvenes y adultos"/>
    <m/>
    <m/>
    <n v="100"/>
    <m/>
    <m/>
    <x v="0"/>
    <x v="1"/>
    <x v="12"/>
    <m/>
    <m/>
    <m/>
    <m/>
    <m/>
    <m/>
    <m/>
    <m/>
    <n v="14.285714285714286"/>
    <x v="0"/>
    <x v="0"/>
    <x v="1"/>
    <x v="0"/>
    <x v="1"/>
    <x v="0"/>
    <x v="0"/>
    <x v="0"/>
    <x v="0"/>
    <x v="0"/>
    <x v="1"/>
    <x v="1"/>
    <x v="0"/>
    <x v="1"/>
    <x v="95"/>
    <x v="4"/>
    <x v="3"/>
    <x v="3"/>
    <m/>
    <m/>
    <m/>
    <s v="0303095"/>
    <m/>
    <m/>
    <m/>
    <m/>
    <m/>
    <m/>
    <m/>
    <m/>
    <m/>
    <m/>
    <m/>
    <m/>
    <m/>
    <m/>
    <m/>
    <n v="0"/>
    <n v="0"/>
    <n v="5"/>
    <n v="0"/>
    <m/>
    <n v="0"/>
    <e v="#DIV/0!"/>
    <n v="0"/>
    <m/>
    <n v="0"/>
    <e v="#DIV/0!"/>
    <n v="0"/>
    <m/>
    <n v="0"/>
    <e v="#DIV/0!"/>
    <n v="0"/>
    <m/>
    <n v="0"/>
    <e v="#DIV/0!"/>
    <n v="0"/>
    <m/>
    <n v="0"/>
    <e v="#DIV/0!"/>
  </r>
  <r>
    <x v="2"/>
    <x v="2"/>
    <x v="2"/>
    <x v="14"/>
    <x v="2"/>
    <x v="96"/>
    <x v="96"/>
    <x v="96"/>
    <x v="96"/>
    <x v="96"/>
    <x v="4"/>
    <x v="10"/>
    <x v="1"/>
    <x v="0"/>
    <x v="9"/>
    <x v="1"/>
    <n v="1"/>
    <s v="PC"/>
    <s v="0303"/>
    <s v="Acceso Universal a la Educación"/>
    <s v="0303.PC.3.3.96.C"/>
    <s v="C"/>
    <s v="Atención oportuna y pertinente a Estudiantes con Discapacidad"/>
    <s v="Oportunidad de la Atención a Estudiantes con Discapacidad_x000a_Pertinencia de la Atención a Estudiantes con Discapacidad_x000a_Disponibilidad de Centros de Educación Especial"/>
    <m/>
    <n v="100"/>
    <m/>
    <m/>
    <x v="0"/>
    <x v="1"/>
    <x v="2"/>
    <m/>
    <m/>
    <m/>
    <m/>
    <m/>
    <m/>
    <m/>
    <m/>
    <n v="14.285714285714286"/>
    <x v="1"/>
    <x v="1"/>
    <x v="1"/>
    <x v="0"/>
    <x v="0"/>
    <x v="0"/>
    <x v="1"/>
    <x v="0"/>
    <x v="0"/>
    <x v="0"/>
    <x v="1"/>
    <x v="1"/>
    <x v="1"/>
    <x v="1"/>
    <x v="96"/>
    <x v="4"/>
    <x v="3"/>
    <x v="3"/>
    <m/>
    <m/>
    <m/>
    <s v="0303096"/>
    <m/>
    <m/>
    <m/>
    <m/>
    <m/>
    <m/>
    <m/>
    <m/>
    <m/>
    <m/>
    <m/>
    <m/>
    <m/>
    <m/>
    <m/>
    <n v="0"/>
    <n v="0"/>
    <n v="5"/>
    <n v="0"/>
    <m/>
    <n v="0"/>
    <e v="#DIV/0!"/>
    <n v="0"/>
    <m/>
    <n v="0"/>
    <e v="#DIV/0!"/>
    <n v="0"/>
    <m/>
    <n v="0"/>
    <e v="#DIV/0!"/>
    <n v="0"/>
    <m/>
    <n v="0"/>
    <e v="#DIV/0!"/>
    <n v="0"/>
    <m/>
    <n v="0"/>
    <e v="#DIV/0!"/>
  </r>
  <r>
    <x v="2"/>
    <x v="2"/>
    <x v="2"/>
    <x v="14"/>
    <x v="3"/>
    <x v="97"/>
    <x v="97"/>
    <x v="97"/>
    <x v="97"/>
    <x v="97"/>
    <x v="4"/>
    <x v="10"/>
    <x v="0"/>
    <x v="0"/>
    <x v="9"/>
    <x v="0"/>
    <n v="1"/>
    <s v="RS"/>
    <s v="0303"/>
    <s v="Acceso Universal a la Educación"/>
    <s v="0303.RS.3.3.97.D"/>
    <s v="D"/>
    <s v="Acceso de Jóvenes a Educación Superior "/>
    <s v="Jóvenes con Educación Superior  Universitaria_x000a_Jóvenes con Educación Superior Técnica"/>
    <m/>
    <n v="100"/>
    <m/>
    <m/>
    <x v="0"/>
    <x v="1"/>
    <x v="12"/>
    <m/>
    <m/>
    <m/>
    <m/>
    <m/>
    <m/>
    <m/>
    <m/>
    <n v="14.285714285714286"/>
    <x v="0"/>
    <x v="0"/>
    <x v="1"/>
    <x v="0"/>
    <x v="1"/>
    <x v="0"/>
    <x v="0"/>
    <x v="0"/>
    <x v="0"/>
    <x v="1"/>
    <x v="1"/>
    <x v="0"/>
    <x v="0"/>
    <x v="1"/>
    <x v="97"/>
    <x v="4"/>
    <x v="3"/>
    <x v="3"/>
    <m/>
    <m/>
    <m/>
    <s v="0303097"/>
    <m/>
    <m/>
    <m/>
    <m/>
    <m/>
    <m/>
    <m/>
    <m/>
    <m/>
    <m/>
    <m/>
    <m/>
    <m/>
    <m/>
    <m/>
    <n v="0"/>
    <n v="0"/>
    <n v="5"/>
    <n v="0"/>
    <m/>
    <n v="0"/>
    <e v="#DIV/0!"/>
    <n v="0"/>
    <m/>
    <n v="0"/>
    <e v="#DIV/0!"/>
    <n v="0"/>
    <m/>
    <n v="0"/>
    <e v="#DIV/0!"/>
    <n v="0"/>
    <m/>
    <n v="0"/>
    <e v="#DIV/0!"/>
    <n v="0"/>
    <m/>
    <n v="0"/>
    <e v="#DIV/0!"/>
  </r>
  <r>
    <x v="2"/>
    <x v="2"/>
    <x v="2"/>
    <x v="14"/>
    <x v="4"/>
    <x v="98"/>
    <x v="98"/>
    <x v="98"/>
    <x v="98"/>
    <x v="98"/>
    <x v="4"/>
    <x v="10"/>
    <x v="0"/>
    <x v="0"/>
    <x v="9"/>
    <x v="0"/>
    <n v="1"/>
    <s v="RS"/>
    <s v="0303"/>
    <s v="Acceso Universal a la Educación"/>
    <s v="0303.RS.3.3.98.E"/>
    <s v="E"/>
    <s v="Acceso de Jóvenes a Educación AlternativaTécnica"/>
    <s v="Formación técnica tecnológica productiva"/>
    <m/>
    <n v="100"/>
    <m/>
    <m/>
    <x v="0"/>
    <x v="1"/>
    <x v="12"/>
    <m/>
    <m/>
    <m/>
    <m/>
    <m/>
    <m/>
    <m/>
    <m/>
    <n v="14.285714285714286"/>
    <x v="0"/>
    <x v="0"/>
    <x v="0"/>
    <x v="0"/>
    <x v="0"/>
    <x v="0"/>
    <x v="0"/>
    <x v="0"/>
    <x v="0"/>
    <x v="0"/>
    <x v="1"/>
    <x v="1"/>
    <x v="0"/>
    <x v="1"/>
    <x v="98"/>
    <x v="4"/>
    <x v="3"/>
    <x v="3"/>
    <m/>
    <m/>
    <m/>
    <s v="0303098"/>
    <m/>
    <m/>
    <m/>
    <m/>
    <m/>
    <m/>
    <m/>
    <m/>
    <m/>
    <m/>
    <m/>
    <m/>
    <m/>
    <m/>
    <m/>
    <n v="0"/>
    <n v="0"/>
    <n v="5"/>
    <n v="0"/>
    <m/>
    <n v="0"/>
    <e v="#DIV/0!"/>
    <n v="0"/>
    <m/>
    <n v="0"/>
    <e v="#DIV/0!"/>
    <n v="0"/>
    <m/>
    <n v="0"/>
    <e v="#DIV/0!"/>
    <n v="0"/>
    <m/>
    <n v="0"/>
    <e v="#DIV/0!"/>
    <n v="0"/>
    <m/>
    <n v="0"/>
    <e v="#DIV/0!"/>
  </r>
  <r>
    <x v="2"/>
    <x v="2"/>
    <x v="2"/>
    <x v="14"/>
    <x v="5"/>
    <x v="99"/>
    <x v="99"/>
    <x v="99"/>
    <x v="99"/>
    <x v="99"/>
    <x v="4"/>
    <x v="10"/>
    <x v="2"/>
    <x v="0"/>
    <x v="9"/>
    <x v="1"/>
    <n v="1"/>
    <s v="PD"/>
    <s v="0303"/>
    <s v="Acceso Universal a la Educación"/>
    <s v="0303.PD.3.3.99.F"/>
    <s v="F"/>
    <s v="Formación Superior en Arte"/>
    <s v="Educación superior a nivel licenciatura en artes (teatro, artes plásticas, danza, cine y audiovisuales)."/>
    <m/>
    <n v="100"/>
    <m/>
    <m/>
    <x v="0"/>
    <x v="1"/>
    <x v="2"/>
    <m/>
    <m/>
    <m/>
    <m/>
    <m/>
    <m/>
    <m/>
    <m/>
    <n v="14.285714285714286"/>
    <x v="1"/>
    <x v="1"/>
    <x v="1"/>
    <x v="0"/>
    <x v="0"/>
    <x v="0"/>
    <x v="1"/>
    <x v="0"/>
    <x v="0"/>
    <x v="0"/>
    <x v="1"/>
    <x v="1"/>
    <x v="1"/>
    <x v="1"/>
    <x v="99"/>
    <x v="4"/>
    <x v="3"/>
    <x v="3"/>
    <m/>
    <m/>
    <m/>
    <s v="0303099"/>
    <m/>
    <m/>
    <m/>
    <m/>
    <m/>
    <m/>
    <m/>
    <m/>
    <m/>
    <m/>
    <m/>
    <m/>
    <m/>
    <m/>
    <m/>
    <n v="0"/>
    <n v="0"/>
    <n v="5"/>
    <n v="0"/>
    <m/>
    <n v="0"/>
    <e v="#DIV/0!"/>
    <n v="0"/>
    <m/>
    <n v="0"/>
    <e v="#DIV/0!"/>
    <n v="0"/>
    <m/>
    <n v="0"/>
    <e v="#DIV/0!"/>
    <n v="0"/>
    <m/>
    <n v="0"/>
    <e v="#DIV/0!"/>
    <n v="0"/>
    <m/>
    <n v="0"/>
    <e v="#DIV/0!"/>
  </r>
  <r>
    <x v="2"/>
    <x v="2"/>
    <x v="2"/>
    <x v="14"/>
    <x v="6"/>
    <x v="100"/>
    <x v="100"/>
    <x v="100"/>
    <x v="100"/>
    <x v="100"/>
    <x v="4"/>
    <x v="10"/>
    <x v="1"/>
    <x v="0"/>
    <x v="9"/>
    <x v="1"/>
    <m/>
    <s v="PC"/>
    <s v="0303"/>
    <s v="Acceso Universal a la Educación"/>
    <s v="0303.PC.3.3.100.G"/>
    <s v="G"/>
    <s v="Acceso a educación de hijos de privados de libertad"/>
    <s v="Centros de Apoyo Integral Pedagógico (CAIP)"/>
    <m/>
    <n v="100"/>
    <m/>
    <m/>
    <x v="0"/>
    <x v="1"/>
    <x v="2"/>
    <m/>
    <m/>
    <m/>
    <m/>
    <m/>
    <m/>
    <m/>
    <m/>
    <n v="14.285714285714286"/>
    <x v="1"/>
    <x v="1"/>
    <x v="1"/>
    <x v="0"/>
    <x v="0"/>
    <x v="0"/>
    <x v="1"/>
    <x v="0"/>
    <x v="0"/>
    <x v="0"/>
    <x v="1"/>
    <x v="1"/>
    <x v="1"/>
    <x v="1"/>
    <x v="100"/>
    <x v="4"/>
    <x v="3"/>
    <x v="3"/>
    <m/>
    <m/>
    <m/>
    <s v="0303100"/>
    <m/>
    <m/>
    <m/>
    <m/>
    <m/>
    <m/>
    <m/>
    <m/>
    <m/>
    <m/>
    <m/>
    <m/>
    <m/>
    <m/>
    <m/>
    <n v="0"/>
    <n v="0"/>
    <n v="5"/>
    <n v="0"/>
    <m/>
    <n v="0"/>
    <e v="#DIV/0!"/>
    <n v="0"/>
    <m/>
    <n v="0"/>
    <e v="#DIV/0!"/>
    <n v="0"/>
    <m/>
    <n v="0"/>
    <e v="#DIV/0!"/>
    <n v="0"/>
    <m/>
    <n v="0"/>
    <e v="#DIV/0!"/>
    <n v="0"/>
    <m/>
    <n v="0"/>
    <e v="#DIV/0!"/>
  </r>
  <r>
    <x v="2"/>
    <x v="2"/>
    <x v="3"/>
    <x v="15"/>
    <x v="0"/>
    <x v="101"/>
    <x v="101"/>
    <x v="101"/>
    <x v="101"/>
    <x v="101"/>
    <x v="4"/>
    <x v="10"/>
    <x v="1"/>
    <x v="0"/>
    <x v="9"/>
    <x v="1"/>
    <n v="1"/>
    <s v="PC"/>
    <s v="0304"/>
    <s v="Fortalecimiento del Sistema Educativo"/>
    <s v="0304.PC.3.4.101.A"/>
    <s v="A"/>
    <s v="Cobertura del Modelo Educativo Socio Comunitario Productivo en el Sistema Educativo Plurinacional"/>
    <m/>
    <m/>
    <n v="100"/>
    <m/>
    <m/>
    <x v="0"/>
    <x v="1"/>
    <x v="2"/>
    <m/>
    <m/>
    <m/>
    <m/>
    <m/>
    <m/>
    <m/>
    <m/>
    <n v="10"/>
    <x v="1"/>
    <x v="1"/>
    <x v="1"/>
    <x v="0"/>
    <x v="0"/>
    <x v="0"/>
    <x v="1"/>
    <x v="0"/>
    <x v="0"/>
    <x v="0"/>
    <x v="1"/>
    <x v="1"/>
    <x v="1"/>
    <x v="1"/>
    <x v="101"/>
    <x v="4"/>
    <x v="3"/>
    <x v="3"/>
    <m/>
    <m/>
    <m/>
    <s v="0304101"/>
    <m/>
    <m/>
    <m/>
    <m/>
    <m/>
    <m/>
    <m/>
    <m/>
    <m/>
    <m/>
    <m/>
    <m/>
    <m/>
    <m/>
    <m/>
    <n v="0"/>
    <n v="0"/>
    <n v="5"/>
    <n v="0"/>
    <m/>
    <n v="0"/>
    <e v="#DIV/0!"/>
    <n v="0"/>
    <m/>
    <n v="0"/>
    <e v="#DIV/0!"/>
    <n v="0"/>
    <m/>
    <n v="0"/>
    <e v="#DIV/0!"/>
    <n v="0"/>
    <m/>
    <n v="0"/>
    <e v="#DIV/0!"/>
    <n v="0"/>
    <m/>
    <n v="0"/>
    <e v="#DIV/0!"/>
  </r>
  <r>
    <x v="2"/>
    <x v="2"/>
    <x v="3"/>
    <x v="15"/>
    <x v="1"/>
    <x v="102"/>
    <x v="102"/>
    <x v="102"/>
    <x v="102"/>
    <x v="102"/>
    <x v="4"/>
    <x v="10"/>
    <x v="2"/>
    <x v="0"/>
    <x v="9"/>
    <x v="1"/>
    <m/>
    <s v="PD"/>
    <s v="0304"/>
    <s v="Fortalecimiento del Sistema Educativo"/>
    <s v="0304.PD.3.4.102.B"/>
    <s v="B"/>
    <s v="Infraestructura y Equipamiento de Unidades y Centros Educativos de todos los niveles"/>
    <m/>
    <m/>
    <n v="100"/>
    <m/>
    <m/>
    <x v="0"/>
    <x v="1"/>
    <x v="2"/>
    <m/>
    <m/>
    <m/>
    <m/>
    <m/>
    <m/>
    <m/>
    <m/>
    <n v="10"/>
    <x v="1"/>
    <x v="1"/>
    <x v="1"/>
    <x v="0"/>
    <x v="0"/>
    <x v="0"/>
    <x v="1"/>
    <x v="0"/>
    <x v="0"/>
    <x v="0"/>
    <x v="1"/>
    <x v="1"/>
    <x v="1"/>
    <x v="1"/>
    <x v="102"/>
    <x v="4"/>
    <x v="3"/>
    <x v="3"/>
    <m/>
    <m/>
    <m/>
    <s v="0304102"/>
    <m/>
    <m/>
    <m/>
    <m/>
    <m/>
    <m/>
    <m/>
    <m/>
    <m/>
    <m/>
    <m/>
    <m/>
    <m/>
    <m/>
    <m/>
    <n v="0"/>
    <n v="0"/>
    <n v="5"/>
    <n v="0"/>
    <m/>
    <n v="0"/>
    <e v="#DIV/0!"/>
    <n v="0"/>
    <m/>
    <n v="0"/>
    <e v="#DIV/0!"/>
    <n v="0"/>
    <m/>
    <n v="0"/>
    <e v="#DIV/0!"/>
    <n v="0"/>
    <m/>
    <n v="0"/>
    <e v="#DIV/0!"/>
    <n v="0"/>
    <m/>
    <n v="0"/>
    <e v="#DIV/0!"/>
  </r>
  <r>
    <x v="2"/>
    <x v="2"/>
    <x v="3"/>
    <x v="15"/>
    <x v="2"/>
    <x v="103"/>
    <x v="103"/>
    <x v="103"/>
    <x v="103"/>
    <x v="103"/>
    <x v="4"/>
    <x v="10"/>
    <x v="1"/>
    <x v="0"/>
    <x v="9"/>
    <x v="1"/>
    <n v="1"/>
    <s v="PC"/>
    <s v="0304"/>
    <s v="Fortalecimiento del Sistema Educativo"/>
    <s v="0304.PC.3.4.103.C"/>
    <s v="C"/>
    <s v="Formación complementaria técnica y especialidades de maestros para Bachillerato técnico humanístico"/>
    <m/>
    <s v="0303.RS.3.3.98.E"/>
    <n v="100"/>
    <s v="0304.PC.3.4.101.A"/>
    <m/>
    <x v="0"/>
    <x v="1"/>
    <x v="2"/>
    <m/>
    <m/>
    <m/>
    <m/>
    <m/>
    <m/>
    <m/>
    <m/>
    <n v="10"/>
    <x v="1"/>
    <x v="1"/>
    <x v="1"/>
    <x v="0"/>
    <x v="0"/>
    <x v="0"/>
    <x v="1"/>
    <x v="0"/>
    <x v="0"/>
    <x v="0"/>
    <x v="1"/>
    <x v="1"/>
    <x v="1"/>
    <x v="1"/>
    <x v="103"/>
    <x v="4"/>
    <x v="3"/>
    <x v="3"/>
    <m/>
    <m/>
    <m/>
    <s v="0304103"/>
    <m/>
    <m/>
    <m/>
    <m/>
    <m/>
    <m/>
    <m/>
    <m/>
    <m/>
    <m/>
    <m/>
    <m/>
    <m/>
    <m/>
    <m/>
    <n v="0"/>
    <n v="0"/>
    <n v="5"/>
    <n v="0"/>
    <m/>
    <n v="0"/>
    <e v="#DIV/0!"/>
    <n v="0"/>
    <m/>
    <n v="0"/>
    <e v="#DIV/0!"/>
    <n v="0"/>
    <m/>
    <n v="0"/>
    <e v="#DIV/0!"/>
    <n v="0"/>
    <m/>
    <n v="0"/>
    <e v="#DIV/0!"/>
    <n v="0"/>
    <m/>
    <n v="0"/>
    <e v="#DIV/0!"/>
  </r>
  <r>
    <x v="2"/>
    <x v="2"/>
    <x v="3"/>
    <x v="15"/>
    <x v="3"/>
    <x v="104"/>
    <x v="104"/>
    <x v="104"/>
    <x v="104"/>
    <x v="104"/>
    <x v="4"/>
    <x v="10"/>
    <x v="1"/>
    <x v="0"/>
    <x v="9"/>
    <x v="1"/>
    <m/>
    <s v="PC"/>
    <s v="0304"/>
    <s v="Fortalecimiento del Sistema Educativo"/>
    <s v="0304.PC.3.4.104.D"/>
    <s v="D"/>
    <s v="Incentivos para la formación estudiantil en el área científica"/>
    <m/>
    <m/>
    <n v="100"/>
    <m/>
    <m/>
    <x v="0"/>
    <x v="1"/>
    <x v="2"/>
    <m/>
    <m/>
    <m/>
    <m/>
    <m/>
    <m/>
    <m/>
    <m/>
    <n v="10"/>
    <x v="1"/>
    <x v="1"/>
    <x v="1"/>
    <x v="0"/>
    <x v="0"/>
    <x v="0"/>
    <x v="1"/>
    <x v="0"/>
    <x v="0"/>
    <x v="0"/>
    <x v="1"/>
    <x v="1"/>
    <x v="1"/>
    <x v="1"/>
    <x v="104"/>
    <x v="4"/>
    <x v="3"/>
    <x v="3"/>
    <m/>
    <m/>
    <m/>
    <s v="0304104"/>
    <m/>
    <m/>
    <m/>
    <m/>
    <m/>
    <m/>
    <m/>
    <m/>
    <m/>
    <m/>
    <m/>
    <m/>
    <m/>
    <m/>
    <m/>
    <n v="0"/>
    <n v="0"/>
    <n v="5"/>
    <n v="0"/>
    <m/>
    <n v="0"/>
    <e v="#DIV/0!"/>
    <n v="0"/>
    <m/>
    <n v="0"/>
    <e v="#DIV/0!"/>
    <n v="0"/>
    <m/>
    <n v="0"/>
    <e v="#DIV/0!"/>
    <n v="0"/>
    <m/>
    <n v="0"/>
    <e v="#DIV/0!"/>
    <n v="0"/>
    <m/>
    <n v="0"/>
    <e v="#DIV/0!"/>
  </r>
  <r>
    <x v="2"/>
    <x v="2"/>
    <x v="3"/>
    <x v="15"/>
    <x v="4"/>
    <x v="105"/>
    <x v="105"/>
    <x v="105"/>
    <x v="105"/>
    <x v="105"/>
    <x v="4"/>
    <x v="10"/>
    <x v="2"/>
    <x v="0"/>
    <x v="9"/>
    <x v="1"/>
    <m/>
    <s v="PD"/>
    <s v="0304"/>
    <s v="Fortalecimiento del Sistema Educativo"/>
    <s v="0304.PD.3.4.105.E"/>
    <s v="E"/>
    <s v="Cobertura de Bachillerato Técnico Humanístico"/>
    <s v="Cobertura de Bachillerato Técnico Humanístico en Unidades Educativas_x000a_Cobertura de Bachillerato Técnico Humanístico de estudiantes (Técnico Básico y Técnico Medio)"/>
    <s v="0304.RS.3.4.106.E"/>
    <n v="50"/>
    <s v="0304.PC.3.4.101.A"/>
    <m/>
    <x v="0"/>
    <x v="1"/>
    <x v="2"/>
    <m/>
    <m/>
    <m/>
    <m/>
    <m/>
    <m/>
    <m/>
    <m/>
    <n v="10"/>
    <x v="1"/>
    <x v="1"/>
    <x v="1"/>
    <x v="0"/>
    <x v="0"/>
    <x v="0"/>
    <x v="1"/>
    <x v="0"/>
    <x v="0"/>
    <x v="0"/>
    <x v="1"/>
    <x v="1"/>
    <x v="1"/>
    <x v="1"/>
    <x v="105"/>
    <x v="4"/>
    <x v="3"/>
    <x v="3"/>
    <m/>
    <m/>
    <m/>
    <s v="0304105"/>
    <m/>
    <m/>
    <m/>
    <m/>
    <m/>
    <m/>
    <m/>
    <m/>
    <m/>
    <m/>
    <m/>
    <m/>
    <m/>
    <m/>
    <m/>
    <n v="0"/>
    <n v="0"/>
    <n v="5"/>
    <n v="0"/>
    <m/>
    <n v="0"/>
    <e v="#DIV/0!"/>
    <n v="0"/>
    <m/>
    <n v="0"/>
    <e v="#DIV/0!"/>
    <n v="0"/>
    <m/>
    <n v="0"/>
    <e v="#DIV/0!"/>
    <n v="0"/>
    <m/>
    <n v="0"/>
    <e v="#DIV/0!"/>
    <n v="0"/>
    <m/>
    <n v="0"/>
    <e v="#DIV/0!"/>
  </r>
  <r>
    <x v="2"/>
    <x v="2"/>
    <x v="3"/>
    <x v="15"/>
    <x v="5"/>
    <x v="106"/>
    <x v="106"/>
    <x v="106"/>
    <x v="106"/>
    <x v="106"/>
    <x v="4"/>
    <x v="10"/>
    <x v="0"/>
    <x v="0"/>
    <x v="9"/>
    <x v="1"/>
    <m/>
    <s v="RS"/>
    <s v="0304"/>
    <s v="Fortalecimiento del Sistema Educativo"/>
    <s v="0304.RS.3.4.106.E"/>
    <s v="E"/>
    <s v="Cobertura de Bachillerato Técnico Humanístico"/>
    <s v="Cobertura de Bachillerato Técnico Humanístico en Unidades Educativas_x000a_Cobertura de Bachillerato Técnico Humanístico de estudiantes (Técnico Básico y Técnico Medio)"/>
    <s v="0303.RS.3.3.98.E"/>
    <n v="50"/>
    <s v="0304.PC.3.4.101.A"/>
    <m/>
    <x v="0"/>
    <x v="1"/>
    <x v="12"/>
    <m/>
    <m/>
    <m/>
    <m/>
    <m/>
    <m/>
    <m/>
    <m/>
    <n v="10"/>
    <x v="0"/>
    <x v="0"/>
    <x v="1"/>
    <x v="0"/>
    <x v="1"/>
    <x v="0"/>
    <x v="0"/>
    <x v="0"/>
    <x v="0"/>
    <x v="0"/>
    <x v="1"/>
    <x v="1"/>
    <x v="0"/>
    <x v="1"/>
    <x v="106"/>
    <x v="4"/>
    <x v="3"/>
    <x v="3"/>
    <m/>
    <m/>
    <m/>
    <s v="0304106"/>
    <m/>
    <m/>
    <m/>
    <m/>
    <m/>
    <m/>
    <m/>
    <m/>
    <m/>
    <m/>
    <m/>
    <m/>
    <m/>
    <m/>
    <m/>
    <n v="0"/>
    <n v="0"/>
    <n v="5"/>
    <n v="0"/>
    <m/>
    <n v="0"/>
    <e v="#DIV/0!"/>
    <n v="0"/>
    <m/>
    <n v="0"/>
    <e v="#DIV/0!"/>
    <n v="0"/>
    <m/>
    <n v="0"/>
    <e v="#DIV/0!"/>
    <n v="0"/>
    <m/>
    <n v="0"/>
    <e v="#DIV/0!"/>
    <n v="0"/>
    <m/>
    <n v="0"/>
    <e v="#DIV/0!"/>
  </r>
  <r>
    <x v="2"/>
    <x v="2"/>
    <x v="3"/>
    <x v="15"/>
    <x v="6"/>
    <x v="107"/>
    <x v="107"/>
    <x v="107"/>
    <x v="107"/>
    <x v="107"/>
    <x v="4"/>
    <x v="10"/>
    <x v="0"/>
    <x v="0"/>
    <x v="9"/>
    <x v="1"/>
    <n v="1"/>
    <s v="RS"/>
    <s v="0304"/>
    <s v="Fortalecimiento del Sistema Educativo"/>
    <s v="0304.RS.3.4.107.F"/>
    <s v="F"/>
    <s v="Implementación de Proyectos Productivos y Tecnologías propias"/>
    <s v="Comunidades, Asociaciones productivas socio comunitarias de producción y productividad"/>
    <m/>
    <n v="100"/>
    <m/>
    <m/>
    <x v="0"/>
    <x v="1"/>
    <x v="12"/>
    <m/>
    <m/>
    <m/>
    <m/>
    <m/>
    <m/>
    <m/>
    <m/>
    <n v="10"/>
    <x v="0"/>
    <x v="0"/>
    <x v="1"/>
    <x v="0"/>
    <x v="1"/>
    <x v="0"/>
    <x v="0"/>
    <x v="0"/>
    <x v="0"/>
    <x v="0"/>
    <x v="1"/>
    <x v="1"/>
    <x v="0"/>
    <x v="1"/>
    <x v="107"/>
    <x v="4"/>
    <x v="3"/>
    <x v="3"/>
    <m/>
    <m/>
    <m/>
    <s v="0304107"/>
    <m/>
    <m/>
    <m/>
    <m/>
    <m/>
    <m/>
    <m/>
    <m/>
    <m/>
    <m/>
    <m/>
    <m/>
    <m/>
    <m/>
    <m/>
    <n v="0"/>
    <n v="0"/>
    <n v="5"/>
    <n v="0"/>
    <m/>
    <n v="0"/>
    <e v="#DIV/0!"/>
    <n v="0"/>
    <m/>
    <n v="0"/>
    <e v="#DIV/0!"/>
    <n v="0"/>
    <m/>
    <n v="0"/>
    <e v="#DIV/0!"/>
    <n v="0"/>
    <m/>
    <n v="0"/>
    <e v="#DIV/0!"/>
    <n v="0"/>
    <m/>
    <n v="0"/>
    <e v="#DIV/0!"/>
  </r>
  <r>
    <x v="2"/>
    <x v="2"/>
    <x v="3"/>
    <x v="15"/>
    <x v="7"/>
    <x v="108"/>
    <x v="108"/>
    <x v="108"/>
    <x v="108"/>
    <x v="108"/>
    <x v="4"/>
    <x v="10"/>
    <x v="0"/>
    <x v="0"/>
    <x v="9"/>
    <x v="1"/>
    <m/>
    <s v="RS"/>
    <s v="0304"/>
    <s v="Fortalecimiento del Sistema Educativo"/>
    <s v="0304.RS.3.4.108.G"/>
    <s v="G"/>
    <s v="Acceso a Educación Superior en el Exterior por parte de profesionales"/>
    <s v="Acceso a Becas de Post-grado en el exterior por parte de profesionales de excelencia"/>
    <m/>
    <n v="100"/>
    <m/>
    <m/>
    <x v="0"/>
    <x v="1"/>
    <x v="12"/>
    <m/>
    <m/>
    <m/>
    <m/>
    <m/>
    <m/>
    <m/>
    <m/>
    <n v="10"/>
    <x v="0"/>
    <x v="0"/>
    <x v="1"/>
    <x v="0"/>
    <x v="1"/>
    <x v="0"/>
    <x v="0"/>
    <x v="0"/>
    <x v="0"/>
    <x v="0"/>
    <x v="1"/>
    <x v="1"/>
    <x v="0"/>
    <x v="1"/>
    <x v="108"/>
    <x v="4"/>
    <x v="3"/>
    <x v="3"/>
    <m/>
    <m/>
    <m/>
    <s v="0304108"/>
    <m/>
    <m/>
    <m/>
    <m/>
    <m/>
    <m/>
    <m/>
    <m/>
    <m/>
    <m/>
    <m/>
    <m/>
    <m/>
    <m/>
    <m/>
    <n v="0"/>
    <n v="0"/>
    <n v="5"/>
    <n v="0"/>
    <m/>
    <n v="0"/>
    <e v="#DIV/0!"/>
    <n v="0"/>
    <m/>
    <n v="0"/>
    <e v="#DIV/0!"/>
    <n v="0"/>
    <m/>
    <n v="0"/>
    <e v="#DIV/0!"/>
    <n v="0"/>
    <m/>
    <n v="0"/>
    <e v="#DIV/0!"/>
    <n v="0"/>
    <m/>
    <n v="0"/>
    <e v="#DIV/0!"/>
  </r>
  <r>
    <x v="2"/>
    <x v="2"/>
    <x v="3"/>
    <x v="15"/>
    <x v="8"/>
    <x v="109"/>
    <x v="109"/>
    <x v="109"/>
    <x v="109"/>
    <x v="109"/>
    <x v="4"/>
    <x v="10"/>
    <x v="0"/>
    <x v="0"/>
    <x v="9"/>
    <x v="1"/>
    <n v="1"/>
    <s v="RS"/>
    <s v="0304"/>
    <s v="Fortalecimiento del Sistema Educativo"/>
    <s v="0304.RS.3.4.109.H"/>
    <s v="H"/>
    <s v="Formación de estudiantes en lengua originaria como primera lengua dentro del Sistema Educativo Plurnacional"/>
    <s v="Formación de estudiantes en lengua originaria como primera lengua dentro del Sistema de Educación Regular"/>
    <m/>
    <n v="100"/>
    <m/>
    <m/>
    <x v="0"/>
    <x v="1"/>
    <x v="12"/>
    <m/>
    <m/>
    <m/>
    <m/>
    <m/>
    <m/>
    <m/>
    <m/>
    <n v="10"/>
    <x v="0"/>
    <x v="0"/>
    <x v="1"/>
    <x v="0"/>
    <x v="1"/>
    <x v="0"/>
    <x v="0"/>
    <x v="0"/>
    <x v="0"/>
    <x v="0"/>
    <x v="1"/>
    <x v="1"/>
    <x v="0"/>
    <x v="1"/>
    <x v="109"/>
    <x v="4"/>
    <x v="3"/>
    <x v="3"/>
    <m/>
    <m/>
    <m/>
    <s v="0304109"/>
    <m/>
    <m/>
    <m/>
    <m/>
    <m/>
    <m/>
    <m/>
    <m/>
    <m/>
    <m/>
    <m/>
    <m/>
    <m/>
    <m/>
    <m/>
    <n v="0"/>
    <n v="0"/>
    <n v="5"/>
    <n v="0"/>
    <m/>
    <n v="0"/>
    <e v="#DIV/0!"/>
    <n v="0"/>
    <m/>
    <n v="0"/>
    <e v="#DIV/0!"/>
    <n v="0"/>
    <m/>
    <n v="0"/>
    <e v="#DIV/0!"/>
    <n v="0"/>
    <m/>
    <n v="0"/>
    <e v="#DIV/0!"/>
    <n v="0"/>
    <m/>
    <n v="0"/>
    <e v="#DIV/0!"/>
  </r>
  <r>
    <x v="2"/>
    <x v="2"/>
    <x v="3"/>
    <x v="15"/>
    <x v="9"/>
    <x v="110"/>
    <x v="110"/>
    <x v="110"/>
    <x v="110"/>
    <x v="110"/>
    <x v="4"/>
    <x v="10"/>
    <x v="2"/>
    <x v="0"/>
    <x v="9"/>
    <x v="1"/>
    <m/>
    <s v="PD"/>
    <s v="0304"/>
    <s v="Fortalecimiento del Sistema Educativo"/>
    <s v="0304.PD.3.4.110.I"/>
    <s v="I"/>
    <s v="Infraestructura y Equipamiento de Institutos Técnicos - Tecnológicos para la formación técnica - tecnológica superior"/>
    <m/>
    <s v="0303.RS.3.3.98.E"/>
    <n v="100"/>
    <m/>
    <m/>
    <x v="0"/>
    <x v="1"/>
    <x v="2"/>
    <m/>
    <m/>
    <m/>
    <m/>
    <m/>
    <m/>
    <m/>
    <m/>
    <n v="10"/>
    <x v="1"/>
    <x v="1"/>
    <x v="1"/>
    <x v="0"/>
    <x v="0"/>
    <x v="0"/>
    <x v="1"/>
    <x v="0"/>
    <x v="0"/>
    <x v="0"/>
    <x v="1"/>
    <x v="1"/>
    <x v="1"/>
    <x v="1"/>
    <x v="110"/>
    <x v="4"/>
    <x v="3"/>
    <x v="3"/>
    <m/>
    <m/>
    <m/>
    <s v="0304110"/>
    <m/>
    <m/>
    <m/>
    <m/>
    <m/>
    <m/>
    <m/>
    <m/>
    <m/>
    <m/>
    <m/>
    <m/>
    <m/>
    <m/>
    <m/>
    <n v="0"/>
    <n v="0"/>
    <n v="5"/>
    <n v="0"/>
    <m/>
    <n v="0"/>
    <e v="#DIV/0!"/>
    <n v="0"/>
    <m/>
    <n v="0"/>
    <e v="#DIV/0!"/>
    <n v="0"/>
    <m/>
    <n v="0"/>
    <e v="#DIV/0!"/>
    <n v="0"/>
    <m/>
    <n v="0"/>
    <e v="#DIV/0!"/>
    <n v="0"/>
    <m/>
    <n v="0"/>
    <e v="#DIV/0!"/>
  </r>
  <r>
    <x v="2"/>
    <x v="2"/>
    <x v="4"/>
    <x v="16"/>
    <x v="0"/>
    <x v="111"/>
    <x v="111"/>
    <x v="111"/>
    <x v="111"/>
    <x v="111"/>
    <x v="4"/>
    <x v="11"/>
    <x v="0"/>
    <x v="0"/>
    <x v="10"/>
    <x v="1"/>
    <m/>
    <s v="RS"/>
    <s v="0305"/>
    <s v="El Deporte como derecho"/>
    <s v="0305.RS.3.5.111.A"/>
    <s v="A"/>
    <s v="Infraestructura y Equipamiento Deportivo de calidad"/>
    <m/>
    <m/>
    <n v="100"/>
    <m/>
    <m/>
    <x v="0"/>
    <x v="1"/>
    <x v="13"/>
    <m/>
    <m/>
    <m/>
    <m/>
    <m/>
    <m/>
    <m/>
    <m/>
    <n v="100"/>
    <x v="0"/>
    <x v="0"/>
    <x v="1"/>
    <x v="0"/>
    <x v="1"/>
    <x v="0"/>
    <x v="0"/>
    <x v="0"/>
    <x v="0"/>
    <x v="0"/>
    <x v="1"/>
    <x v="1"/>
    <x v="0"/>
    <x v="1"/>
    <x v="111"/>
    <x v="4"/>
    <x v="3"/>
    <x v="3"/>
    <m/>
    <m/>
    <m/>
    <s v="0305111"/>
    <m/>
    <m/>
    <m/>
    <m/>
    <m/>
    <m/>
    <m/>
    <m/>
    <m/>
    <m/>
    <m/>
    <m/>
    <m/>
    <m/>
    <m/>
    <n v="0"/>
    <n v="0"/>
    <n v="5"/>
    <n v="0"/>
    <m/>
    <n v="0"/>
    <e v="#DIV/0!"/>
    <n v="0"/>
    <m/>
    <n v="0"/>
    <e v="#DIV/0!"/>
    <n v="0"/>
    <m/>
    <n v="0"/>
    <e v="#DIV/0!"/>
    <n v="0"/>
    <m/>
    <n v="0"/>
    <e v="#DIV/0!"/>
    <n v="0"/>
    <m/>
    <n v="0"/>
    <e v="#DIV/0!"/>
  </r>
  <r>
    <x v="2"/>
    <x v="2"/>
    <x v="5"/>
    <x v="17"/>
    <x v="0"/>
    <x v="112"/>
    <x v="112"/>
    <x v="112"/>
    <x v="112"/>
    <x v="112"/>
    <x v="4"/>
    <x v="11"/>
    <x v="0"/>
    <x v="0"/>
    <x v="10"/>
    <x v="1"/>
    <m/>
    <s v="RS"/>
    <s v="0306"/>
    <s v="Acceso Universal al Deporte"/>
    <s v="0306.RS.3.6.112.A"/>
    <s v="A"/>
    <s v="Práctica de actividades físico deportivas"/>
    <s v="Población activa físicamente_x000a_"/>
    <m/>
    <n v="100"/>
    <m/>
    <m/>
    <x v="0"/>
    <x v="1"/>
    <x v="13"/>
    <m/>
    <m/>
    <m/>
    <m/>
    <m/>
    <m/>
    <m/>
    <m/>
    <n v="14.285714285714286"/>
    <x v="0"/>
    <x v="0"/>
    <x v="1"/>
    <x v="0"/>
    <x v="1"/>
    <x v="0"/>
    <x v="0"/>
    <x v="0"/>
    <x v="0"/>
    <x v="0"/>
    <x v="1"/>
    <x v="1"/>
    <x v="0"/>
    <x v="1"/>
    <x v="112"/>
    <x v="4"/>
    <x v="3"/>
    <x v="3"/>
    <m/>
    <m/>
    <m/>
    <s v="0306112"/>
    <m/>
    <m/>
    <m/>
    <m/>
    <m/>
    <m/>
    <m/>
    <m/>
    <m/>
    <m/>
    <m/>
    <m/>
    <m/>
    <m/>
    <m/>
    <n v="0"/>
    <n v="0"/>
    <n v="5"/>
    <n v="0"/>
    <m/>
    <n v="0"/>
    <e v="#DIV/0!"/>
    <n v="0"/>
    <m/>
    <n v="0"/>
    <e v="#DIV/0!"/>
    <n v="0"/>
    <m/>
    <n v="0"/>
    <e v="#DIV/0!"/>
    <n v="0"/>
    <m/>
    <n v="0"/>
    <e v="#DIV/0!"/>
    <n v="0"/>
    <m/>
    <n v="0"/>
    <e v="#DIV/0!"/>
  </r>
  <r>
    <x v="2"/>
    <x v="2"/>
    <x v="5"/>
    <x v="17"/>
    <x v="1"/>
    <x v="113"/>
    <x v="113"/>
    <x v="113"/>
    <x v="113"/>
    <x v="113"/>
    <x v="4"/>
    <x v="11"/>
    <x v="1"/>
    <x v="0"/>
    <x v="10"/>
    <x v="1"/>
    <m/>
    <s v="PC"/>
    <s v="0306"/>
    <s v="Acceso Universal al Deporte"/>
    <s v="0306.PC.3.6.113.B"/>
    <s v="B"/>
    <s v="Deporte de alto rendimiento con participación en competiciones internacionales"/>
    <s v="Número de Deportistas con Programas de entrenamiento competitivo"/>
    <s v="0306.RS.3.6.115.B"/>
    <n v="50"/>
    <m/>
    <m/>
    <x v="0"/>
    <x v="1"/>
    <x v="2"/>
    <m/>
    <m/>
    <m/>
    <m/>
    <m/>
    <m/>
    <m/>
    <m/>
    <n v="14.285714285714286"/>
    <x v="1"/>
    <x v="1"/>
    <x v="1"/>
    <x v="0"/>
    <x v="0"/>
    <x v="0"/>
    <x v="1"/>
    <x v="0"/>
    <x v="0"/>
    <x v="0"/>
    <x v="1"/>
    <x v="1"/>
    <x v="1"/>
    <x v="1"/>
    <x v="113"/>
    <x v="4"/>
    <x v="3"/>
    <x v="3"/>
    <m/>
    <m/>
    <m/>
    <s v="0306113"/>
    <m/>
    <m/>
    <m/>
    <m/>
    <m/>
    <m/>
    <m/>
    <m/>
    <m/>
    <m/>
    <m/>
    <m/>
    <m/>
    <m/>
    <m/>
    <n v="0"/>
    <n v="0"/>
    <n v="5"/>
    <n v="0"/>
    <m/>
    <n v="0"/>
    <e v="#DIV/0!"/>
    <n v="0"/>
    <m/>
    <n v="0"/>
    <e v="#DIV/0!"/>
    <n v="0"/>
    <m/>
    <n v="0"/>
    <e v="#DIV/0!"/>
    <n v="0"/>
    <m/>
    <n v="0"/>
    <e v="#DIV/0!"/>
    <n v="0"/>
    <m/>
    <n v="0"/>
    <e v="#DIV/0!"/>
  </r>
  <r>
    <x v="2"/>
    <x v="2"/>
    <x v="5"/>
    <x v="17"/>
    <x v="2"/>
    <x v="114"/>
    <x v="114"/>
    <x v="114"/>
    <x v="114"/>
    <x v="114"/>
    <x v="4"/>
    <x v="11"/>
    <x v="1"/>
    <x v="0"/>
    <x v="10"/>
    <x v="1"/>
    <m/>
    <s v="PC"/>
    <s v="0306"/>
    <s v="Acceso Universal al Deporte"/>
    <s v="0306.PC.3.6.114.C"/>
    <s v="C"/>
    <s v="Cobertura de Programas Deportivos en Unidades educativas públicas y privadas"/>
    <m/>
    <m/>
    <n v="100"/>
    <m/>
    <m/>
    <x v="0"/>
    <x v="1"/>
    <x v="2"/>
    <m/>
    <m/>
    <m/>
    <m/>
    <m/>
    <m/>
    <m/>
    <m/>
    <n v="14.285714285714286"/>
    <x v="1"/>
    <x v="1"/>
    <x v="1"/>
    <x v="0"/>
    <x v="0"/>
    <x v="0"/>
    <x v="1"/>
    <x v="0"/>
    <x v="0"/>
    <x v="0"/>
    <x v="1"/>
    <x v="1"/>
    <x v="1"/>
    <x v="1"/>
    <x v="114"/>
    <x v="4"/>
    <x v="3"/>
    <x v="3"/>
    <m/>
    <m/>
    <m/>
    <s v="0306114"/>
    <m/>
    <m/>
    <m/>
    <m/>
    <m/>
    <m/>
    <m/>
    <m/>
    <m/>
    <m/>
    <m/>
    <m/>
    <m/>
    <m/>
    <m/>
    <n v="0"/>
    <n v="0"/>
    <n v="5"/>
    <n v="0"/>
    <m/>
    <n v="0"/>
    <e v="#DIV/0!"/>
    <n v="0"/>
    <m/>
    <n v="0"/>
    <e v="#DIV/0!"/>
    <n v="0"/>
    <m/>
    <n v="0"/>
    <e v="#DIV/0!"/>
    <n v="0"/>
    <m/>
    <n v="0"/>
    <e v="#DIV/0!"/>
    <n v="0"/>
    <m/>
    <n v="0"/>
    <e v="#DIV/0!"/>
  </r>
  <r>
    <x v="2"/>
    <x v="2"/>
    <x v="5"/>
    <x v="17"/>
    <x v="3"/>
    <x v="115"/>
    <x v="115"/>
    <x v="115"/>
    <x v="115"/>
    <x v="115"/>
    <x v="4"/>
    <x v="11"/>
    <x v="0"/>
    <x v="0"/>
    <x v="10"/>
    <x v="1"/>
    <m/>
    <s v="RS"/>
    <s v="0306"/>
    <s v="Acceso Universal al Deporte"/>
    <s v="0306.RS.3.6.115.B"/>
    <s v="B"/>
    <s v="Deporte de alto rendimiento con participación en competiciones internacionales"/>
    <s v="Número de Deportistas de Alto Rendimiento en competiciones internacionales"/>
    <m/>
    <n v="50"/>
    <m/>
    <m/>
    <x v="0"/>
    <x v="1"/>
    <x v="13"/>
    <m/>
    <m/>
    <m/>
    <m/>
    <m/>
    <m/>
    <m/>
    <m/>
    <n v="14.285714285714286"/>
    <x v="0"/>
    <x v="0"/>
    <x v="1"/>
    <x v="0"/>
    <x v="1"/>
    <x v="0"/>
    <x v="0"/>
    <x v="0"/>
    <x v="0"/>
    <x v="0"/>
    <x v="1"/>
    <x v="1"/>
    <x v="0"/>
    <x v="1"/>
    <x v="115"/>
    <x v="4"/>
    <x v="3"/>
    <x v="3"/>
    <m/>
    <m/>
    <m/>
    <s v="0306115"/>
    <m/>
    <m/>
    <m/>
    <m/>
    <m/>
    <m/>
    <m/>
    <m/>
    <m/>
    <m/>
    <m/>
    <m/>
    <m/>
    <m/>
    <m/>
    <n v="0"/>
    <n v="0"/>
    <n v="5"/>
    <n v="0"/>
    <m/>
    <n v="0"/>
    <e v="#DIV/0!"/>
    <n v="0"/>
    <m/>
    <n v="0"/>
    <e v="#DIV/0!"/>
    <n v="0"/>
    <m/>
    <n v="0"/>
    <e v="#DIV/0!"/>
    <n v="0"/>
    <m/>
    <n v="0"/>
    <e v="#DIV/0!"/>
    <n v="0"/>
    <m/>
    <n v="0"/>
    <e v="#DIV/0!"/>
  </r>
  <r>
    <x v="2"/>
    <x v="2"/>
    <x v="5"/>
    <x v="17"/>
    <x v="4"/>
    <x v="116"/>
    <x v="116"/>
    <x v="116"/>
    <x v="116"/>
    <x v="116"/>
    <x v="4"/>
    <x v="11"/>
    <x v="1"/>
    <x v="0"/>
    <x v="10"/>
    <x v="1"/>
    <m/>
    <s v="PC"/>
    <s v="0306"/>
    <s v="Acceso Universal al Deporte"/>
    <s v="0306.PC.3.6.116.D"/>
    <s v="D"/>
    <s v="Identificación de estudiantes con potencial deportivo competitivo a temprana edad"/>
    <m/>
    <s v="0306.PC.3.6.113.B"/>
    <n v="100"/>
    <m/>
    <m/>
    <x v="0"/>
    <x v="1"/>
    <x v="2"/>
    <m/>
    <m/>
    <m/>
    <m/>
    <m/>
    <m/>
    <m/>
    <m/>
    <n v="14.285714285714286"/>
    <x v="1"/>
    <x v="1"/>
    <x v="1"/>
    <x v="0"/>
    <x v="0"/>
    <x v="0"/>
    <x v="1"/>
    <x v="0"/>
    <x v="0"/>
    <x v="0"/>
    <x v="1"/>
    <x v="1"/>
    <x v="1"/>
    <x v="1"/>
    <x v="116"/>
    <x v="4"/>
    <x v="3"/>
    <x v="3"/>
    <m/>
    <m/>
    <m/>
    <s v="0306116"/>
    <m/>
    <m/>
    <m/>
    <m/>
    <m/>
    <m/>
    <m/>
    <m/>
    <m/>
    <m/>
    <m/>
    <m/>
    <m/>
    <m/>
    <m/>
    <n v="0"/>
    <n v="0"/>
    <n v="5"/>
    <n v="0"/>
    <m/>
    <n v="0"/>
    <e v="#DIV/0!"/>
    <n v="0"/>
    <m/>
    <n v="0"/>
    <e v="#DIV/0!"/>
    <n v="0"/>
    <m/>
    <n v="0"/>
    <e v="#DIV/0!"/>
    <n v="0"/>
    <m/>
    <n v="0"/>
    <e v="#DIV/0!"/>
    <n v="0"/>
    <m/>
    <n v="0"/>
    <e v="#DIV/0!"/>
  </r>
  <r>
    <x v="2"/>
    <x v="2"/>
    <x v="5"/>
    <x v="17"/>
    <x v="5"/>
    <x v="117"/>
    <x v="117"/>
    <x v="117"/>
    <x v="117"/>
    <x v="117"/>
    <x v="4"/>
    <x v="11"/>
    <x v="1"/>
    <x v="0"/>
    <x v="10"/>
    <x v="1"/>
    <m/>
    <s v="PC"/>
    <s v="0306"/>
    <s v="Acceso Universal al Deporte"/>
    <s v="0306.PC.3.6.117.E"/>
    <s v="E"/>
    <s v="Acceso a Becas de Formación Deportiva Nacional e Internacional "/>
    <s v="Acceso a Becas de e Formación Deportiva Nacional e Internacional por parte de deportistas"/>
    <s v="0306.RS.3.6.115.B"/>
    <n v="100"/>
    <m/>
    <m/>
    <x v="0"/>
    <x v="1"/>
    <x v="2"/>
    <m/>
    <m/>
    <m/>
    <m/>
    <m/>
    <m/>
    <m/>
    <m/>
    <n v="14.285714285714286"/>
    <x v="1"/>
    <x v="1"/>
    <x v="1"/>
    <x v="0"/>
    <x v="0"/>
    <x v="0"/>
    <x v="1"/>
    <x v="0"/>
    <x v="0"/>
    <x v="0"/>
    <x v="1"/>
    <x v="1"/>
    <x v="1"/>
    <x v="1"/>
    <x v="117"/>
    <x v="4"/>
    <x v="3"/>
    <x v="3"/>
    <m/>
    <m/>
    <m/>
    <s v="0306117"/>
    <m/>
    <m/>
    <m/>
    <m/>
    <m/>
    <m/>
    <m/>
    <m/>
    <m/>
    <m/>
    <m/>
    <m/>
    <m/>
    <m/>
    <m/>
    <n v="0"/>
    <n v="0"/>
    <n v="5"/>
    <n v="0"/>
    <m/>
    <n v="0"/>
    <e v="#DIV/0!"/>
    <n v="0"/>
    <m/>
    <n v="0"/>
    <e v="#DIV/0!"/>
    <n v="0"/>
    <m/>
    <n v="0"/>
    <e v="#DIV/0!"/>
    <n v="0"/>
    <m/>
    <n v="0"/>
    <e v="#DIV/0!"/>
    <n v="0"/>
    <m/>
    <n v="0"/>
    <e v="#DIV/0!"/>
  </r>
  <r>
    <x v="2"/>
    <x v="2"/>
    <x v="5"/>
    <x v="17"/>
    <x v="6"/>
    <x v="118"/>
    <x v="118"/>
    <x v="118"/>
    <x v="118"/>
    <x v="118"/>
    <x v="4"/>
    <x v="11"/>
    <x v="1"/>
    <x v="0"/>
    <x v="10"/>
    <x v="1"/>
    <m/>
    <s v="PC"/>
    <s v="0306"/>
    <s v="Acceso Universal al Deporte"/>
    <s v="0306.PC.3.6.118.F"/>
    <s v="F"/>
    <s v="Acceso a Capacitación especializada en Deporte por parte de técnicos del deporte, entrenadores y profesores de educación física"/>
    <m/>
    <s v="0306.PC.3.6.113.B"/>
    <n v="100"/>
    <s v="0306.RS.3.6.115.B"/>
    <m/>
    <x v="0"/>
    <x v="1"/>
    <x v="2"/>
    <m/>
    <m/>
    <m/>
    <m/>
    <m/>
    <m/>
    <m/>
    <m/>
    <n v="14.285714285714286"/>
    <x v="1"/>
    <x v="1"/>
    <x v="1"/>
    <x v="0"/>
    <x v="0"/>
    <x v="0"/>
    <x v="1"/>
    <x v="0"/>
    <x v="0"/>
    <x v="0"/>
    <x v="1"/>
    <x v="1"/>
    <x v="1"/>
    <x v="1"/>
    <x v="118"/>
    <x v="4"/>
    <x v="3"/>
    <x v="3"/>
    <m/>
    <m/>
    <m/>
    <s v="0306118"/>
    <m/>
    <m/>
    <m/>
    <m/>
    <m/>
    <m/>
    <m/>
    <m/>
    <m/>
    <m/>
    <m/>
    <m/>
    <m/>
    <m/>
    <m/>
    <n v="0"/>
    <n v="0"/>
    <n v="5"/>
    <n v="0"/>
    <m/>
    <n v="0"/>
    <e v="#DIV/0!"/>
    <n v="0"/>
    <m/>
    <n v="0"/>
    <e v="#DIV/0!"/>
    <n v="0"/>
    <m/>
    <n v="0"/>
    <e v="#DIV/0!"/>
    <n v="0"/>
    <m/>
    <n v="0"/>
    <e v="#DIV/0!"/>
    <n v="0"/>
    <m/>
    <n v="0"/>
    <e v="#DIV/0!"/>
  </r>
  <r>
    <x v="3"/>
    <x v="3"/>
    <x v="0"/>
    <x v="18"/>
    <x v="0"/>
    <x v="119"/>
    <x v="119"/>
    <x v="119"/>
    <x v="119"/>
    <x v="119"/>
    <x v="5"/>
    <x v="12"/>
    <x v="0"/>
    <x v="3"/>
    <x v="11"/>
    <x v="1"/>
    <n v="1"/>
    <s v="RS"/>
    <s v="0401"/>
    <s v="Investigación y desarrollo de tecnología."/>
    <s v="0401.RS.4.1.119.A"/>
    <s v="A"/>
    <s v="Transferencia tecnológica a Complejos Productivos y empresas"/>
    <m/>
    <s v="0609.RS.6.9.179."/>
    <n v="100"/>
    <m/>
    <m/>
    <x v="0"/>
    <x v="1"/>
    <x v="14"/>
    <m/>
    <m/>
    <m/>
    <m/>
    <m/>
    <m/>
    <m/>
    <m/>
    <n v="12.5"/>
    <x v="0"/>
    <x v="0"/>
    <x v="0"/>
    <x v="0"/>
    <x v="0"/>
    <x v="0"/>
    <x v="0"/>
    <x v="0"/>
    <x v="0"/>
    <x v="0"/>
    <x v="1"/>
    <x v="1"/>
    <x v="0"/>
    <x v="1"/>
    <x v="119"/>
    <x v="4"/>
    <x v="3"/>
    <x v="3"/>
    <m/>
    <m/>
    <m/>
    <s v="0401119"/>
    <m/>
    <m/>
    <m/>
    <m/>
    <m/>
    <m/>
    <m/>
    <m/>
    <m/>
    <m/>
    <m/>
    <m/>
    <m/>
    <m/>
    <m/>
    <n v="0"/>
    <n v="0"/>
    <n v="5"/>
    <n v="0"/>
    <m/>
    <n v="0"/>
    <e v="#DIV/0!"/>
    <n v="0"/>
    <m/>
    <n v="0"/>
    <e v="#DIV/0!"/>
    <n v="0"/>
    <m/>
    <n v="0"/>
    <e v="#DIV/0!"/>
    <n v="0"/>
    <m/>
    <n v="0"/>
    <e v="#DIV/0!"/>
    <n v="0"/>
    <m/>
    <n v="0"/>
    <e v="#DIV/0!"/>
  </r>
  <r>
    <x v="3"/>
    <x v="3"/>
    <x v="0"/>
    <x v="18"/>
    <x v="1"/>
    <x v="120"/>
    <x v="120"/>
    <x v="120"/>
    <x v="120"/>
    <x v="120"/>
    <x v="5"/>
    <x v="12"/>
    <x v="1"/>
    <x v="2"/>
    <x v="12"/>
    <x v="1"/>
    <m/>
    <s v="PC"/>
    <s v="0401"/>
    <s v="Investigación y desarrollo de tecnología."/>
    <s v="0401.PC.4.1.120.B"/>
    <s v="B"/>
    <s v="Capacidad del Satélite Tupac Katari"/>
    <m/>
    <m/>
    <n v="100"/>
    <m/>
    <m/>
    <x v="0"/>
    <x v="1"/>
    <x v="2"/>
    <m/>
    <m/>
    <m/>
    <m/>
    <m/>
    <m/>
    <m/>
    <m/>
    <n v="12.5"/>
    <x v="1"/>
    <x v="1"/>
    <x v="1"/>
    <x v="0"/>
    <x v="0"/>
    <x v="0"/>
    <x v="1"/>
    <x v="0"/>
    <x v="0"/>
    <x v="0"/>
    <x v="1"/>
    <x v="1"/>
    <x v="1"/>
    <x v="1"/>
    <x v="120"/>
    <x v="4"/>
    <x v="3"/>
    <x v="3"/>
    <m/>
    <m/>
    <m/>
    <s v="0401120"/>
    <m/>
    <m/>
    <m/>
    <m/>
    <m/>
    <m/>
    <m/>
    <m/>
    <m/>
    <m/>
    <m/>
    <m/>
    <m/>
    <m/>
    <m/>
    <n v="0"/>
    <n v="0"/>
    <n v="5"/>
    <n v="0"/>
    <m/>
    <n v="0"/>
    <e v="#DIV/0!"/>
    <n v="0"/>
    <m/>
    <n v="0"/>
    <e v="#DIV/0!"/>
    <n v="0"/>
    <m/>
    <n v="0"/>
    <e v="#DIV/0!"/>
    <n v="0"/>
    <m/>
    <n v="0"/>
    <e v="#DIV/0!"/>
    <n v="0"/>
    <m/>
    <n v="0"/>
    <e v="#DIV/0!"/>
  </r>
  <r>
    <x v="3"/>
    <x v="3"/>
    <x v="0"/>
    <x v="18"/>
    <x v="2"/>
    <x v="121"/>
    <x v="121"/>
    <x v="121"/>
    <x v="121"/>
    <x v="121"/>
    <x v="5"/>
    <x v="12"/>
    <x v="2"/>
    <x v="2"/>
    <x v="12"/>
    <x v="1"/>
    <m/>
    <s v="PD"/>
    <s v="0401"/>
    <s v="Investigación y desarrollo de tecnología."/>
    <s v="0401.PD.4.1.121.C"/>
    <s v="C"/>
    <s v="Implementación del Gobierno Electrónico"/>
    <m/>
    <m/>
    <n v="50"/>
    <s v="0401.RS.4.1.119.A"/>
    <m/>
    <x v="0"/>
    <x v="1"/>
    <x v="2"/>
    <m/>
    <m/>
    <m/>
    <m/>
    <m/>
    <m/>
    <m/>
    <m/>
    <n v="12.5"/>
    <x v="1"/>
    <x v="1"/>
    <x v="1"/>
    <x v="0"/>
    <x v="0"/>
    <x v="0"/>
    <x v="1"/>
    <x v="0"/>
    <x v="0"/>
    <x v="0"/>
    <x v="1"/>
    <x v="1"/>
    <x v="1"/>
    <x v="1"/>
    <x v="121"/>
    <x v="4"/>
    <x v="3"/>
    <x v="3"/>
    <m/>
    <m/>
    <m/>
    <s v="0401121"/>
    <m/>
    <m/>
    <m/>
    <m/>
    <m/>
    <m/>
    <m/>
    <m/>
    <m/>
    <m/>
    <m/>
    <m/>
    <m/>
    <m/>
    <m/>
    <n v="0"/>
    <n v="0"/>
    <n v="5"/>
    <n v="0"/>
    <m/>
    <n v="0"/>
    <e v="#DIV/0!"/>
    <n v="0"/>
    <m/>
    <n v="0"/>
    <e v="#DIV/0!"/>
    <n v="0"/>
    <m/>
    <n v="0"/>
    <e v="#DIV/0!"/>
    <n v="0"/>
    <m/>
    <n v="0"/>
    <e v="#DIV/0!"/>
    <n v="0"/>
    <m/>
    <n v="0"/>
    <e v="#DIV/0!"/>
  </r>
  <r>
    <x v="3"/>
    <x v="3"/>
    <x v="0"/>
    <x v="18"/>
    <x v="3"/>
    <x v="122"/>
    <x v="122"/>
    <x v="122"/>
    <x v="122"/>
    <x v="122"/>
    <x v="5"/>
    <x v="12"/>
    <x v="1"/>
    <x v="1"/>
    <x v="11"/>
    <x v="1"/>
    <m/>
    <s v="PC"/>
    <s v="0401"/>
    <s v="Investigación y desarrollo de tecnología."/>
    <s v="0401.PC.4.1.122.D"/>
    <s v="D"/>
    <s v="Iniciativas para transmisión y creación de conocimiento científico y tecnología"/>
    <s v="Ciudadela de Conocimiento Científico y la Tecnología"/>
    <s v="0401.RS.4.1.119.A"/>
    <n v="100"/>
    <m/>
    <m/>
    <x v="0"/>
    <x v="1"/>
    <x v="2"/>
    <m/>
    <m/>
    <m/>
    <m/>
    <m/>
    <m/>
    <m/>
    <m/>
    <n v="12.5"/>
    <x v="1"/>
    <x v="1"/>
    <x v="1"/>
    <x v="0"/>
    <x v="0"/>
    <x v="0"/>
    <x v="1"/>
    <x v="0"/>
    <x v="0"/>
    <x v="0"/>
    <x v="1"/>
    <x v="1"/>
    <x v="1"/>
    <x v="1"/>
    <x v="122"/>
    <x v="4"/>
    <x v="3"/>
    <x v="3"/>
    <m/>
    <m/>
    <m/>
    <s v="0401122"/>
    <m/>
    <m/>
    <m/>
    <m/>
    <m/>
    <m/>
    <m/>
    <m/>
    <m/>
    <m/>
    <m/>
    <m/>
    <m/>
    <m/>
    <m/>
    <n v="0"/>
    <n v="0"/>
    <n v="5"/>
    <n v="0"/>
    <m/>
    <n v="0"/>
    <e v="#DIV/0!"/>
    <n v="0"/>
    <m/>
    <n v="0"/>
    <e v="#DIV/0!"/>
    <n v="0"/>
    <m/>
    <n v="0"/>
    <e v="#DIV/0!"/>
    <n v="0"/>
    <m/>
    <n v="0"/>
    <e v="#DIV/0!"/>
    <n v="0"/>
    <m/>
    <n v="0"/>
    <e v="#DIV/0!"/>
  </r>
  <r>
    <x v="3"/>
    <x v="3"/>
    <x v="0"/>
    <x v="18"/>
    <x v="4"/>
    <x v="123"/>
    <x v="123"/>
    <x v="123"/>
    <x v="123"/>
    <x v="123"/>
    <x v="5"/>
    <x v="12"/>
    <x v="2"/>
    <x v="3"/>
    <x v="13"/>
    <x v="1"/>
    <m/>
    <s v="PD"/>
    <s v="0401"/>
    <s v="Investigación y desarrollo de tecnología."/>
    <s v="0401.PD.4.1.123.E"/>
    <s v="E"/>
    <s v="Implementación de Complejos Industriales"/>
    <s v="Complejo Industrial Farmacéutico"/>
    <s v="0602.RS.6.2.149."/>
    <n v="100"/>
    <m/>
    <m/>
    <x v="0"/>
    <x v="1"/>
    <x v="2"/>
    <m/>
    <m/>
    <m/>
    <m/>
    <m/>
    <m/>
    <m/>
    <m/>
    <n v="12.5"/>
    <x v="1"/>
    <x v="1"/>
    <x v="1"/>
    <x v="1"/>
    <x v="0"/>
    <x v="0"/>
    <x v="0"/>
    <x v="0"/>
    <x v="0"/>
    <x v="0"/>
    <x v="1"/>
    <x v="1"/>
    <x v="1"/>
    <x v="1"/>
    <x v="123"/>
    <x v="4"/>
    <x v="3"/>
    <x v="3"/>
    <m/>
    <m/>
    <m/>
    <s v="0401123"/>
    <m/>
    <m/>
    <m/>
    <m/>
    <m/>
    <m/>
    <m/>
    <m/>
    <m/>
    <m/>
    <m/>
    <m/>
    <m/>
    <m/>
    <m/>
    <n v="0"/>
    <n v="0"/>
    <n v="5"/>
    <n v="0"/>
    <m/>
    <n v="0"/>
    <e v="#DIV/0!"/>
    <n v="0"/>
    <m/>
    <n v="0"/>
    <e v="#DIV/0!"/>
    <n v="0"/>
    <m/>
    <n v="0"/>
    <e v="#DIV/0!"/>
    <n v="0"/>
    <m/>
    <n v="0"/>
    <e v="#DIV/0!"/>
    <n v="0"/>
    <m/>
    <n v="0"/>
    <e v="#DIV/0!"/>
  </r>
  <r>
    <x v="3"/>
    <x v="3"/>
    <x v="0"/>
    <x v="18"/>
    <x v="5"/>
    <x v="124"/>
    <x v="124"/>
    <x v="124"/>
    <x v="124"/>
    <x v="124"/>
    <x v="5"/>
    <x v="12"/>
    <x v="1"/>
    <x v="2"/>
    <x v="12"/>
    <x v="1"/>
    <m/>
    <s v="PC"/>
    <s v="0401"/>
    <s v="Investigación y desarrollo de tecnología."/>
    <s v="0401.PC.4.1.124.C"/>
    <s v="C"/>
    <s v="Implementación del Gobierno Electrónico"/>
    <s v="La Agencia de Gobierno Electrónico y Tecnologías de Información y Comunicación se encuentra operando."/>
    <s v="0401.PD.4.1.121.C"/>
    <n v="50"/>
    <s v="0401.RS.4.1.125.F"/>
    <m/>
    <x v="0"/>
    <x v="1"/>
    <x v="2"/>
    <m/>
    <m/>
    <m/>
    <m/>
    <m/>
    <m/>
    <m/>
    <m/>
    <n v="12.5"/>
    <x v="1"/>
    <x v="1"/>
    <x v="1"/>
    <x v="0"/>
    <x v="0"/>
    <x v="0"/>
    <x v="1"/>
    <x v="0"/>
    <x v="0"/>
    <x v="0"/>
    <x v="1"/>
    <x v="1"/>
    <x v="1"/>
    <x v="1"/>
    <x v="124"/>
    <x v="4"/>
    <x v="3"/>
    <x v="3"/>
    <m/>
    <m/>
    <m/>
    <s v="0401124"/>
    <m/>
    <m/>
    <m/>
    <m/>
    <m/>
    <m/>
    <m/>
    <m/>
    <m/>
    <m/>
    <m/>
    <m/>
    <m/>
    <m/>
    <m/>
    <n v="0"/>
    <n v="0"/>
    <n v="5"/>
    <n v="0"/>
    <m/>
    <n v="0"/>
    <e v="#DIV/0!"/>
    <n v="0"/>
    <m/>
    <n v="0"/>
    <e v="#DIV/0!"/>
    <n v="0"/>
    <m/>
    <n v="0"/>
    <e v="#DIV/0!"/>
    <n v="0"/>
    <m/>
    <n v="0"/>
    <e v="#DIV/0!"/>
    <n v="0"/>
    <m/>
    <n v="0"/>
    <e v="#DIV/0!"/>
  </r>
  <r>
    <x v="3"/>
    <x v="3"/>
    <x v="0"/>
    <x v="18"/>
    <x v="6"/>
    <x v="125"/>
    <x v="125"/>
    <x v="125"/>
    <x v="125"/>
    <x v="125"/>
    <x v="5"/>
    <x v="12"/>
    <x v="0"/>
    <x v="2"/>
    <x v="12"/>
    <x v="1"/>
    <m/>
    <s v="RS"/>
    <s v="0401"/>
    <s v="Investigación y desarrollo de tecnología."/>
    <s v="0401.RS.4.1.125.F"/>
    <s v="F"/>
    <s v="Acceso a la Información y Comunicación del Estado Plurinacional de Bolivia"/>
    <m/>
    <m/>
    <n v="100"/>
    <m/>
    <m/>
    <x v="0"/>
    <x v="1"/>
    <x v="15"/>
    <m/>
    <m/>
    <m/>
    <m/>
    <m/>
    <m/>
    <m/>
    <m/>
    <n v="12.5"/>
    <x v="0"/>
    <x v="0"/>
    <x v="1"/>
    <x v="0"/>
    <x v="0"/>
    <x v="0"/>
    <x v="1"/>
    <x v="0"/>
    <x v="0"/>
    <x v="0"/>
    <x v="1"/>
    <x v="1"/>
    <x v="1"/>
    <x v="1"/>
    <x v="125"/>
    <x v="4"/>
    <x v="3"/>
    <x v="3"/>
    <m/>
    <m/>
    <m/>
    <s v="0401125"/>
    <m/>
    <m/>
    <m/>
    <m/>
    <m/>
    <m/>
    <m/>
    <m/>
    <m/>
    <m/>
    <m/>
    <m/>
    <m/>
    <m/>
    <m/>
    <n v="0"/>
    <n v="0"/>
    <n v="5"/>
    <n v="0"/>
    <m/>
    <n v="0"/>
    <e v="#DIV/0!"/>
    <n v="0"/>
    <m/>
    <n v="0"/>
    <e v="#DIV/0!"/>
    <n v="0"/>
    <m/>
    <n v="0"/>
    <e v="#DIV/0!"/>
    <n v="0"/>
    <m/>
    <n v="0"/>
    <e v="#DIV/0!"/>
    <n v="0"/>
    <m/>
    <n v="0"/>
    <e v="#DIV/0!"/>
  </r>
  <r>
    <x v="3"/>
    <x v="3"/>
    <x v="0"/>
    <x v="18"/>
    <x v="7"/>
    <x v="126"/>
    <x v="126"/>
    <x v="126"/>
    <x v="126"/>
    <x v="126"/>
    <x v="5"/>
    <x v="12"/>
    <x v="1"/>
    <x v="1"/>
    <x v="11"/>
    <x v="1"/>
    <m/>
    <s v="PC"/>
    <s v="0401"/>
    <s v="Investigación y desarrollo de tecnología."/>
    <s v="0401.PC.4.1.126.G"/>
    <s v="G"/>
    <s v="Acceso a Televisión Digital Libre"/>
    <s v="Acceso en capitales de departamento"/>
    <m/>
    <n v="100"/>
    <m/>
    <m/>
    <x v="0"/>
    <x v="1"/>
    <x v="2"/>
    <m/>
    <m/>
    <m/>
    <m/>
    <m/>
    <m/>
    <m/>
    <m/>
    <n v="12.5"/>
    <x v="1"/>
    <x v="1"/>
    <x v="1"/>
    <x v="0"/>
    <x v="0"/>
    <x v="0"/>
    <x v="1"/>
    <x v="0"/>
    <x v="0"/>
    <x v="0"/>
    <x v="1"/>
    <x v="1"/>
    <x v="1"/>
    <x v="1"/>
    <x v="126"/>
    <x v="4"/>
    <x v="3"/>
    <x v="3"/>
    <m/>
    <m/>
    <m/>
    <s v="0401126"/>
    <m/>
    <m/>
    <m/>
    <m/>
    <m/>
    <m/>
    <m/>
    <m/>
    <m/>
    <m/>
    <m/>
    <m/>
    <m/>
    <m/>
    <m/>
    <n v="0"/>
    <n v="0"/>
    <n v="5"/>
    <n v="0"/>
    <m/>
    <n v="0"/>
    <e v="#DIV/0!"/>
    <n v="0"/>
    <m/>
    <n v="0"/>
    <e v="#DIV/0!"/>
    <n v="0"/>
    <m/>
    <n v="0"/>
    <e v="#DIV/0!"/>
    <n v="0"/>
    <m/>
    <n v="0"/>
    <e v="#DIV/0!"/>
    <n v="0"/>
    <m/>
    <n v="0"/>
    <e v="#DIV/0!"/>
  </r>
  <r>
    <x v="3"/>
    <x v="3"/>
    <x v="1"/>
    <x v="19"/>
    <x v="0"/>
    <x v="127"/>
    <x v="127"/>
    <x v="127"/>
    <x v="127"/>
    <x v="127"/>
    <x v="5"/>
    <x v="12"/>
    <x v="1"/>
    <x v="3"/>
    <x v="11"/>
    <x v="1"/>
    <m/>
    <s v="PC"/>
    <s v="0402"/>
    <s v="Innovación Tecnológica de Alimentos Nutritivos."/>
    <s v="0402.PC.4.2.127.H"/>
    <s v="H"/>
    <s v="Innovación tecnológica para incrementar la productividad agropecuaria de productos nutritivos, considerando gestión de riesgos y el cambio climático"/>
    <s v="Innovación y diseminación de tecnología para incrementar la productividad , la capacidad productiva y la transformación de productos nutritivos, considerando gestión de riesgos y el cambio climático"/>
    <m/>
    <n v="100"/>
    <s v="0401.RS.4.1.119.A"/>
    <m/>
    <x v="0"/>
    <x v="1"/>
    <x v="2"/>
    <m/>
    <m/>
    <m/>
    <m/>
    <m/>
    <m/>
    <m/>
    <m/>
    <n v="100"/>
    <x v="1"/>
    <x v="1"/>
    <x v="1"/>
    <x v="0"/>
    <x v="0"/>
    <x v="1"/>
    <x v="0"/>
    <x v="0"/>
    <x v="0"/>
    <x v="0"/>
    <x v="1"/>
    <x v="1"/>
    <x v="1"/>
    <x v="1"/>
    <x v="127"/>
    <x v="4"/>
    <x v="3"/>
    <x v="3"/>
    <m/>
    <m/>
    <m/>
    <s v="0402127"/>
    <m/>
    <m/>
    <m/>
    <m/>
    <m/>
    <m/>
    <m/>
    <m/>
    <m/>
    <m/>
    <m/>
    <m/>
    <m/>
    <m/>
    <m/>
    <n v="0"/>
    <n v="0"/>
    <n v="5"/>
    <n v="0"/>
    <m/>
    <n v="0"/>
    <e v="#DIV/0!"/>
    <n v="0"/>
    <m/>
    <n v="0"/>
    <e v="#DIV/0!"/>
    <n v="0"/>
    <m/>
    <n v="0"/>
    <e v="#DIV/0!"/>
    <n v="0"/>
    <m/>
    <n v="0"/>
    <e v="#DIV/0!"/>
    <n v="0"/>
    <m/>
    <n v="0"/>
    <e v="#DIV/0!"/>
  </r>
  <r>
    <x v="3"/>
    <x v="3"/>
    <x v="2"/>
    <x v="20"/>
    <x v="0"/>
    <x v="128"/>
    <x v="128"/>
    <x v="128"/>
    <x v="128"/>
    <x v="128"/>
    <x v="5"/>
    <x v="12"/>
    <x v="1"/>
    <x v="3"/>
    <x v="11"/>
    <x v="1"/>
    <m/>
    <s v="PC"/>
    <s v="0403"/>
    <s v="Tecnología con saberes"/>
    <s v="0403.PC.4.3.128.H"/>
    <s v="H"/>
    <s v="Innovación tecnológica para incrementar la productividad agropecuaria de productos nutritivos, considerando gestión de riesgos y el cambio climático"/>
    <s v="Innovación tecnológica para incrementar la productividad agropecuaria con resilencia al cambio climático en diferentes pisos ecológicos"/>
    <s v="0602.RS.6.2.148."/>
    <n v="50"/>
    <m/>
    <m/>
    <x v="0"/>
    <x v="1"/>
    <x v="2"/>
    <m/>
    <m/>
    <m/>
    <m/>
    <m/>
    <m/>
    <m/>
    <m/>
    <n v="50"/>
    <x v="1"/>
    <x v="1"/>
    <x v="1"/>
    <x v="1"/>
    <x v="0"/>
    <x v="0"/>
    <x v="0"/>
    <x v="0"/>
    <x v="0"/>
    <x v="0"/>
    <x v="1"/>
    <x v="1"/>
    <x v="1"/>
    <x v="1"/>
    <x v="128"/>
    <x v="4"/>
    <x v="3"/>
    <x v="3"/>
    <m/>
    <m/>
    <m/>
    <s v="0403128"/>
    <m/>
    <m/>
    <m/>
    <m/>
    <m/>
    <m/>
    <m/>
    <m/>
    <m/>
    <m/>
    <m/>
    <m/>
    <m/>
    <m/>
    <m/>
    <n v="0"/>
    <n v="0"/>
    <n v="5"/>
    <n v="0"/>
    <m/>
    <n v="0"/>
    <e v="#DIV/0!"/>
    <n v="0"/>
    <m/>
    <n v="0"/>
    <e v="#DIV/0!"/>
    <n v="0"/>
    <m/>
    <n v="0"/>
    <e v="#DIV/0!"/>
    <n v="0"/>
    <m/>
    <n v="0"/>
    <e v="#DIV/0!"/>
    <n v="0"/>
    <m/>
    <n v="0"/>
    <e v="#DIV/0!"/>
  </r>
  <r>
    <x v="3"/>
    <x v="3"/>
    <x v="2"/>
    <x v="20"/>
    <x v="1"/>
    <x v="129"/>
    <x v="129"/>
    <x v="129"/>
    <x v="129"/>
    <x v="129"/>
    <x v="5"/>
    <x v="12"/>
    <x v="2"/>
    <x v="3"/>
    <x v="11"/>
    <x v="1"/>
    <m/>
    <s v="PD"/>
    <s v="0403"/>
    <s v="Tecnología con saberes"/>
    <s v="0403.PD.4.3.129.H"/>
    <s v="H"/>
    <s v="Innovación tecnológica para incrementar la productividad agropecuaria de productos nutritivos, considerando gestión de riesgos y el cambio climático"/>
    <s v="Infraestructura de Multicentros de producción agroecológica"/>
    <m/>
    <n v="50"/>
    <m/>
    <m/>
    <x v="0"/>
    <x v="1"/>
    <x v="2"/>
    <m/>
    <m/>
    <m/>
    <m/>
    <m/>
    <m/>
    <m/>
    <m/>
    <n v="50"/>
    <x v="1"/>
    <x v="1"/>
    <x v="1"/>
    <x v="0"/>
    <x v="0"/>
    <x v="0"/>
    <x v="1"/>
    <x v="0"/>
    <x v="0"/>
    <x v="0"/>
    <x v="1"/>
    <x v="1"/>
    <x v="1"/>
    <x v="1"/>
    <x v="129"/>
    <x v="4"/>
    <x v="3"/>
    <x v="3"/>
    <m/>
    <m/>
    <m/>
    <s v="0403129"/>
    <m/>
    <m/>
    <m/>
    <m/>
    <m/>
    <m/>
    <m/>
    <m/>
    <m/>
    <m/>
    <m/>
    <m/>
    <m/>
    <m/>
    <m/>
    <n v="0"/>
    <n v="0"/>
    <n v="5"/>
    <n v="0"/>
    <m/>
    <n v="0"/>
    <e v="#DIV/0!"/>
    <n v="0"/>
    <m/>
    <n v="0"/>
    <e v="#DIV/0!"/>
    <n v="0"/>
    <m/>
    <n v="0"/>
    <e v="#DIV/0!"/>
    <n v="0"/>
    <m/>
    <n v="0"/>
    <e v="#DIV/0!"/>
    <n v="0"/>
    <m/>
    <n v="0"/>
    <e v="#DIV/0!"/>
  </r>
  <r>
    <x v="3"/>
    <x v="3"/>
    <x v="3"/>
    <x v="21"/>
    <x v="0"/>
    <x v="130"/>
    <x v="130"/>
    <x v="130"/>
    <x v="130"/>
    <x v="130"/>
    <x v="4"/>
    <x v="12"/>
    <x v="0"/>
    <x v="0"/>
    <x v="8"/>
    <x v="1"/>
    <m/>
    <s v="RS"/>
    <s v="0404"/>
    <s v="Medicina ancestral y natural"/>
    <s v="0404.RS.4.4.130.A"/>
    <s v="A"/>
    <s v="Atención en salud con Medicina Tradicional Ancestral Boliviana"/>
    <s v="Acceso a terapias y productos naturales tradicionales a través del Sistema Nacional de Salud"/>
    <m/>
    <n v="33.333333333333336"/>
    <m/>
    <m/>
    <x v="0"/>
    <x v="1"/>
    <x v="2"/>
    <m/>
    <m/>
    <m/>
    <m/>
    <m/>
    <m/>
    <m/>
    <m/>
    <n v="33.333333333333336"/>
    <x v="0"/>
    <x v="0"/>
    <x v="1"/>
    <x v="0"/>
    <x v="1"/>
    <x v="0"/>
    <x v="0"/>
    <x v="0"/>
    <x v="0"/>
    <x v="0"/>
    <x v="1"/>
    <x v="1"/>
    <x v="1"/>
    <x v="1"/>
    <x v="130"/>
    <x v="4"/>
    <x v="3"/>
    <x v="3"/>
    <m/>
    <m/>
    <m/>
    <s v="0404130"/>
    <m/>
    <m/>
    <m/>
    <m/>
    <m/>
    <m/>
    <m/>
    <m/>
    <m/>
    <m/>
    <m/>
    <m/>
    <m/>
    <m/>
    <m/>
    <n v="0"/>
    <n v="0"/>
    <n v="5"/>
    <n v="0"/>
    <m/>
    <n v="0"/>
    <e v="#DIV/0!"/>
    <n v="0"/>
    <m/>
    <n v="0"/>
    <e v="#DIV/0!"/>
    <n v="0"/>
    <m/>
    <n v="0"/>
    <e v="#DIV/0!"/>
    <n v="0"/>
    <m/>
    <n v="0"/>
    <e v="#DIV/0!"/>
    <n v="0"/>
    <m/>
    <n v="0"/>
    <e v="#DIV/0!"/>
  </r>
  <r>
    <x v="3"/>
    <x v="3"/>
    <x v="3"/>
    <x v="21"/>
    <x v="1"/>
    <x v="131"/>
    <x v="131"/>
    <x v="131"/>
    <x v="131"/>
    <x v="131"/>
    <x v="4"/>
    <x v="12"/>
    <x v="1"/>
    <x v="0"/>
    <x v="8"/>
    <x v="1"/>
    <m/>
    <s v="PC"/>
    <s v="0404"/>
    <s v="Medicina ancestral y natural"/>
    <s v="0404.PC.4.4.131.A"/>
    <s v="A"/>
    <s v="Atención en salud con Medicina Tradicional Ancestral Boliviana"/>
    <s v="Registro de prestadores de medicina tradicional en el Ministerio de Salud"/>
    <m/>
    <n v="33.333333333333336"/>
    <m/>
    <m/>
    <x v="0"/>
    <x v="1"/>
    <x v="2"/>
    <m/>
    <m/>
    <m/>
    <m/>
    <m/>
    <m/>
    <m/>
    <m/>
    <n v="33.333333333333336"/>
    <x v="1"/>
    <x v="1"/>
    <x v="1"/>
    <x v="0"/>
    <x v="0"/>
    <x v="0"/>
    <x v="1"/>
    <x v="0"/>
    <x v="0"/>
    <x v="0"/>
    <x v="1"/>
    <x v="1"/>
    <x v="1"/>
    <x v="1"/>
    <x v="131"/>
    <x v="4"/>
    <x v="3"/>
    <x v="3"/>
    <m/>
    <m/>
    <m/>
    <s v="0404131"/>
    <m/>
    <m/>
    <m/>
    <m/>
    <m/>
    <m/>
    <m/>
    <m/>
    <m/>
    <m/>
    <m/>
    <m/>
    <m/>
    <m/>
    <m/>
    <n v="0"/>
    <n v="0"/>
    <n v="5"/>
    <n v="0"/>
    <m/>
    <n v="0"/>
    <e v="#DIV/0!"/>
    <n v="0"/>
    <m/>
    <n v="0"/>
    <e v="#DIV/0!"/>
    <n v="0"/>
    <m/>
    <n v="0"/>
    <e v="#DIV/0!"/>
    <n v="0"/>
    <m/>
    <n v="0"/>
    <e v="#DIV/0!"/>
    <n v="0"/>
    <m/>
    <n v="0"/>
    <e v="#DIV/0!"/>
  </r>
  <r>
    <x v="3"/>
    <x v="3"/>
    <x v="3"/>
    <x v="21"/>
    <x v="2"/>
    <x v="132"/>
    <x v="132"/>
    <x v="132"/>
    <x v="132"/>
    <x v="132"/>
    <x v="4"/>
    <x v="12"/>
    <x v="1"/>
    <x v="3"/>
    <x v="11"/>
    <x v="1"/>
    <m/>
    <s v="PC"/>
    <s v="0404"/>
    <s v="Medicina ancestral y natural"/>
    <s v="0404.PC.4.4.132.A"/>
    <s v="A"/>
    <s v="Atención en salud con Medicina Tradicional Ancestral Boliviana"/>
    <s v="Desarrollo de Productos naturales y de biodiversidad de famacopea boliviana"/>
    <m/>
    <n v="33.333333333333336"/>
    <m/>
    <m/>
    <x v="0"/>
    <x v="1"/>
    <x v="2"/>
    <m/>
    <m/>
    <m/>
    <m/>
    <m/>
    <m/>
    <m/>
    <m/>
    <n v="33.333333333333336"/>
    <x v="1"/>
    <x v="1"/>
    <x v="1"/>
    <x v="0"/>
    <x v="0"/>
    <x v="0"/>
    <x v="1"/>
    <x v="0"/>
    <x v="0"/>
    <x v="0"/>
    <x v="1"/>
    <x v="1"/>
    <x v="1"/>
    <x v="1"/>
    <x v="132"/>
    <x v="4"/>
    <x v="3"/>
    <x v="3"/>
    <m/>
    <m/>
    <m/>
    <s v="0404132"/>
    <m/>
    <m/>
    <m/>
    <m/>
    <m/>
    <m/>
    <m/>
    <m/>
    <m/>
    <m/>
    <m/>
    <m/>
    <m/>
    <m/>
    <m/>
    <n v="0"/>
    <n v="0"/>
    <n v="5"/>
    <n v="0"/>
    <m/>
    <n v="0"/>
    <e v="#DIV/0!"/>
    <n v="0"/>
    <m/>
    <n v="0"/>
    <e v="#DIV/0!"/>
    <n v="0"/>
    <m/>
    <n v="0"/>
    <e v="#DIV/0!"/>
    <n v="0"/>
    <m/>
    <n v="0"/>
    <e v="#DIV/0!"/>
    <n v="0"/>
    <m/>
    <n v="0"/>
    <e v="#DIV/0!"/>
  </r>
  <r>
    <x v="3"/>
    <x v="3"/>
    <x v="4"/>
    <x v="22"/>
    <x v="0"/>
    <x v="133"/>
    <x v="133"/>
    <x v="133"/>
    <x v="133"/>
    <x v="133"/>
    <x v="5"/>
    <x v="12"/>
    <x v="1"/>
    <x v="3"/>
    <x v="11"/>
    <x v="1"/>
    <m/>
    <s v="PC"/>
    <s v="0405"/>
    <s v="Formación y especialización profesional científica"/>
    <s v="0405.PC.4.5.133.A"/>
    <s v="A"/>
    <s v="Inversión en Investigación científica y Desarrollo de Tecnología"/>
    <s v="Inversión en investigación científica y desarrollo de tecnología por parte de Entidades y empresas vinculadas al sector productivo, agua, medio ambiente, telecomunicaciones, salud y otros"/>
    <m/>
    <n v="50"/>
    <m/>
    <m/>
    <x v="0"/>
    <x v="1"/>
    <x v="16"/>
    <m/>
    <m/>
    <m/>
    <m/>
    <m/>
    <m/>
    <m/>
    <m/>
    <n v="50"/>
    <x v="1"/>
    <x v="1"/>
    <x v="1"/>
    <x v="0"/>
    <x v="0"/>
    <x v="1"/>
    <x v="0"/>
    <x v="0"/>
    <x v="0"/>
    <x v="0"/>
    <x v="1"/>
    <x v="1"/>
    <x v="1"/>
    <x v="1"/>
    <x v="133"/>
    <x v="4"/>
    <x v="3"/>
    <x v="3"/>
    <m/>
    <m/>
    <m/>
    <s v="0405133"/>
    <m/>
    <m/>
    <m/>
    <m/>
    <m/>
    <m/>
    <m/>
    <m/>
    <m/>
    <m/>
    <m/>
    <m/>
    <m/>
    <m/>
    <m/>
    <n v="0"/>
    <n v="0"/>
    <n v="5"/>
    <n v="0"/>
    <m/>
    <n v="0"/>
    <e v="#DIV/0!"/>
    <n v="0"/>
    <m/>
    <n v="0"/>
    <e v="#DIV/0!"/>
    <n v="0"/>
    <m/>
    <n v="0"/>
    <e v="#DIV/0!"/>
    <n v="0"/>
    <m/>
    <n v="0"/>
    <e v="#DIV/0!"/>
    <n v="0"/>
    <m/>
    <n v="0"/>
    <e v="#DIV/0!"/>
  </r>
  <r>
    <x v="3"/>
    <x v="3"/>
    <x v="4"/>
    <x v="22"/>
    <x v="1"/>
    <x v="134"/>
    <x v="134"/>
    <x v="134"/>
    <x v="134"/>
    <x v="134"/>
    <x v="5"/>
    <x v="12"/>
    <x v="1"/>
    <x v="2"/>
    <x v="12"/>
    <x v="1"/>
    <m/>
    <s v="PC"/>
    <s v="0405"/>
    <s v="Formación y especialización profesional científica"/>
    <s v="0405.PC.4.5.134.A"/>
    <s v="A"/>
    <s v="Inversión en Investigación científica y Desarrollo de Tecnología"/>
    <s v="Inserción laboral de profesionales con alto grado de formación científica y tecnológica en empresas públicas y centros de innovación tecnológica"/>
    <s v="0405.PC.4.5.133.A"/>
    <n v="50"/>
    <m/>
    <m/>
    <x v="0"/>
    <x v="1"/>
    <x v="2"/>
    <m/>
    <m/>
    <m/>
    <m/>
    <m/>
    <m/>
    <m/>
    <m/>
    <n v="50"/>
    <x v="1"/>
    <x v="1"/>
    <x v="1"/>
    <x v="0"/>
    <x v="0"/>
    <x v="0"/>
    <x v="1"/>
    <x v="0"/>
    <x v="0"/>
    <x v="0"/>
    <x v="1"/>
    <x v="1"/>
    <x v="1"/>
    <x v="1"/>
    <x v="134"/>
    <x v="4"/>
    <x v="3"/>
    <x v="3"/>
    <m/>
    <m/>
    <m/>
    <s v="0405134"/>
    <m/>
    <m/>
    <m/>
    <m/>
    <m/>
    <m/>
    <m/>
    <m/>
    <m/>
    <m/>
    <m/>
    <m/>
    <m/>
    <m/>
    <m/>
    <n v="0"/>
    <n v="0"/>
    <n v="5"/>
    <n v="0"/>
    <m/>
    <n v="0"/>
    <e v="#DIV/0!"/>
    <n v="0"/>
    <m/>
    <n v="0"/>
    <e v="#DIV/0!"/>
    <n v="0"/>
    <m/>
    <n v="0"/>
    <e v="#DIV/0!"/>
    <n v="0"/>
    <m/>
    <n v="0"/>
    <e v="#DIV/0!"/>
    <n v="0"/>
    <m/>
    <n v="0"/>
    <e v="#DIV/0!"/>
  </r>
  <r>
    <x v="4"/>
    <x v="4"/>
    <x v="0"/>
    <x v="23"/>
    <x v="0"/>
    <x v="135"/>
    <x v="135"/>
    <x v="135"/>
    <x v="135"/>
    <x v="135"/>
    <x v="6"/>
    <x v="13"/>
    <x v="1"/>
    <x v="2"/>
    <x v="4"/>
    <x v="1"/>
    <m/>
    <s v="PC"/>
    <s v="0501"/>
    <s v="Independencia financiera externa"/>
    <s v="0501.PC.5.1.135.A"/>
    <s v="A"/>
    <s v="Gestión soberana en la formulación de políticas macroeconómicas para el crecimiento económico sostenible"/>
    <m/>
    <m/>
    <n v="100"/>
    <m/>
    <m/>
    <x v="0"/>
    <x v="1"/>
    <x v="2"/>
    <m/>
    <m/>
    <m/>
    <m/>
    <m/>
    <m/>
    <m/>
    <m/>
    <n v="33.333333333333336"/>
    <x v="1"/>
    <x v="1"/>
    <x v="1"/>
    <x v="0"/>
    <x v="0"/>
    <x v="1"/>
    <x v="0"/>
    <x v="0"/>
    <x v="0"/>
    <x v="0"/>
    <x v="1"/>
    <x v="1"/>
    <x v="1"/>
    <x v="1"/>
    <x v="135"/>
    <x v="4"/>
    <x v="3"/>
    <x v="3"/>
    <m/>
    <m/>
    <m/>
    <s v="0501135"/>
    <m/>
    <m/>
    <m/>
    <m/>
    <m/>
    <m/>
    <m/>
    <m/>
    <m/>
    <m/>
    <m/>
    <m/>
    <m/>
    <m/>
    <m/>
    <n v="0"/>
    <n v="0"/>
    <n v="5"/>
    <n v="0"/>
    <m/>
    <n v="0"/>
    <e v="#DIV/0!"/>
    <n v="0"/>
    <m/>
    <n v="0"/>
    <e v="#DIV/0!"/>
    <n v="0"/>
    <m/>
    <n v="0"/>
    <e v="#DIV/0!"/>
    <n v="0"/>
    <m/>
    <n v="0"/>
    <e v="#DIV/0!"/>
    <n v="0"/>
    <m/>
    <n v="0"/>
    <e v="#DIV/0!"/>
  </r>
  <r>
    <x v="4"/>
    <x v="4"/>
    <x v="0"/>
    <x v="23"/>
    <x v="1"/>
    <x v="136"/>
    <x v="136"/>
    <x v="136"/>
    <x v="136"/>
    <x v="136"/>
    <x v="6"/>
    <x v="13"/>
    <x v="1"/>
    <x v="2"/>
    <x v="4"/>
    <x v="1"/>
    <m/>
    <s v="PC"/>
    <s v="0501"/>
    <s v="Independencia financiera externa"/>
    <s v="0501.PC.5.1.136.B"/>
    <s v="B"/>
    <s v="Gestión prudente de la Deuda Pública que garantice fuentes de financiamiento sostenible y solvencia en el pago de la deuda pública"/>
    <m/>
    <m/>
    <n v="100"/>
    <m/>
    <m/>
    <x v="0"/>
    <x v="1"/>
    <x v="2"/>
    <m/>
    <m/>
    <m/>
    <m/>
    <m/>
    <m/>
    <m/>
    <m/>
    <n v="33.333333333333336"/>
    <x v="1"/>
    <x v="1"/>
    <x v="1"/>
    <x v="0"/>
    <x v="0"/>
    <x v="1"/>
    <x v="0"/>
    <x v="0"/>
    <x v="0"/>
    <x v="0"/>
    <x v="1"/>
    <x v="1"/>
    <x v="1"/>
    <x v="1"/>
    <x v="136"/>
    <x v="4"/>
    <x v="3"/>
    <x v="3"/>
    <m/>
    <m/>
    <m/>
    <s v="0501136"/>
    <m/>
    <m/>
    <m/>
    <m/>
    <m/>
    <m/>
    <m/>
    <m/>
    <m/>
    <m/>
    <m/>
    <m/>
    <m/>
    <m/>
    <m/>
    <n v="0"/>
    <n v="0"/>
    <n v="5"/>
    <n v="0"/>
    <m/>
    <n v="0"/>
    <e v="#DIV/0!"/>
    <n v="0"/>
    <m/>
    <n v="0"/>
    <e v="#DIV/0!"/>
    <n v="0"/>
    <m/>
    <n v="0"/>
    <e v="#DIV/0!"/>
    <n v="0"/>
    <m/>
    <n v="0"/>
    <e v="#DIV/0!"/>
    <n v="0"/>
    <m/>
    <n v="0"/>
    <e v="#DIV/0!"/>
  </r>
  <r>
    <x v="4"/>
    <x v="4"/>
    <x v="0"/>
    <x v="23"/>
    <x v="2"/>
    <x v="137"/>
    <x v="137"/>
    <x v="137"/>
    <x v="137"/>
    <x v="137"/>
    <x v="6"/>
    <x v="13"/>
    <x v="1"/>
    <x v="2"/>
    <x v="4"/>
    <x v="1"/>
    <m/>
    <s v="PC"/>
    <s v="0501"/>
    <s v="Independencia financiera externa"/>
    <s v="0501.PC.5.1.137.C"/>
    <s v="C"/>
    <s v="Acceso a Fuentes alternativas de financiamiento externo ventajosas"/>
    <m/>
    <s v="0501.PC.5.1.136.B"/>
    <n v="100"/>
    <m/>
    <m/>
    <x v="0"/>
    <x v="1"/>
    <x v="2"/>
    <m/>
    <m/>
    <m/>
    <m/>
    <m/>
    <m/>
    <m/>
    <m/>
    <n v="33.333333333333336"/>
    <x v="1"/>
    <x v="1"/>
    <x v="1"/>
    <x v="0"/>
    <x v="0"/>
    <x v="1"/>
    <x v="0"/>
    <x v="0"/>
    <x v="0"/>
    <x v="0"/>
    <x v="1"/>
    <x v="1"/>
    <x v="1"/>
    <x v="1"/>
    <x v="137"/>
    <x v="4"/>
    <x v="3"/>
    <x v="3"/>
    <m/>
    <m/>
    <m/>
    <s v="0501137"/>
    <m/>
    <m/>
    <m/>
    <m/>
    <m/>
    <m/>
    <m/>
    <m/>
    <m/>
    <m/>
    <m/>
    <m/>
    <m/>
    <m/>
    <m/>
    <n v="0"/>
    <n v="0"/>
    <n v="5"/>
    <n v="0"/>
    <m/>
    <n v="0"/>
    <e v="#DIV/0!"/>
    <n v="0"/>
    <m/>
    <n v="0"/>
    <e v="#DIV/0!"/>
    <n v="0"/>
    <m/>
    <n v="0"/>
    <e v="#DIV/0!"/>
    <n v="0"/>
    <m/>
    <n v="0"/>
    <e v="#DIV/0!"/>
    <n v="0"/>
    <m/>
    <n v="0"/>
    <e v="#DIV/0!"/>
  </r>
  <r>
    <x v="4"/>
    <x v="4"/>
    <x v="1"/>
    <x v="24"/>
    <x v="0"/>
    <x v="138"/>
    <x v="138"/>
    <x v="138"/>
    <x v="138"/>
    <x v="138"/>
    <x v="6"/>
    <x v="14"/>
    <x v="0"/>
    <x v="0"/>
    <x v="2"/>
    <x v="1"/>
    <m/>
    <s v="RS"/>
    <s v="0502"/>
    <s v="Sistema financiero para el desarrollo integral"/>
    <s v="0502.RS.5.2.138.A"/>
    <s v="A"/>
    <s v="Profundización financiera en sectores productivos y sociales"/>
    <s v="Cartera está destinada a los sectores productivos y vivienda de interés social (Banca Múltiple). _x000a_• Cartera destinada a micro, pequeñas y medianas empresas del sector productivo (Banca PyME). _x000a_• Cartera destinada a Vivienda (Entidades Financieras de Vivienda). _x000a_• Cobertura de municipios cubiertos con atención de servicios financieros."/>
    <m/>
    <n v="100"/>
    <m/>
    <m/>
    <x v="0"/>
    <x v="1"/>
    <x v="16"/>
    <m/>
    <m/>
    <m/>
    <m/>
    <m/>
    <m/>
    <m/>
    <m/>
    <n v="100"/>
    <x v="0"/>
    <x v="0"/>
    <x v="0"/>
    <x v="0"/>
    <x v="0"/>
    <x v="0"/>
    <x v="0"/>
    <x v="0"/>
    <x v="0"/>
    <x v="0"/>
    <x v="0"/>
    <x v="0"/>
    <x v="0"/>
    <x v="1"/>
    <x v="138"/>
    <x v="4"/>
    <x v="3"/>
    <x v="3"/>
    <m/>
    <m/>
    <m/>
    <s v="0502138"/>
    <m/>
    <m/>
    <m/>
    <m/>
    <m/>
    <m/>
    <m/>
    <m/>
    <m/>
    <m/>
    <m/>
    <m/>
    <m/>
    <m/>
    <m/>
    <n v="0"/>
    <n v="0"/>
    <n v="5"/>
    <n v="0"/>
    <m/>
    <n v="0"/>
    <e v="#DIV/0!"/>
    <n v="0"/>
    <m/>
    <n v="0"/>
    <e v="#DIV/0!"/>
    <n v="0"/>
    <m/>
    <n v="0"/>
    <e v="#DIV/0!"/>
    <n v="0"/>
    <m/>
    <n v="0"/>
    <e v="#DIV/0!"/>
    <n v="0"/>
    <m/>
    <n v="0"/>
    <e v="#DIV/0!"/>
  </r>
  <r>
    <x v="4"/>
    <x v="4"/>
    <x v="2"/>
    <x v="25"/>
    <x v="0"/>
    <x v="139"/>
    <x v="139"/>
    <x v="139"/>
    <x v="139"/>
    <x v="139"/>
    <x v="6"/>
    <x v="15"/>
    <x v="0"/>
    <x v="3"/>
    <x v="14"/>
    <x v="1"/>
    <m/>
    <s v="RS"/>
    <s v="0503"/>
    <s v="Inversión Extranjera Social"/>
    <s v="0503.RS.5.3.139.B"/>
    <s v="B"/>
    <s v="Diversificación de la Metriz productiva a través de la Inversión Extranjera Directa para generar valor productivo"/>
    <s v="Diversificación de Complejos Productivos Industriales de servicios y Turismo"/>
    <m/>
    <n v="100"/>
    <m/>
    <m/>
    <x v="1"/>
    <x v="1"/>
    <x v="2"/>
    <m/>
    <m/>
    <m/>
    <m/>
    <m/>
    <m/>
    <m/>
    <m/>
    <n v="50"/>
    <x v="0"/>
    <x v="0"/>
    <x v="1"/>
    <x v="0"/>
    <x v="1"/>
    <x v="0"/>
    <x v="0"/>
    <x v="0"/>
    <x v="0"/>
    <x v="0"/>
    <x v="1"/>
    <x v="1"/>
    <x v="0"/>
    <x v="1"/>
    <x v="139"/>
    <x v="4"/>
    <x v="3"/>
    <x v="3"/>
    <m/>
    <m/>
    <m/>
    <s v="0503139"/>
    <m/>
    <m/>
    <m/>
    <m/>
    <m/>
    <m/>
    <m/>
    <m/>
    <m/>
    <m/>
    <m/>
    <m/>
    <m/>
    <m/>
    <m/>
    <n v="0"/>
    <n v="0"/>
    <n v="5"/>
    <n v="0"/>
    <m/>
    <n v="0"/>
    <e v="#DIV/0!"/>
    <n v="0"/>
    <m/>
    <n v="0"/>
    <e v="#DIV/0!"/>
    <n v="0"/>
    <m/>
    <n v="0"/>
    <e v="#DIV/0!"/>
    <n v="0"/>
    <m/>
    <n v="0"/>
    <e v="#DIV/0!"/>
    <n v="0"/>
    <m/>
    <n v="0"/>
    <e v="#DIV/0!"/>
  </r>
  <r>
    <x v="4"/>
    <x v="4"/>
    <x v="2"/>
    <x v="25"/>
    <x v="1"/>
    <x v="140"/>
    <x v="140"/>
    <x v="140"/>
    <x v="140"/>
    <x v="140"/>
    <x v="6"/>
    <x v="15"/>
    <x v="0"/>
    <x v="3"/>
    <x v="14"/>
    <x v="0"/>
    <m/>
    <s v="RS"/>
    <s v="0503"/>
    <s v="Inversión Extranjera Social"/>
    <s v="0503.RS.5.3.140.C"/>
    <s v="C"/>
    <s v="Incremento del Nivel de la Inversión Extranjera Directa en relación al PIB"/>
    <m/>
    <m/>
    <n v="100"/>
    <m/>
    <m/>
    <x v="0"/>
    <x v="0"/>
    <x v="2"/>
    <m/>
    <m/>
    <m/>
    <m/>
    <m/>
    <m/>
    <m/>
    <m/>
    <n v="50"/>
    <x v="0"/>
    <x v="0"/>
    <x v="0"/>
    <x v="0"/>
    <x v="0"/>
    <x v="0"/>
    <x v="0"/>
    <x v="0"/>
    <x v="0"/>
    <x v="0"/>
    <x v="0"/>
    <x v="0"/>
    <x v="1"/>
    <x v="1"/>
    <x v="140"/>
    <x v="4"/>
    <x v="3"/>
    <x v="3"/>
    <m/>
    <m/>
    <m/>
    <s v="0503140"/>
    <m/>
    <m/>
    <m/>
    <m/>
    <m/>
    <m/>
    <m/>
    <m/>
    <m/>
    <m/>
    <m/>
    <m/>
    <m/>
    <m/>
    <m/>
    <n v="0"/>
    <n v="0"/>
    <n v="5"/>
    <n v="0"/>
    <m/>
    <n v="0"/>
    <e v="#DIV/0!"/>
    <n v="0"/>
    <m/>
    <n v="0"/>
    <e v="#DIV/0!"/>
    <n v="0"/>
    <m/>
    <n v="0"/>
    <e v="#DIV/0!"/>
    <n v="0"/>
    <m/>
    <n v="0"/>
    <e v="#DIV/0!"/>
    <n v="0"/>
    <m/>
    <n v="0"/>
    <e v="#DIV/0!"/>
  </r>
  <r>
    <x v="4"/>
    <x v="4"/>
    <x v="3"/>
    <x v="26"/>
    <x v="0"/>
    <x v="141"/>
    <x v="141"/>
    <x v="141"/>
    <x v="141"/>
    <x v="141"/>
    <x v="6"/>
    <x v="16"/>
    <x v="0"/>
    <x v="3"/>
    <x v="15"/>
    <x v="0"/>
    <m/>
    <s v="RS"/>
    <s v="0504"/>
    <s v="Triplicar las Reservas Financieras Internacionales."/>
    <s v="0504.RS.5.4.141.A"/>
    <s v="A"/>
    <s v="Incremento de las Reservas Financieras Internacionales en relación al PIB para atender a la demanda regular de divisas con solvencia"/>
    <m/>
    <m/>
    <n v="100"/>
    <m/>
    <m/>
    <x v="0"/>
    <x v="0"/>
    <x v="2"/>
    <m/>
    <m/>
    <m/>
    <m/>
    <m/>
    <m/>
    <m/>
    <m/>
    <n v="100"/>
    <x v="0"/>
    <x v="0"/>
    <x v="0"/>
    <x v="0"/>
    <x v="0"/>
    <x v="0"/>
    <x v="0"/>
    <x v="0"/>
    <x v="0"/>
    <x v="0"/>
    <x v="0"/>
    <x v="0"/>
    <x v="1"/>
    <x v="1"/>
    <x v="141"/>
    <x v="4"/>
    <x v="3"/>
    <x v="3"/>
    <m/>
    <m/>
    <m/>
    <s v="0504141"/>
    <m/>
    <m/>
    <m/>
    <m/>
    <m/>
    <m/>
    <m/>
    <m/>
    <m/>
    <m/>
    <m/>
    <m/>
    <m/>
    <m/>
    <m/>
    <n v="0"/>
    <n v="0"/>
    <n v="5"/>
    <n v="0"/>
    <m/>
    <n v="0"/>
    <e v="#DIV/0!"/>
    <n v="0"/>
    <m/>
    <n v="0"/>
    <e v="#DIV/0!"/>
    <n v="0"/>
    <m/>
    <n v="0"/>
    <e v="#DIV/0!"/>
    <n v="0"/>
    <m/>
    <n v="0"/>
    <e v="#DIV/0!"/>
    <n v="0"/>
    <m/>
    <n v="0"/>
    <e v="#DIV/0!"/>
  </r>
  <r>
    <x v="4"/>
    <x v="4"/>
    <x v="4"/>
    <x v="27"/>
    <x v="0"/>
    <x v="142"/>
    <x v="142"/>
    <x v="142"/>
    <x v="142"/>
    <x v="142"/>
    <x v="6"/>
    <x v="17"/>
    <x v="0"/>
    <x v="3"/>
    <x v="16"/>
    <x v="0"/>
    <n v="1"/>
    <s v="RS"/>
    <s v="0505"/>
    <s v="Mercados justos"/>
    <s v="0505.RS.5.5.142.B"/>
    <s v="B"/>
    <s v="Incremento de la Producción Nacional en el Mercado Interno"/>
    <s v="Participación de Producción Nacional en el Mercado Interno_x000a_Masificación de la distribución de alimentos estratégicos con calidad, peso y precio justo."/>
    <m/>
    <n v="100"/>
    <m/>
    <m/>
    <x v="0"/>
    <x v="0"/>
    <x v="2"/>
    <m/>
    <m/>
    <m/>
    <m/>
    <m/>
    <m/>
    <m/>
    <m/>
    <n v="25"/>
    <x v="0"/>
    <x v="0"/>
    <x v="0"/>
    <x v="0"/>
    <x v="0"/>
    <x v="0"/>
    <x v="0"/>
    <x v="0"/>
    <x v="0"/>
    <x v="0"/>
    <x v="1"/>
    <x v="1"/>
    <x v="0"/>
    <x v="1"/>
    <x v="142"/>
    <x v="4"/>
    <x v="3"/>
    <x v="3"/>
    <m/>
    <m/>
    <m/>
    <s v="0505142"/>
    <m/>
    <m/>
    <m/>
    <m/>
    <m/>
    <m/>
    <m/>
    <m/>
    <m/>
    <m/>
    <m/>
    <m/>
    <m/>
    <m/>
    <m/>
    <n v="0"/>
    <n v="0"/>
    <n v="5"/>
    <n v="0"/>
    <m/>
    <n v="0"/>
    <e v="#DIV/0!"/>
    <n v="0"/>
    <m/>
    <n v="0"/>
    <e v="#DIV/0!"/>
    <n v="0"/>
    <m/>
    <n v="0"/>
    <e v="#DIV/0!"/>
    <n v="0"/>
    <m/>
    <n v="0"/>
    <e v="#DIV/0!"/>
    <n v="0"/>
    <m/>
    <n v="0"/>
    <e v="#DIV/0!"/>
  </r>
  <r>
    <x v="4"/>
    <x v="4"/>
    <x v="4"/>
    <x v="27"/>
    <x v="1"/>
    <x v="143"/>
    <x v="143"/>
    <x v="143"/>
    <x v="143"/>
    <x v="143"/>
    <x v="6"/>
    <x v="17"/>
    <x v="2"/>
    <x v="3"/>
    <x v="16"/>
    <x v="1"/>
    <m/>
    <s v="PD"/>
    <s v="0505"/>
    <s v="Mercados justos"/>
    <s v="0505.PD.5.5.143.C"/>
    <s v="C"/>
    <s v="Infraestructura y Equipamiento de Centros de Abastecimiento"/>
    <s v="Reforzamiento, mejora y ampliación de infraestructura de centros de abasto"/>
    <m/>
    <n v="100"/>
    <m/>
    <m/>
    <x v="0"/>
    <x v="1"/>
    <x v="2"/>
    <m/>
    <m/>
    <m/>
    <m/>
    <m/>
    <m/>
    <m/>
    <m/>
    <n v="25"/>
    <x v="1"/>
    <x v="1"/>
    <x v="1"/>
    <x v="0"/>
    <x v="0"/>
    <x v="0"/>
    <x v="1"/>
    <x v="0"/>
    <x v="0"/>
    <x v="0"/>
    <x v="1"/>
    <x v="1"/>
    <x v="1"/>
    <x v="1"/>
    <x v="143"/>
    <x v="4"/>
    <x v="3"/>
    <x v="3"/>
    <m/>
    <m/>
    <m/>
    <s v="0505143"/>
    <m/>
    <m/>
    <m/>
    <m/>
    <m/>
    <m/>
    <m/>
    <m/>
    <m/>
    <m/>
    <m/>
    <m/>
    <m/>
    <m/>
    <m/>
    <n v="0"/>
    <n v="0"/>
    <n v="5"/>
    <n v="0"/>
    <m/>
    <n v="0"/>
    <e v="#DIV/0!"/>
    <n v="0"/>
    <m/>
    <n v="0"/>
    <e v="#DIV/0!"/>
    <n v="0"/>
    <m/>
    <n v="0"/>
    <e v="#DIV/0!"/>
    <n v="0"/>
    <m/>
    <n v="0"/>
    <e v="#DIV/0!"/>
    <n v="0"/>
    <m/>
    <n v="0"/>
    <e v="#DIV/0!"/>
  </r>
  <r>
    <x v="4"/>
    <x v="4"/>
    <x v="4"/>
    <x v="27"/>
    <x v="2"/>
    <x v="144"/>
    <x v="144"/>
    <x v="144"/>
    <x v="144"/>
    <x v="144"/>
    <x v="6"/>
    <x v="17"/>
    <x v="2"/>
    <x v="3"/>
    <x v="16"/>
    <x v="1"/>
    <m/>
    <s v="PD"/>
    <s v="0505"/>
    <s v="Mercados justos"/>
    <s v="0505.PD.5.5.144.D"/>
    <s v="D"/>
    <s v="Fomento de comercialización de productos ecológicos y orgánicos"/>
    <s v="Sello social boliviano_x000a_Sello ecológico boliviano"/>
    <m/>
    <n v="100"/>
    <m/>
    <m/>
    <x v="0"/>
    <x v="1"/>
    <x v="2"/>
    <m/>
    <m/>
    <m/>
    <m/>
    <m/>
    <m/>
    <m/>
    <m/>
    <n v="25"/>
    <x v="1"/>
    <x v="1"/>
    <x v="1"/>
    <x v="0"/>
    <x v="0"/>
    <x v="0"/>
    <x v="1"/>
    <x v="0"/>
    <x v="0"/>
    <x v="0"/>
    <x v="1"/>
    <x v="1"/>
    <x v="1"/>
    <x v="1"/>
    <x v="144"/>
    <x v="4"/>
    <x v="3"/>
    <x v="3"/>
    <m/>
    <m/>
    <m/>
    <s v="0505144"/>
    <m/>
    <m/>
    <m/>
    <m/>
    <m/>
    <m/>
    <m/>
    <m/>
    <m/>
    <m/>
    <m/>
    <m/>
    <m/>
    <m/>
    <m/>
    <n v="0"/>
    <n v="0"/>
    <n v="5"/>
    <n v="0"/>
    <m/>
    <n v="0"/>
    <e v="#DIV/0!"/>
    <n v="0"/>
    <m/>
    <n v="0"/>
    <e v="#DIV/0!"/>
    <n v="0"/>
    <m/>
    <n v="0"/>
    <e v="#DIV/0!"/>
    <n v="0"/>
    <m/>
    <n v="0"/>
    <e v="#DIV/0!"/>
    <n v="0"/>
    <m/>
    <n v="0"/>
    <e v="#DIV/0!"/>
  </r>
  <r>
    <x v="4"/>
    <x v="4"/>
    <x v="4"/>
    <x v="27"/>
    <x v="3"/>
    <x v="145"/>
    <x v="145"/>
    <x v="145"/>
    <x v="145"/>
    <x v="145"/>
    <x v="6"/>
    <x v="17"/>
    <x v="1"/>
    <x v="3"/>
    <x v="16"/>
    <x v="1"/>
    <m/>
    <s v="PC"/>
    <s v="0505"/>
    <s v="Mercados justos"/>
    <s v="0505.PC.5.5.145.E"/>
    <s v="E"/>
    <s v="Defensa de los Derechos del Usuario y Consumidor"/>
    <s v="Centros de Defensa de los Derechos del Usuario y Consumidor"/>
    <m/>
    <n v="100"/>
    <m/>
    <m/>
    <x v="0"/>
    <x v="1"/>
    <x v="2"/>
    <m/>
    <m/>
    <m/>
    <m/>
    <m/>
    <m/>
    <m/>
    <m/>
    <n v="25"/>
    <x v="1"/>
    <x v="1"/>
    <x v="1"/>
    <x v="0"/>
    <x v="0"/>
    <x v="0"/>
    <x v="1"/>
    <x v="0"/>
    <x v="0"/>
    <x v="0"/>
    <x v="1"/>
    <x v="1"/>
    <x v="1"/>
    <x v="1"/>
    <x v="145"/>
    <x v="4"/>
    <x v="3"/>
    <x v="3"/>
    <m/>
    <m/>
    <m/>
    <s v="0505145"/>
    <m/>
    <m/>
    <m/>
    <m/>
    <m/>
    <m/>
    <m/>
    <m/>
    <m/>
    <m/>
    <m/>
    <m/>
    <m/>
    <m/>
    <m/>
    <n v="0"/>
    <n v="0"/>
    <n v="5"/>
    <n v="0"/>
    <m/>
    <n v="0"/>
    <e v="#DIV/0!"/>
    <n v="0"/>
    <m/>
    <n v="0"/>
    <e v="#DIV/0!"/>
    <n v="0"/>
    <m/>
    <n v="0"/>
    <e v="#DIV/0!"/>
    <n v="0"/>
    <m/>
    <n v="0"/>
    <e v="#DIV/0!"/>
    <n v="0"/>
    <m/>
    <n v="0"/>
    <e v="#DIV/0!"/>
  </r>
  <r>
    <x v="5"/>
    <x v="5"/>
    <x v="0"/>
    <x v="28"/>
    <x v="0"/>
    <x v="146"/>
    <x v="146"/>
    <x v="146"/>
    <x v="146"/>
    <x v="146"/>
    <x v="7"/>
    <x v="18"/>
    <x v="2"/>
    <x v="3"/>
    <x v="13"/>
    <x v="1"/>
    <m/>
    <s v="PD"/>
    <s v="0601"/>
    <s v="Consolidación del sector hidrocarburífero, minero y otros"/>
    <s v="0601.PD.6.1.146."/>
    <m/>
    <m/>
    <m/>
    <m/>
    <e v="#DIV/0!"/>
    <m/>
    <m/>
    <x v="0"/>
    <x v="1"/>
    <x v="2"/>
    <m/>
    <m/>
    <m/>
    <m/>
    <m/>
    <m/>
    <m/>
    <m/>
    <n v="50"/>
    <x v="1"/>
    <x v="1"/>
    <x v="1"/>
    <x v="0"/>
    <x v="0"/>
    <x v="0"/>
    <x v="1"/>
    <x v="0"/>
    <x v="0"/>
    <x v="0"/>
    <x v="1"/>
    <x v="1"/>
    <x v="1"/>
    <x v="1"/>
    <x v="146"/>
    <x v="4"/>
    <x v="3"/>
    <x v="3"/>
    <m/>
    <m/>
    <m/>
    <s v="0601146"/>
    <m/>
    <m/>
    <m/>
    <m/>
    <m/>
    <m/>
    <m/>
    <m/>
    <m/>
    <m/>
    <m/>
    <m/>
    <m/>
    <m/>
    <m/>
    <n v="0"/>
    <n v="0"/>
    <n v="5"/>
    <n v="0"/>
    <m/>
    <n v="0"/>
    <e v="#DIV/0!"/>
    <n v="0"/>
    <m/>
    <n v="0"/>
    <e v="#DIV/0!"/>
    <n v="0"/>
    <m/>
    <n v="0"/>
    <e v="#DIV/0!"/>
    <n v="0"/>
    <m/>
    <n v="0"/>
    <e v="#DIV/0!"/>
    <n v="0"/>
    <m/>
    <n v="0"/>
    <e v="#DIV/0!"/>
  </r>
  <r>
    <x v="5"/>
    <x v="5"/>
    <x v="0"/>
    <x v="28"/>
    <x v="1"/>
    <x v="147"/>
    <x v="147"/>
    <x v="147"/>
    <x v="147"/>
    <x v="147"/>
    <x v="7"/>
    <x v="18"/>
    <x v="1"/>
    <x v="3"/>
    <x v="13"/>
    <x v="1"/>
    <m/>
    <s v="PC"/>
    <s v="0601"/>
    <s v="Consolidación del sector hidrocarburífero, minero y otros"/>
    <s v="0601.PC.6.1.147."/>
    <m/>
    <m/>
    <m/>
    <m/>
    <e v="#DIV/0!"/>
    <m/>
    <m/>
    <x v="0"/>
    <x v="1"/>
    <x v="2"/>
    <m/>
    <m/>
    <m/>
    <m/>
    <m/>
    <m/>
    <m/>
    <m/>
    <n v="50"/>
    <x v="1"/>
    <x v="1"/>
    <x v="1"/>
    <x v="0"/>
    <x v="0"/>
    <x v="1"/>
    <x v="0"/>
    <x v="0"/>
    <x v="0"/>
    <x v="0"/>
    <x v="1"/>
    <x v="1"/>
    <x v="1"/>
    <x v="1"/>
    <x v="147"/>
    <x v="4"/>
    <x v="3"/>
    <x v="3"/>
    <m/>
    <m/>
    <m/>
    <s v="0601147"/>
    <m/>
    <m/>
    <m/>
    <m/>
    <m/>
    <m/>
    <m/>
    <m/>
    <m/>
    <m/>
    <m/>
    <m/>
    <m/>
    <m/>
    <m/>
    <n v="0"/>
    <n v="0"/>
    <n v="5"/>
    <n v="0"/>
    <m/>
    <n v="0"/>
    <e v="#DIV/0!"/>
    <n v="0"/>
    <m/>
    <n v="0"/>
    <e v="#DIV/0!"/>
    <n v="0"/>
    <m/>
    <n v="0"/>
    <e v="#DIV/0!"/>
    <n v="0"/>
    <m/>
    <n v="0"/>
    <e v="#DIV/0!"/>
    <n v="0"/>
    <m/>
    <n v="0"/>
    <e v="#DIV/0!"/>
  </r>
  <r>
    <x v="5"/>
    <x v="5"/>
    <x v="1"/>
    <x v="29"/>
    <x v="0"/>
    <x v="148"/>
    <x v="148"/>
    <x v="148"/>
    <x v="148"/>
    <x v="148"/>
    <x v="7"/>
    <x v="19"/>
    <x v="0"/>
    <x v="3"/>
    <x v="13"/>
    <x v="0"/>
    <n v="1"/>
    <s v="RS"/>
    <s v="0602"/>
    <s v="País productor, transformador y exportador “Complejos productivos” y Turismo."/>
    <s v="0602.RS.6.2.148."/>
    <m/>
    <m/>
    <m/>
    <m/>
    <e v="#DIV/0!"/>
    <m/>
    <m/>
    <x v="0"/>
    <x v="0"/>
    <x v="17"/>
    <m/>
    <m/>
    <m/>
    <m/>
    <m/>
    <m/>
    <m/>
    <m/>
    <n v="14.285714285714286"/>
    <x v="0"/>
    <x v="0"/>
    <x v="0"/>
    <x v="0"/>
    <x v="0"/>
    <x v="0"/>
    <x v="0"/>
    <x v="0"/>
    <x v="0"/>
    <x v="0"/>
    <x v="0"/>
    <x v="0"/>
    <x v="0"/>
    <x v="1"/>
    <x v="148"/>
    <x v="4"/>
    <x v="3"/>
    <x v="3"/>
    <m/>
    <m/>
    <m/>
    <s v="0602148"/>
    <m/>
    <m/>
    <m/>
    <m/>
    <m/>
    <m/>
    <m/>
    <m/>
    <m/>
    <m/>
    <m/>
    <m/>
    <m/>
    <m/>
    <m/>
    <n v="0"/>
    <n v="0"/>
    <n v="5"/>
    <n v="0"/>
    <m/>
    <n v="0"/>
    <e v="#DIV/0!"/>
    <n v="0"/>
    <m/>
    <n v="0"/>
    <e v="#DIV/0!"/>
    <n v="0"/>
    <m/>
    <n v="0"/>
    <e v="#DIV/0!"/>
    <n v="0"/>
    <m/>
    <n v="0"/>
    <e v="#DIV/0!"/>
    <n v="0"/>
    <m/>
    <n v="0"/>
    <e v="#DIV/0!"/>
  </r>
  <r>
    <x v="5"/>
    <x v="5"/>
    <x v="1"/>
    <x v="29"/>
    <x v="1"/>
    <x v="149"/>
    <x v="149"/>
    <x v="149"/>
    <x v="149"/>
    <x v="149"/>
    <x v="7"/>
    <x v="19"/>
    <x v="0"/>
    <x v="3"/>
    <x v="13"/>
    <x v="0"/>
    <n v="1"/>
    <s v="RS"/>
    <s v="0602"/>
    <s v="País productor, transformador y exportador “Complejos productivos” y Turismo."/>
    <s v="0602.RS.6.2.149."/>
    <m/>
    <m/>
    <m/>
    <m/>
    <e v="#DIV/0!"/>
    <m/>
    <m/>
    <x v="0"/>
    <x v="1"/>
    <x v="14"/>
    <m/>
    <m/>
    <m/>
    <m/>
    <m/>
    <m/>
    <m/>
    <m/>
    <n v="14.285714285714286"/>
    <x v="0"/>
    <x v="0"/>
    <x v="0"/>
    <x v="0"/>
    <x v="0"/>
    <x v="0"/>
    <x v="0"/>
    <x v="0"/>
    <x v="0"/>
    <x v="0"/>
    <x v="0"/>
    <x v="0"/>
    <x v="0"/>
    <x v="1"/>
    <x v="149"/>
    <x v="4"/>
    <x v="3"/>
    <x v="3"/>
    <m/>
    <m/>
    <m/>
    <s v="0602149"/>
    <m/>
    <m/>
    <m/>
    <m/>
    <m/>
    <m/>
    <m/>
    <m/>
    <m/>
    <m/>
    <m/>
    <m/>
    <m/>
    <m/>
    <m/>
    <n v="0"/>
    <n v="0"/>
    <n v="5"/>
    <n v="0"/>
    <m/>
    <n v="0"/>
    <e v="#DIV/0!"/>
    <n v="0"/>
    <m/>
    <n v="0"/>
    <e v="#DIV/0!"/>
    <n v="0"/>
    <m/>
    <n v="0"/>
    <e v="#DIV/0!"/>
    <n v="0"/>
    <m/>
    <n v="0"/>
    <e v="#DIV/0!"/>
    <n v="0"/>
    <m/>
    <n v="0"/>
    <e v="#DIV/0!"/>
  </r>
  <r>
    <x v="5"/>
    <x v="5"/>
    <x v="1"/>
    <x v="29"/>
    <x v="2"/>
    <x v="150"/>
    <x v="150"/>
    <x v="150"/>
    <x v="150"/>
    <x v="150"/>
    <x v="7"/>
    <x v="19"/>
    <x v="2"/>
    <x v="3"/>
    <x v="13"/>
    <x v="0"/>
    <n v="1"/>
    <s v="PD"/>
    <s v="0602"/>
    <s v="País productor, transformador y exportador “Complejos productivos” y Turismo."/>
    <s v="0602.PD.6.2.150."/>
    <m/>
    <m/>
    <m/>
    <m/>
    <e v="#DIV/0!"/>
    <m/>
    <m/>
    <x v="0"/>
    <x v="1"/>
    <x v="2"/>
    <m/>
    <m/>
    <m/>
    <m/>
    <m/>
    <m/>
    <m/>
    <m/>
    <n v="14.285714285714286"/>
    <x v="1"/>
    <x v="1"/>
    <x v="1"/>
    <x v="1"/>
    <x v="0"/>
    <x v="0"/>
    <x v="0"/>
    <x v="0"/>
    <x v="0"/>
    <x v="0"/>
    <x v="1"/>
    <x v="1"/>
    <x v="1"/>
    <x v="1"/>
    <x v="150"/>
    <x v="4"/>
    <x v="3"/>
    <x v="3"/>
    <m/>
    <m/>
    <m/>
    <s v="0602150"/>
    <m/>
    <m/>
    <m/>
    <m/>
    <m/>
    <m/>
    <m/>
    <m/>
    <m/>
    <m/>
    <m/>
    <m/>
    <m/>
    <m/>
    <m/>
    <n v="0"/>
    <n v="0"/>
    <n v="5"/>
    <n v="0"/>
    <m/>
    <n v="0"/>
    <e v="#DIV/0!"/>
    <n v="0"/>
    <m/>
    <n v="0"/>
    <e v="#DIV/0!"/>
    <n v="0"/>
    <m/>
    <n v="0"/>
    <e v="#DIV/0!"/>
    <n v="0"/>
    <m/>
    <n v="0"/>
    <e v="#DIV/0!"/>
    <n v="0"/>
    <m/>
    <n v="0"/>
    <e v="#DIV/0!"/>
  </r>
  <r>
    <x v="5"/>
    <x v="5"/>
    <x v="1"/>
    <x v="29"/>
    <x v="3"/>
    <x v="151"/>
    <x v="151"/>
    <x v="151"/>
    <x v="151"/>
    <x v="151"/>
    <x v="7"/>
    <x v="20"/>
    <x v="0"/>
    <x v="3"/>
    <x v="13"/>
    <x v="0"/>
    <m/>
    <s v="RS"/>
    <s v="0602"/>
    <s v="País productor, transformador y exportador “Complejos productivos” y Turismo."/>
    <s v="0602.RS.6.2.151."/>
    <m/>
    <m/>
    <m/>
    <m/>
    <e v="#DIV/0!"/>
    <m/>
    <m/>
    <x v="0"/>
    <x v="1"/>
    <x v="18"/>
    <m/>
    <m/>
    <m/>
    <m/>
    <m/>
    <m/>
    <m/>
    <m/>
    <n v="14.285714285714286"/>
    <x v="0"/>
    <x v="0"/>
    <x v="0"/>
    <x v="0"/>
    <x v="0"/>
    <x v="0"/>
    <x v="0"/>
    <x v="0"/>
    <x v="0"/>
    <x v="0"/>
    <x v="0"/>
    <x v="0"/>
    <x v="0"/>
    <x v="1"/>
    <x v="151"/>
    <x v="4"/>
    <x v="3"/>
    <x v="3"/>
    <m/>
    <m/>
    <m/>
    <s v="0602151"/>
    <m/>
    <m/>
    <m/>
    <m/>
    <m/>
    <m/>
    <m/>
    <m/>
    <m/>
    <m/>
    <m/>
    <m/>
    <m/>
    <m/>
    <m/>
    <n v="0"/>
    <n v="0"/>
    <n v="5"/>
    <n v="0"/>
    <m/>
    <n v="0"/>
    <e v="#DIV/0!"/>
    <n v="0"/>
    <m/>
    <n v="0"/>
    <e v="#DIV/0!"/>
    <n v="0"/>
    <m/>
    <n v="0"/>
    <e v="#DIV/0!"/>
    <n v="0"/>
    <m/>
    <n v="0"/>
    <e v="#DIV/0!"/>
    <n v="0"/>
    <m/>
    <n v="0"/>
    <e v="#DIV/0!"/>
  </r>
  <r>
    <x v="5"/>
    <x v="5"/>
    <x v="1"/>
    <x v="29"/>
    <x v="4"/>
    <x v="152"/>
    <x v="152"/>
    <x v="152"/>
    <x v="152"/>
    <x v="152"/>
    <x v="7"/>
    <x v="20"/>
    <x v="2"/>
    <x v="3"/>
    <x v="13"/>
    <x v="0"/>
    <m/>
    <s v="PD"/>
    <s v="0602"/>
    <s v="País productor, transformador y exportador “Complejos productivos” y Turismo."/>
    <s v="0602.PD.6.2.152."/>
    <m/>
    <m/>
    <m/>
    <m/>
    <e v="#DIV/0!"/>
    <m/>
    <m/>
    <x v="0"/>
    <x v="1"/>
    <x v="2"/>
    <m/>
    <m/>
    <m/>
    <m/>
    <m/>
    <m/>
    <m/>
    <m/>
    <n v="14.285714285714286"/>
    <x v="1"/>
    <x v="1"/>
    <x v="1"/>
    <x v="1"/>
    <x v="0"/>
    <x v="0"/>
    <x v="0"/>
    <x v="0"/>
    <x v="0"/>
    <x v="0"/>
    <x v="0"/>
    <x v="0"/>
    <x v="1"/>
    <x v="1"/>
    <x v="152"/>
    <x v="4"/>
    <x v="3"/>
    <x v="3"/>
    <m/>
    <m/>
    <m/>
    <s v="0602152"/>
    <m/>
    <m/>
    <m/>
    <m/>
    <m/>
    <m/>
    <m/>
    <m/>
    <m/>
    <m/>
    <m/>
    <m/>
    <m/>
    <m/>
    <m/>
    <n v="0"/>
    <n v="0"/>
    <n v="5"/>
    <n v="0"/>
    <m/>
    <n v="0"/>
    <e v="#DIV/0!"/>
    <n v="0"/>
    <m/>
    <n v="0"/>
    <e v="#DIV/0!"/>
    <n v="0"/>
    <m/>
    <n v="0"/>
    <e v="#DIV/0!"/>
    <n v="0"/>
    <m/>
    <n v="0"/>
    <e v="#DIV/0!"/>
    <n v="0"/>
    <m/>
    <n v="0"/>
    <e v="#DIV/0!"/>
  </r>
  <r>
    <x v="5"/>
    <x v="5"/>
    <x v="1"/>
    <x v="29"/>
    <x v="5"/>
    <x v="153"/>
    <x v="153"/>
    <x v="153"/>
    <x v="153"/>
    <x v="153"/>
    <x v="7"/>
    <x v="20"/>
    <x v="2"/>
    <x v="3"/>
    <x v="13"/>
    <x v="0"/>
    <m/>
    <s v="PD"/>
    <s v="0602"/>
    <s v="País productor, transformador y exportador “Complejos productivos” y Turismo."/>
    <s v="0602.PD.6.2.153."/>
    <m/>
    <m/>
    <m/>
    <m/>
    <e v="#DIV/0!"/>
    <m/>
    <m/>
    <x v="0"/>
    <x v="1"/>
    <x v="2"/>
    <m/>
    <m/>
    <m/>
    <m/>
    <m/>
    <m/>
    <m/>
    <m/>
    <n v="14.285714285714286"/>
    <x v="1"/>
    <x v="1"/>
    <x v="1"/>
    <x v="1"/>
    <x v="0"/>
    <x v="0"/>
    <x v="0"/>
    <x v="0"/>
    <x v="0"/>
    <x v="0"/>
    <x v="0"/>
    <x v="0"/>
    <x v="1"/>
    <x v="1"/>
    <x v="153"/>
    <x v="4"/>
    <x v="3"/>
    <x v="3"/>
    <m/>
    <m/>
    <m/>
    <s v="0602153"/>
    <m/>
    <m/>
    <m/>
    <m/>
    <m/>
    <m/>
    <m/>
    <m/>
    <m/>
    <m/>
    <m/>
    <m/>
    <m/>
    <m/>
    <m/>
    <n v="0"/>
    <n v="0"/>
    <n v="5"/>
    <n v="0"/>
    <m/>
    <n v="0"/>
    <e v="#DIV/0!"/>
    <n v="0"/>
    <m/>
    <n v="0"/>
    <e v="#DIV/0!"/>
    <n v="0"/>
    <m/>
    <n v="0"/>
    <e v="#DIV/0!"/>
    <n v="0"/>
    <m/>
    <n v="0"/>
    <e v="#DIV/0!"/>
    <n v="0"/>
    <m/>
    <n v="0"/>
    <e v="#DIV/0!"/>
  </r>
  <r>
    <x v="5"/>
    <x v="5"/>
    <x v="1"/>
    <x v="29"/>
    <x v="6"/>
    <x v="154"/>
    <x v="154"/>
    <x v="154"/>
    <x v="154"/>
    <x v="154"/>
    <x v="7"/>
    <x v="20"/>
    <x v="2"/>
    <x v="3"/>
    <x v="13"/>
    <x v="1"/>
    <m/>
    <s v="PD"/>
    <s v="0602"/>
    <s v="País productor, transformador y exportador “Complejos productivos” y Turismo."/>
    <s v="0602.PD.6.2.154."/>
    <m/>
    <m/>
    <m/>
    <m/>
    <e v="#DIV/0!"/>
    <m/>
    <m/>
    <x v="0"/>
    <x v="1"/>
    <x v="2"/>
    <m/>
    <m/>
    <m/>
    <m/>
    <m/>
    <m/>
    <m/>
    <m/>
    <n v="14.285714285714286"/>
    <x v="1"/>
    <x v="1"/>
    <x v="1"/>
    <x v="0"/>
    <x v="0"/>
    <x v="0"/>
    <x v="1"/>
    <x v="0"/>
    <x v="0"/>
    <x v="0"/>
    <x v="1"/>
    <x v="1"/>
    <x v="1"/>
    <x v="1"/>
    <x v="154"/>
    <x v="4"/>
    <x v="3"/>
    <x v="3"/>
    <m/>
    <m/>
    <m/>
    <s v="0602154"/>
    <m/>
    <m/>
    <m/>
    <m/>
    <m/>
    <m/>
    <m/>
    <m/>
    <m/>
    <m/>
    <m/>
    <m/>
    <m/>
    <m/>
    <m/>
    <n v="0"/>
    <n v="0"/>
    <n v="5"/>
    <n v="0"/>
    <m/>
    <n v="0"/>
    <e v="#DIV/0!"/>
    <n v="0"/>
    <m/>
    <n v="0"/>
    <e v="#DIV/0!"/>
    <n v="0"/>
    <m/>
    <n v="0"/>
    <e v="#DIV/0!"/>
    <n v="0"/>
    <m/>
    <n v="0"/>
    <e v="#DIV/0!"/>
    <n v="0"/>
    <m/>
    <n v="0"/>
    <e v="#DIV/0!"/>
  </r>
  <r>
    <x v="5"/>
    <x v="5"/>
    <x v="2"/>
    <x v="30"/>
    <x v="0"/>
    <x v="155"/>
    <x v="155"/>
    <x v="155"/>
    <x v="155"/>
    <x v="155"/>
    <x v="8"/>
    <x v="21"/>
    <x v="0"/>
    <x v="3"/>
    <x v="17"/>
    <x v="1"/>
    <n v="1"/>
    <s v="RS"/>
    <s v="0603"/>
    <s v="Producción agropecuaria con énfasis en la agricultura familiar"/>
    <s v="0603.RS.6.3.155."/>
    <m/>
    <m/>
    <m/>
    <m/>
    <e v="#DIV/0!"/>
    <m/>
    <m/>
    <x v="0"/>
    <x v="1"/>
    <x v="19"/>
    <m/>
    <m/>
    <m/>
    <m/>
    <m/>
    <m/>
    <m/>
    <m/>
    <n v="20"/>
    <x v="0"/>
    <x v="0"/>
    <x v="1"/>
    <x v="0"/>
    <x v="1"/>
    <x v="0"/>
    <x v="0"/>
    <x v="0"/>
    <x v="0"/>
    <x v="0"/>
    <x v="1"/>
    <x v="1"/>
    <x v="0"/>
    <x v="1"/>
    <x v="155"/>
    <x v="4"/>
    <x v="3"/>
    <x v="3"/>
    <m/>
    <m/>
    <m/>
    <s v="0603155"/>
    <m/>
    <m/>
    <m/>
    <m/>
    <m/>
    <m/>
    <m/>
    <m/>
    <m/>
    <m/>
    <m/>
    <m/>
    <m/>
    <m/>
    <m/>
    <n v="0"/>
    <n v="0"/>
    <n v="5"/>
    <n v="0"/>
    <m/>
    <n v="0"/>
    <e v="#DIV/0!"/>
    <n v="0"/>
    <m/>
    <n v="0"/>
    <e v="#DIV/0!"/>
    <n v="0"/>
    <m/>
    <n v="0"/>
    <e v="#DIV/0!"/>
    <n v="0"/>
    <m/>
    <n v="0"/>
    <e v="#DIV/0!"/>
    <n v="0"/>
    <m/>
    <n v="0"/>
    <e v="#DIV/0!"/>
  </r>
  <r>
    <x v="5"/>
    <x v="5"/>
    <x v="2"/>
    <x v="30"/>
    <x v="1"/>
    <x v="156"/>
    <x v="156"/>
    <x v="156"/>
    <x v="156"/>
    <x v="156"/>
    <x v="8"/>
    <x v="21"/>
    <x v="0"/>
    <x v="3"/>
    <x v="17"/>
    <x v="1"/>
    <n v="1"/>
    <s v="RS"/>
    <s v="0603"/>
    <s v="Producción agropecuaria con énfasis en la agricultura familiar"/>
    <s v="0603.RS.6.3.156."/>
    <m/>
    <m/>
    <m/>
    <m/>
    <e v="#DIV/0!"/>
    <m/>
    <m/>
    <x v="0"/>
    <x v="1"/>
    <x v="19"/>
    <m/>
    <m/>
    <m/>
    <m/>
    <m/>
    <m/>
    <m/>
    <m/>
    <n v="20"/>
    <x v="0"/>
    <x v="0"/>
    <x v="1"/>
    <x v="0"/>
    <x v="1"/>
    <x v="0"/>
    <x v="0"/>
    <x v="0"/>
    <x v="0"/>
    <x v="0"/>
    <x v="1"/>
    <x v="1"/>
    <x v="0"/>
    <x v="1"/>
    <x v="156"/>
    <x v="4"/>
    <x v="3"/>
    <x v="3"/>
    <m/>
    <m/>
    <m/>
    <s v="0603156"/>
    <m/>
    <m/>
    <m/>
    <m/>
    <m/>
    <m/>
    <m/>
    <m/>
    <m/>
    <m/>
    <m/>
    <m/>
    <m/>
    <m/>
    <m/>
    <n v="0"/>
    <n v="0"/>
    <n v="5"/>
    <n v="0"/>
    <m/>
    <n v="0"/>
    <e v="#DIV/0!"/>
    <n v="0"/>
    <m/>
    <n v="0"/>
    <e v="#DIV/0!"/>
    <n v="0"/>
    <m/>
    <n v="0"/>
    <e v="#DIV/0!"/>
    <n v="0"/>
    <m/>
    <n v="0"/>
    <e v="#DIV/0!"/>
    <n v="0"/>
    <m/>
    <n v="0"/>
    <e v="#DIV/0!"/>
  </r>
  <r>
    <x v="5"/>
    <x v="5"/>
    <x v="2"/>
    <x v="30"/>
    <x v="2"/>
    <x v="157"/>
    <x v="157"/>
    <x v="157"/>
    <x v="157"/>
    <x v="157"/>
    <x v="8"/>
    <x v="21"/>
    <x v="0"/>
    <x v="3"/>
    <x v="17"/>
    <x v="1"/>
    <m/>
    <s v="RS"/>
    <s v="0603"/>
    <s v="Producción agropecuaria con énfasis en la agricultura familiar"/>
    <s v="0603.RS.6.3.157."/>
    <m/>
    <m/>
    <m/>
    <m/>
    <e v="#DIV/0!"/>
    <m/>
    <m/>
    <x v="0"/>
    <x v="1"/>
    <x v="19"/>
    <m/>
    <m/>
    <m/>
    <m/>
    <m/>
    <m/>
    <m/>
    <m/>
    <n v="20"/>
    <x v="0"/>
    <x v="0"/>
    <x v="1"/>
    <x v="0"/>
    <x v="1"/>
    <x v="0"/>
    <x v="0"/>
    <x v="0"/>
    <x v="0"/>
    <x v="0"/>
    <x v="1"/>
    <x v="1"/>
    <x v="0"/>
    <x v="1"/>
    <x v="157"/>
    <x v="4"/>
    <x v="3"/>
    <x v="3"/>
    <m/>
    <m/>
    <m/>
    <s v="0603157"/>
    <m/>
    <m/>
    <m/>
    <m/>
    <m/>
    <m/>
    <m/>
    <m/>
    <m/>
    <m/>
    <m/>
    <m/>
    <m/>
    <m/>
    <m/>
    <n v="0"/>
    <n v="0"/>
    <n v="5"/>
    <n v="0"/>
    <m/>
    <n v="0"/>
    <e v="#DIV/0!"/>
    <n v="0"/>
    <m/>
    <n v="0"/>
    <e v="#DIV/0!"/>
    <n v="0"/>
    <m/>
    <n v="0"/>
    <e v="#DIV/0!"/>
    <n v="0"/>
    <m/>
    <n v="0"/>
    <e v="#DIV/0!"/>
    <n v="0"/>
    <m/>
    <n v="0"/>
    <e v="#DIV/0!"/>
  </r>
  <r>
    <x v="5"/>
    <x v="5"/>
    <x v="2"/>
    <x v="30"/>
    <x v="3"/>
    <x v="158"/>
    <x v="158"/>
    <x v="158"/>
    <x v="158"/>
    <x v="158"/>
    <x v="8"/>
    <x v="21"/>
    <x v="0"/>
    <x v="3"/>
    <x v="17"/>
    <x v="1"/>
    <m/>
    <s v="RS"/>
    <s v="0603"/>
    <s v="Producción agropecuaria con énfasis en la agricultura familiar"/>
    <s v="0603.RS.6.3.158."/>
    <m/>
    <m/>
    <m/>
    <m/>
    <e v="#DIV/0!"/>
    <m/>
    <m/>
    <x v="0"/>
    <x v="1"/>
    <x v="2"/>
    <m/>
    <m/>
    <m/>
    <m/>
    <m/>
    <m/>
    <m/>
    <m/>
    <n v="20"/>
    <x v="0"/>
    <x v="0"/>
    <x v="1"/>
    <x v="0"/>
    <x v="1"/>
    <x v="0"/>
    <x v="0"/>
    <x v="0"/>
    <x v="0"/>
    <x v="0"/>
    <x v="1"/>
    <x v="1"/>
    <x v="1"/>
    <x v="1"/>
    <x v="158"/>
    <x v="4"/>
    <x v="3"/>
    <x v="3"/>
    <m/>
    <m/>
    <m/>
    <s v="0603158"/>
    <m/>
    <m/>
    <m/>
    <m/>
    <m/>
    <m/>
    <m/>
    <m/>
    <m/>
    <m/>
    <m/>
    <m/>
    <m/>
    <m/>
    <m/>
    <n v="0"/>
    <n v="0"/>
    <n v="5"/>
    <n v="0"/>
    <m/>
    <n v="0"/>
    <e v="#DIV/0!"/>
    <n v="0"/>
    <m/>
    <n v="0"/>
    <e v="#DIV/0!"/>
    <n v="0"/>
    <m/>
    <n v="0"/>
    <e v="#DIV/0!"/>
    <n v="0"/>
    <m/>
    <n v="0"/>
    <e v="#DIV/0!"/>
    <n v="0"/>
    <m/>
    <n v="0"/>
    <e v="#DIV/0!"/>
  </r>
  <r>
    <x v="5"/>
    <x v="5"/>
    <x v="2"/>
    <x v="30"/>
    <x v="4"/>
    <x v="159"/>
    <x v="159"/>
    <x v="159"/>
    <x v="159"/>
    <x v="159"/>
    <x v="8"/>
    <x v="21"/>
    <x v="0"/>
    <x v="3"/>
    <x v="17"/>
    <x v="0"/>
    <m/>
    <s v="RS"/>
    <s v="0603"/>
    <s v="Producción agropecuaria con énfasis en la agricultura familiar"/>
    <s v="0603.RS.6.3.159."/>
    <m/>
    <m/>
    <m/>
    <m/>
    <e v="#DIV/0!"/>
    <m/>
    <m/>
    <x v="0"/>
    <x v="1"/>
    <x v="19"/>
    <m/>
    <m/>
    <m/>
    <m/>
    <m/>
    <m/>
    <m/>
    <m/>
    <n v="20"/>
    <x v="0"/>
    <x v="0"/>
    <x v="0"/>
    <x v="0"/>
    <x v="0"/>
    <x v="0"/>
    <x v="0"/>
    <x v="0"/>
    <x v="0"/>
    <x v="0"/>
    <x v="1"/>
    <x v="1"/>
    <x v="0"/>
    <x v="1"/>
    <x v="159"/>
    <x v="4"/>
    <x v="3"/>
    <x v="3"/>
    <m/>
    <m/>
    <m/>
    <s v="0603159"/>
    <m/>
    <m/>
    <m/>
    <m/>
    <m/>
    <m/>
    <m/>
    <m/>
    <m/>
    <m/>
    <m/>
    <m/>
    <m/>
    <m/>
    <m/>
    <n v="0"/>
    <n v="0"/>
    <n v="5"/>
    <n v="0"/>
    <m/>
    <n v="0"/>
    <e v="#DIV/0!"/>
    <n v="0"/>
    <m/>
    <n v="0"/>
    <e v="#DIV/0!"/>
    <n v="0"/>
    <m/>
    <n v="0"/>
    <e v="#DIV/0!"/>
    <n v="0"/>
    <m/>
    <n v="0"/>
    <e v="#DIV/0!"/>
    <n v="0"/>
    <m/>
    <n v="0"/>
    <e v="#DIV/0!"/>
  </r>
  <r>
    <x v="5"/>
    <x v="5"/>
    <x v="3"/>
    <x v="31"/>
    <x v="0"/>
    <x v="160"/>
    <x v="160"/>
    <x v="160"/>
    <x v="160"/>
    <x v="160"/>
    <x v="8"/>
    <x v="21"/>
    <x v="0"/>
    <x v="3"/>
    <x v="17"/>
    <x v="1"/>
    <n v="1"/>
    <s v="RS"/>
    <s v="0604"/>
    <s v="Sistemas productivos óptimos: agropecuaria."/>
    <s v="0604.RS.6.4.160."/>
    <m/>
    <m/>
    <m/>
    <m/>
    <e v="#DIV/0!"/>
    <m/>
    <m/>
    <x v="0"/>
    <x v="1"/>
    <x v="19"/>
    <m/>
    <m/>
    <m/>
    <m/>
    <m/>
    <m/>
    <m/>
    <m/>
    <n v="25"/>
    <x v="0"/>
    <x v="0"/>
    <x v="1"/>
    <x v="0"/>
    <x v="1"/>
    <x v="0"/>
    <x v="0"/>
    <x v="0"/>
    <x v="0"/>
    <x v="0"/>
    <x v="1"/>
    <x v="1"/>
    <x v="0"/>
    <x v="1"/>
    <x v="160"/>
    <x v="4"/>
    <x v="3"/>
    <x v="3"/>
    <m/>
    <m/>
    <m/>
    <s v="0604160"/>
    <m/>
    <m/>
    <m/>
    <m/>
    <m/>
    <m/>
    <m/>
    <m/>
    <m/>
    <m/>
    <m/>
    <m/>
    <m/>
    <m/>
    <m/>
    <n v="0"/>
    <n v="0"/>
    <n v="5"/>
    <n v="0"/>
    <m/>
    <n v="0"/>
    <e v="#DIV/0!"/>
    <n v="0"/>
    <m/>
    <n v="0"/>
    <e v="#DIV/0!"/>
    <n v="0"/>
    <m/>
    <n v="0"/>
    <e v="#DIV/0!"/>
    <n v="0"/>
    <m/>
    <n v="0"/>
    <e v="#DIV/0!"/>
    <n v="0"/>
    <m/>
    <n v="0"/>
    <e v="#DIV/0!"/>
  </r>
  <r>
    <x v="5"/>
    <x v="5"/>
    <x v="3"/>
    <x v="31"/>
    <x v="1"/>
    <x v="161"/>
    <x v="161"/>
    <x v="161"/>
    <x v="161"/>
    <x v="161"/>
    <x v="8"/>
    <x v="21"/>
    <x v="0"/>
    <x v="3"/>
    <x v="17"/>
    <x v="1"/>
    <m/>
    <s v="RS"/>
    <s v="0604"/>
    <s v="Sistemas productivos óptimos: agropecuaria."/>
    <s v="0604.RS.6.4.161."/>
    <m/>
    <m/>
    <m/>
    <m/>
    <e v="#DIV/0!"/>
    <m/>
    <m/>
    <x v="0"/>
    <x v="1"/>
    <x v="19"/>
    <m/>
    <m/>
    <m/>
    <m/>
    <m/>
    <m/>
    <m/>
    <m/>
    <n v="25"/>
    <x v="0"/>
    <x v="0"/>
    <x v="1"/>
    <x v="0"/>
    <x v="1"/>
    <x v="0"/>
    <x v="0"/>
    <x v="0"/>
    <x v="0"/>
    <x v="0"/>
    <x v="1"/>
    <x v="1"/>
    <x v="0"/>
    <x v="1"/>
    <x v="161"/>
    <x v="4"/>
    <x v="3"/>
    <x v="3"/>
    <m/>
    <m/>
    <m/>
    <s v="0604161"/>
    <m/>
    <m/>
    <m/>
    <m/>
    <m/>
    <m/>
    <m/>
    <m/>
    <m/>
    <m/>
    <m/>
    <m/>
    <m/>
    <m/>
    <m/>
    <n v="0"/>
    <n v="0"/>
    <n v="5"/>
    <n v="0"/>
    <m/>
    <n v="0"/>
    <e v="#DIV/0!"/>
    <n v="0"/>
    <m/>
    <n v="0"/>
    <e v="#DIV/0!"/>
    <n v="0"/>
    <m/>
    <n v="0"/>
    <e v="#DIV/0!"/>
    <n v="0"/>
    <m/>
    <n v="0"/>
    <e v="#DIV/0!"/>
    <n v="0"/>
    <m/>
    <n v="0"/>
    <e v="#DIV/0!"/>
  </r>
  <r>
    <x v="5"/>
    <x v="5"/>
    <x v="3"/>
    <x v="31"/>
    <x v="2"/>
    <x v="162"/>
    <x v="162"/>
    <x v="162"/>
    <x v="162"/>
    <x v="162"/>
    <x v="8"/>
    <x v="21"/>
    <x v="2"/>
    <x v="3"/>
    <x v="17"/>
    <x v="1"/>
    <n v="1"/>
    <s v="PD"/>
    <s v="0604"/>
    <s v="Sistemas productivos óptimos: agropecuaria."/>
    <s v="0604.PD.6.4.162."/>
    <m/>
    <m/>
    <m/>
    <m/>
    <e v="#DIV/0!"/>
    <m/>
    <m/>
    <x v="0"/>
    <x v="1"/>
    <x v="2"/>
    <m/>
    <m/>
    <m/>
    <m/>
    <m/>
    <m/>
    <m/>
    <m/>
    <n v="25"/>
    <x v="1"/>
    <x v="1"/>
    <x v="1"/>
    <x v="0"/>
    <x v="0"/>
    <x v="1"/>
    <x v="0"/>
    <x v="0"/>
    <x v="0"/>
    <x v="0"/>
    <x v="1"/>
    <x v="1"/>
    <x v="1"/>
    <x v="1"/>
    <x v="162"/>
    <x v="4"/>
    <x v="3"/>
    <x v="3"/>
    <m/>
    <m/>
    <m/>
    <s v="0604162"/>
    <m/>
    <m/>
    <m/>
    <m/>
    <m/>
    <m/>
    <m/>
    <m/>
    <m/>
    <m/>
    <m/>
    <m/>
    <m/>
    <m/>
    <m/>
    <n v="0"/>
    <n v="0"/>
    <n v="5"/>
    <n v="0"/>
    <m/>
    <n v="0"/>
    <e v="#DIV/0!"/>
    <n v="0"/>
    <m/>
    <n v="0"/>
    <e v="#DIV/0!"/>
    <n v="0"/>
    <m/>
    <n v="0"/>
    <e v="#DIV/0!"/>
    <n v="0"/>
    <m/>
    <n v="0"/>
    <e v="#DIV/0!"/>
    <n v="0"/>
    <m/>
    <n v="0"/>
    <e v="#DIV/0!"/>
  </r>
  <r>
    <x v="5"/>
    <x v="5"/>
    <x v="3"/>
    <x v="31"/>
    <x v="3"/>
    <x v="163"/>
    <x v="163"/>
    <x v="163"/>
    <x v="163"/>
    <x v="163"/>
    <x v="8"/>
    <x v="22"/>
    <x v="0"/>
    <x v="3"/>
    <x v="17"/>
    <x v="0"/>
    <n v="1"/>
    <s v="RS"/>
    <s v="0604"/>
    <s v="Sistemas productivos óptimos: agropecuaria."/>
    <s v="0604.RS.6.4.163."/>
    <m/>
    <m/>
    <m/>
    <m/>
    <e v="#DIV/0!"/>
    <m/>
    <m/>
    <x v="0"/>
    <x v="1"/>
    <x v="9"/>
    <m/>
    <m/>
    <m/>
    <m/>
    <m/>
    <m/>
    <m/>
    <m/>
    <n v="25"/>
    <x v="0"/>
    <x v="0"/>
    <x v="1"/>
    <x v="0"/>
    <x v="1"/>
    <x v="0"/>
    <x v="0"/>
    <x v="0"/>
    <x v="0"/>
    <x v="1"/>
    <x v="1"/>
    <x v="0"/>
    <x v="0"/>
    <x v="1"/>
    <x v="163"/>
    <x v="4"/>
    <x v="3"/>
    <x v="3"/>
    <m/>
    <m/>
    <m/>
    <s v="0604163"/>
    <m/>
    <m/>
    <m/>
    <m/>
    <m/>
    <m/>
    <m/>
    <m/>
    <m/>
    <m/>
    <m/>
    <m/>
    <m/>
    <m/>
    <m/>
    <n v="0"/>
    <n v="0"/>
    <n v="5"/>
    <n v="0"/>
    <m/>
    <n v="0"/>
    <e v="#DIV/0!"/>
    <n v="0"/>
    <m/>
    <n v="0"/>
    <e v="#DIV/0!"/>
    <n v="0"/>
    <m/>
    <n v="0"/>
    <e v="#DIV/0!"/>
    <n v="0"/>
    <m/>
    <n v="0"/>
    <e v="#DIV/0!"/>
    <n v="0"/>
    <m/>
    <n v="0"/>
    <e v="#DIV/0!"/>
  </r>
  <r>
    <x v="5"/>
    <x v="5"/>
    <x v="4"/>
    <x v="32"/>
    <x v="0"/>
    <x v="164"/>
    <x v="164"/>
    <x v="164"/>
    <x v="164"/>
    <x v="164"/>
    <x v="8"/>
    <x v="22"/>
    <x v="0"/>
    <x v="3"/>
    <x v="18"/>
    <x v="1"/>
    <m/>
    <s v="RS"/>
    <s v="0605"/>
    <s v="Bosques como recursos de biodiversidad,  producción y transformación de alimentos"/>
    <s v="0605.RS.6.5.164."/>
    <m/>
    <m/>
    <m/>
    <m/>
    <e v="#DIV/0!"/>
    <m/>
    <m/>
    <x v="0"/>
    <x v="1"/>
    <x v="9"/>
    <m/>
    <m/>
    <m/>
    <m/>
    <m/>
    <m/>
    <m/>
    <m/>
    <n v="25"/>
    <x v="0"/>
    <x v="0"/>
    <x v="1"/>
    <x v="0"/>
    <x v="1"/>
    <x v="0"/>
    <x v="0"/>
    <x v="0"/>
    <x v="0"/>
    <x v="0"/>
    <x v="1"/>
    <x v="1"/>
    <x v="0"/>
    <x v="1"/>
    <x v="164"/>
    <x v="4"/>
    <x v="3"/>
    <x v="3"/>
    <m/>
    <m/>
    <m/>
    <s v="0605164"/>
    <m/>
    <m/>
    <m/>
    <m/>
    <m/>
    <m/>
    <m/>
    <m/>
    <m/>
    <m/>
    <m/>
    <m/>
    <m/>
    <m/>
    <m/>
    <n v="0"/>
    <n v="0"/>
    <n v="5"/>
    <n v="0"/>
    <m/>
    <n v="0"/>
    <e v="#DIV/0!"/>
    <n v="0"/>
    <m/>
    <n v="0"/>
    <e v="#DIV/0!"/>
    <n v="0"/>
    <m/>
    <n v="0"/>
    <e v="#DIV/0!"/>
    <n v="0"/>
    <m/>
    <n v="0"/>
    <e v="#DIV/0!"/>
    <n v="0"/>
    <m/>
    <n v="0"/>
    <e v="#DIV/0!"/>
  </r>
  <r>
    <x v="5"/>
    <x v="5"/>
    <x v="4"/>
    <x v="32"/>
    <x v="1"/>
    <x v="165"/>
    <x v="165"/>
    <x v="165"/>
    <x v="165"/>
    <x v="165"/>
    <x v="8"/>
    <x v="22"/>
    <x v="1"/>
    <x v="3"/>
    <x v="18"/>
    <x v="1"/>
    <m/>
    <s v="PC"/>
    <s v="0605"/>
    <s v="Bosques como recursos de biodiversidad,  producción y transformación de alimentos"/>
    <s v="0605.PC.6.5.165."/>
    <m/>
    <m/>
    <m/>
    <m/>
    <e v="#DIV/0!"/>
    <m/>
    <m/>
    <x v="0"/>
    <x v="1"/>
    <x v="2"/>
    <m/>
    <m/>
    <m/>
    <m/>
    <m/>
    <m/>
    <m/>
    <m/>
    <n v="25"/>
    <x v="1"/>
    <x v="1"/>
    <x v="1"/>
    <x v="0"/>
    <x v="0"/>
    <x v="0"/>
    <x v="1"/>
    <x v="0"/>
    <x v="0"/>
    <x v="0"/>
    <x v="1"/>
    <x v="1"/>
    <x v="1"/>
    <x v="1"/>
    <x v="165"/>
    <x v="4"/>
    <x v="3"/>
    <x v="3"/>
    <m/>
    <m/>
    <m/>
    <s v="0605165"/>
    <m/>
    <m/>
    <m/>
    <m/>
    <m/>
    <m/>
    <m/>
    <m/>
    <m/>
    <m/>
    <m/>
    <m/>
    <m/>
    <m/>
    <m/>
    <n v="0"/>
    <n v="0"/>
    <n v="5"/>
    <n v="0"/>
    <m/>
    <n v="0"/>
    <e v="#DIV/0!"/>
    <n v="0"/>
    <m/>
    <n v="0"/>
    <e v="#DIV/0!"/>
    <n v="0"/>
    <m/>
    <n v="0"/>
    <e v="#DIV/0!"/>
    <n v="0"/>
    <m/>
    <n v="0"/>
    <e v="#DIV/0!"/>
    <n v="0"/>
    <m/>
    <n v="0"/>
    <e v="#DIV/0!"/>
  </r>
  <r>
    <x v="5"/>
    <x v="5"/>
    <x v="4"/>
    <x v="32"/>
    <x v="2"/>
    <x v="166"/>
    <x v="166"/>
    <x v="166"/>
    <x v="166"/>
    <x v="166"/>
    <x v="8"/>
    <x v="22"/>
    <x v="0"/>
    <x v="3"/>
    <x v="18"/>
    <x v="1"/>
    <m/>
    <s v="RS"/>
    <s v="0605"/>
    <s v="Bosques como recursos de biodiversidad,  producción y transformación de alimentos"/>
    <s v="0605.RS.6.5.166."/>
    <m/>
    <m/>
    <m/>
    <m/>
    <e v="#DIV/0!"/>
    <m/>
    <m/>
    <x v="0"/>
    <x v="1"/>
    <x v="9"/>
    <m/>
    <m/>
    <m/>
    <m/>
    <m/>
    <m/>
    <m/>
    <m/>
    <n v="25"/>
    <x v="0"/>
    <x v="0"/>
    <x v="1"/>
    <x v="0"/>
    <x v="1"/>
    <x v="0"/>
    <x v="0"/>
    <x v="0"/>
    <x v="0"/>
    <x v="0"/>
    <x v="1"/>
    <x v="1"/>
    <x v="0"/>
    <x v="1"/>
    <x v="166"/>
    <x v="4"/>
    <x v="3"/>
    <x v="3"/>
    <m/>
    <m/>
    <m/>
    <s v="0605166"/>
    <m/>
    <m/>
    <m/>
    <m/>
    <m/>
    <m/>
    <m/>
    <m/>
    <m/>
    <m/>
    <m/>
    <m/>
    <m/>
    <m/>
    <m/>
    <n v="0"/>
    <n v="0"/>
    <n v="5"/>
    <n v="0"/>
    <m/>
    <n v="0"/>
    <e v="#DIV/0!"/>
    <n v="0"/>
    <m/>
    <n v="0"/>
    <e v="#DIV/0!"/>
    <n v="0"/>
    <m/>
    <n v="0"/>
    <e v="#DIV/0!"/>
    <n v="0"/>
    <m/>
    <n v="0"/>
    <e v="#DIV/0!"/>
    <n v="0"/>
    <m/>
    <n v="0"/>
    <e v="#DIV/0!"/>
  </r>
  <r>
    <x v="5"/>
    <x v="5"/>
    <x v="4"/>
    <x v="32"/>
    <x v="3"/>
    <x v="167"/>
    <x v="167"/>
    <x v="167"/>
    <x v="167"/>
    <x v="167"/>
    <x v="8"/>
    <x v="22"/>
    <x v="2"/>
    <x v="3"/>
    <x v="18"/>
    <x v="1"/>
    <m/>
    <s v="PD"/>
    <s v="0605"/>
    <s v="Bosques como recursos de biodiversidad,  producción y transformación de alimentos"/>
    <s v="0605.PD.6.5.167."/>
    <m/>
    <m/>
    <m/>
    <m/>
    <e v="#DIV/0!"/>
    <m/>
    <m/>
    <x v="0"/>
    <x v="1"/>
    <x v="2"/>
    <m/>
    <m/>
    <m/>
    <m/>
    <m/>
    <m/>
    <m/>
    <m/>
    <n v="25"/>
    <x v="1"/>
    <x v="1"/>
    <x v="1"/>
    <x v="0"/>
    <x v="0"/>
    <x v="1"/>
    <x v="0"/>
    <x v="0"/>
    <x v="0"/>
    <x v="0"/>
    <x v="1"/>
    <x v="1"/>
    <x v="1"/>
    <x v="1"/>
    <x v="167"/>
    <x v="4"/>
    <x v="3"/>
    <x v="3"/>
    <m/>
    <m/>
    <m/>
    <s v="0605167"/>
    <m/>
    <m/>
    <m/>
    <m/>
    <m/>
    <m/>
    <m/>
    <m/>
    <m/>
    <m/>
    <m/>
    <m/>
    <m/>
    <m/>
    <m/>
    <n v="0"/>
    <n v="0"/>
    <n v="5"/>
    <n v="0"/>
    <m/>
    <n v="0"/>
    <e v="#DIV/0!"/>
    <n v="0"/>
    <m/>
    <n v="0"/>
    <e v="#DIV/0!"/>
    <n v="0"/>
    <m/>
    <n v="0"/>
    <e v="#DIV/0!"/>
    <n v="0"/>
    <m/>
    <n v="0"/>
    <e v="#DIV/0!"/>
    <n v="0"/>
    <m/>
    <n v="0"/>
    <e v="#DIV/0!"/>
  </r>
  <r>
    <x v="5"/>
    <x v="5"/>
    <x v="5"/>
    <x v="33"/>
    <x v="0"/>
    <x v="168"/>
    <x v="168"/>
    <x v="168"/>
    <x v="168"/>
    <x v="168"/>
    <x v="8"/>
    <x v="21"/>
    <x v="0"/>
    <x v="3"/>
    <x v="17"/>
    <x v="1"/>
    <m/>
    <s v="RS"/>
    <s v="0606"/>
    <s v="Sistemas productivos eficientes"/>
    <s v="0606.RS.6.6.168."/>
    <m/>
    <m/>
    <m/>
    <m/>
    <e v="#DIV/0!"/>
    <m/>
    <m/>
    <x v="0"/>
    <x v="1"/>
    <x v="9"/>
    <m/>
    <m/>
    <m/>
    <m/>
    <m/>
    <m/>
    <m/>
    <m/>
    <n v="33.333333333333336"/>
    <x v="0"/>
    <x v="0"/>
    <x v="1"/>
    <x v="0"/>
    <x v="1"/>
    <x v="0"/>
    <x v="0"/>
    <x v="0"/>
    <x v="0"/>
    <x v="0"/>
    <x v="1"/>
    <x v="1"/>
    <x v="0"/>
    <x v="1"/>
    <x v="168"/>
    <x v="4"/>
    <x v="3"/>
    <x v="3"/>
    <m/>
    <m/>
    <m/>
    <s v="0606168"/>
    <m/>
    <m/>
    <m/>
    <m/>
    <m/>
    <m/>
    <m/>
    <m/>
    <m/>
    <m/>
    <m/>
    <m/>
    <m/>
    <m/>
    <m/>
    <n v="0"/>
    <n v="0"/>
    <n v="5"/>
    <n v="0"/>
    <m/>
    <n v="0"/>
    <e v="#DIV/0!"/>
    <n v="0"/>
    <m/>
    <n v="0"/>
    <e v="#DIV/0!"/>
    <n v="0"/>
    <m/>
    <n v="0"/>
    <e v="#DIV/0!"/>
    <n v="0"/>
    <m/>
    <n v="0"/>
    <e v="#DIV/0!"/>
    <n v="0"/>
    <m/>
    <n v="0"/>
    <e v="#DIV/0!"/>
  </r>
  <r>
    <x v="5"/>
    <x v="5"/>
    <x v="5"/>
    <x v="33"/>
    <x v="1"/>
    <x v="169"/>
    <x v="169"/>
    <x v="169"/>
    <x v="169"/>
    <x v="169"/>
    <x v="8"/>
    <x v="21"/>
    <x v="0"/>
    <x v="3"/>
    <x v="17"/>
    <x v="1"/>
    <m/>
    <s v="RS"/>
    <s v="0606"/>
    <s v="Sistemas productivos eficientes"/>
    <s v="0606.RS.6.6.169."/>
    <m/>
    <m/>
    <m/>
    <m/>
    <e v="#DIV/0!"/>
    <m/>
    <m/>
    <x v="0"/>
    <x v="1"/>
    <x v="9"/>
    <m/>
    <m/>
    <m/>
    <m/>
    <m/>
    <m/>
    <m/>
    <m/>
    <n v="33.333333333333336"/>
    <x v="0"/>
    <x v="0"/>
    <x v="1"/>
    <x v="0"/>
    <x v="1"/>
    <x v="0"/>
    <x v="0"/>
    <x v="0"/>
    <x v="0"/>
    <x v="0"/>
    <x v="1"/>
    <x v="1"/>
    <x v="0"/>
    <x v="1"/>
    <x v="169"/>
    <x v="4"/>
    <x v="3"/>
    <x v="3"/>
    <m/>
    <m/>
    <m/>
    <s v="0606169"/>
    <m/>
    <m/>
    <m/>
    <m/>
    <m/>
    <m/>
    <m/>
    <m/>
    <m/>
    <m/>
    <m/>
    <m/>
    <m/>
    <m/>
    <m/>
    <n v="0"/>
    <n v="0"/>
    <n v="5"/>
    <n v="0"/>
    <m/>
    <n v="0"/>
    <e v="#DIV/0!"/>
    <n v="0"/>
    <m/>
    <n v="0"/>
    <e v="#DIV/0!"/>
    <n v="0"/>
    <m/>
    <n v="0"/>
    <e v="#DIV/0!"/>
    <n v="0"/>
    <m/>
    <n v="0"/>
    <e v="#DIV/0!"/>
    <n v="0"/>
    <m/>
    <n v="0"/>
    <e v="#DIV/0!"/>
  </r>
  <r>
    <x v="5"/>
    <x v="5"/>
    <x v="5"/>
    <x v="33"/>
    <x v="2"/>
    <x v="170"/>
    <x v="170"/>
    <x v="170"/>
    <x v="170"/>
    <x v="170"/>
    <x v="8"/>
    <x v="21"/>
    <x v="0"/>
    <x v="3"/>
    <x v="17"/>
    <x v="0"/>
    <n v="1"/>
    <s v="RS"/>
    <s v="0606"/>
    <s v="Sistemas productivos eficientes"/>
    <s v="0606.RS.6.6.170."/>
    <m/>
    <m/>
    <m/>
    <m/>
    <e v="#DIV/0!"/>
    <m/>
    <m/>
    <x v="0"/>
    <x v="1"/>
    <x v="19"/>
    <m/>
    <m/>
    <m/>
    <m/>
    <m/>
    <m/>
    <m/>
    <m/>
    <n v="33.333333333333336"/>
    <x v="0"/>
    <x v="0"/>
    <x v="0"/>
    <x v="0"/>
    <x v="0"/>
    <x v="0"/>
    <x v="0"/>
    <x v="0"/>
    <x v="0"/>
    <x v="0"/>
    <x v="1"/>
    <x v="1"/>
    <x v="0"/>
    <x v="1"/>
    <x v="170"/>
    <x v="4"/>
    <x v="3"/>
    <x v="3"/>
    <m/>
    <m/>
    <m/>
    <s v="0606170"/>
    <m/>
    <m/>
    <m/>
    <m/>
    <m/>
    <m/>
    <m/>
    <m/>
    <m/>
    <m/>
    <m/>
    <m/>
    <m/>
    <m/>
    <m/>
    <n v="0"/>
    <n v="0"/>
    <n v="5"/>
    <n v="0"/>
    <m/>
    <n v="0"/>
    <e v="#DIV/0!"/>
    <n v="0"/>
    <m/>
    <n v="0"/>
    <e v="#DIV/0!"/>
    <n v="0"/>
    <m/>
    <n v="0"/>
    <e v="#DIV/0!"/>
    <n v="0"/>
    <m/>
    <n v="0"/>
    <e v="#DIV/0!"/>
    <n v="0"/>
    <m/>
    <n v="0"/>
    <e v="#DIV/0!"/>
  </r>
  <r>
    <x v="5"/>
    <x v="5"/>
    <x v="7"/>
    <x v="34"/>
    <x v="0"/>
    <x v="171"/>
    <x v="171"/>
    <x v="171"/>
    <x v="171"/>
    <x v="171"/>
    <x v="8"/>
    <x v="21"/>
    <x v="0"/>
    <x v="3"/>
    <x v="17"/>
    <x v="1"/>
    <n v="1"/>
    <s v="RS"/>
    <s v="0607"/>
    <s v="Sistemas universales de acceso a insumos, tecnología, asistencia técnica y otros servicios de apoyo a la producción."/>
    <s v="0607.RS.6.7.171."/>
    <m/>
    <m/>
    <m/>
    <m/>
    <e v="#DIV/0!"/>
    <m/>
    <m/>
    <x v="0"/>
    <x v="1"/>
    <x v="19"/>
    <m/>
    <m/>
    <m/>
    <m/>
    <m/>
    <m/>
    <m/>
    <m/>
    <n v="20"/>
    <x v="0"/>
    <x v="0"/>
    <x v="1"/>
    <x v="0"/>
    <x v="1"/>
    <x v="0"/>
    <x v="0"/>
    <x v="0"/>
    <x v="0"/>
    <x v="0"/>
    <x v="1"/>
    <x v="1"/>
    <x v="0"/>
    <x v="1"/>
    <x v="171"/>
    <x v="4"/>
    <x v="3"/>
    <x v="3"/>
    <m/>
    <m/>
    <m/>
    <s v="0607171"/>
    <m/>
    <m/>
    <m/>
    <m/>
    <m/>
    <m/>
    <m/>
    <m/>
    <m/>
    <m/>
    <m/>
    <m/>
    <m/>
    <m/>
    <m/>
    <n v="0"/>
    <n v="0"/>
    <n v="5"/>
    <n v="0"/>
    <m/>
    <n v="0"/>
    <e v="#DIV/0!"/>
    <n v="0"/>
    <m/>
    <n v="0"/>
    <e v="#DIV/0!"/>
    <n v="0"/>
    <m/>
    <n v="0"/>
    <e v="#DIV/0!"/>
    <n v="0"/>
    <m/>
    <n v="0"/>
    <e v="#DIV/0!"/>
    <n v="0"/>
    <m/>
    <n v="0"/>
    <e v="#DIV/0!"/>
  </r>
  <r>
    <x v="5"/>
    <x v="5"/>
    <x v="7"/>
    <x v="34"/>
    <x v="1"/>
    <x v="172"/>
    <x v="172"/>
    <x v="172"/>
    <x v="172"/>
    <x v="172"/>
    <x v="8"/>
    <x v="21"/>
    <x v="1"/>
    <x v="3"/>
    <x v="17"/>
    <x v="1"/>
    <m/>
    <s v="PC"/>
    <s v="0607"/>
    <s v="Sistemas universales de acceso a insumos, tecnología, asistencia técnica y otros servicios de apoyo a la producción."/>
    <s v="0607.PC.6.7.172."/>
    <m/>
    <m/>
    <m/>
    <m/>
    <e v="#DIV/0!"/>
    <m/>
    <m/>
    <x v="0"/>
    <x v="1"/>
    <x v="2"/>
    <m/>
    <m/>
    <m/>
    <m/>
    <m/>
    <m/>
    <m/>
    <m/>
    <n v="20"/>
    <x v="1"/>
    <x v="1"/>
    <x v="1"/>
    <x v="0"/>
    <x v="0"/>
    <x v="0"/>
    <x v="1"/>
    <x v="0"/>
    <x v="0"/>
    <x v="0"/>
    <x v="1"/>
    <x v="1"/>
    <x v="1"/>
    <x v="1"/>
    <x v="172"/>
    <x v="4"/>
    <x v="3"/>
    <x v="3"/>
    <m/>
    <m/>
    <m/>
    <s v="0607172"/>
    <m/>
    <m/>
    <m/>
    <m/>
    <m/>
    <m/>
    <m/>
    <m/>
    <m/>
    <m/>
    <m/>
    <m/>
    <m/>
    <m/>
    <m/>
    <n v="0"/>
    <n v="0"/>
    <n v="5"/>
    <n v="0"/>
    <m/>
    <n v="0"/>
    <e v="#DIV/0!"/>
    <n v="0"/>
    <m/>
    <n v="0"/>
    <e v="#DIV/0!"/>
    <n v="0"/>
    <m/>
    <n v="0"/>
    <e v="#DIV/0!"/>
    <n v="0"/>
    <m/>
    <n v="0"/>
    <e v="#DIV/0!"/>
    <n v="0"/>
    <m/>
    <n v="0"/>
    <e v="#DIV/0!"/>
  </r>
  <r>
    <x v="5"/>
    <x v="5"/>
    <x v="7"/>
    <x v="34"/>
    <x v="2"/>
    <x v="173"/>
    <x v="173"/>
    <x v="173"/>
    <x v="173"/>
    <x v="173"/>
    <x v="8"/>
    <x v="21"/>
    <x v="1"/>
    <x v="3"/>
    <x v="17"/>
    <x v="1"/>
    <m/>
    <s v="PC"/>
    <s v="0607"/>
    <s v="Sistemas universales de acceso a insumos, tecnología, asistencia técnica y otros servicios de apoyo a la producción."/>
    <s v="0607.PC.6.7.173."/>
    <m/>
    <m/>
    <m/>
    <m/>
    <e v="#DIV/0!"/>
    <m/>
    <m/>
    <x v="0"/>
    <x v="1"/>
    <x v="2"/>
    <m/>
    <m/>
    <m/>
    <m/>
    <m/>
    <m/>
    <m/>
    <m/>
    <n v="20"/>
    <x v="1"/>
    <x v="1"/>
    <x v="1"/>
    <x v="0"/>
    <x v="0"/>
    <x v="0"/>
    <x v="1"/>
    <x v="0"/>
    <x v="0"/>
    <x v="0"/>
    <x v="1"/>
    <x v="1"/>
    <x v="1"/>
    <x v="1"/>
    <x v="173"/>
    <x v="4"/>
    <x v="3"/>
    <x v="3"/>
    <m/>
    <m/>
    <m/>
    <s v="0607173"/>
    <m/>
    <m/>
    <m/>
    <m/>
    <m/>
    <m/>
    <m/>
    <m/>
    <m/>
    <m/>
    <m/>
    <m/>
    <m/>
    <m/>
    <m/>
    <n v="0"/>
    <n v="0"/>
    <n v="5"/>
    <n v="0"/>
    <m/>
    <n v="0"/>
    <e v="#DIV/0!"/>
    <n v="0"/>
    <m/>
    <n v="0"/>
    <e v="#DIV/0!"/>
    <n v="0"/>
    <m/>
    <n v="0"/>
    <e v="#DIV/0!"/>
    <n v="0"/>
    <m/>
    <n v="0"/>
    <e v="#DIV/0!"/>
    <n v="0"/>
    <m/>
    <n v="0"/>
    <e v="#DIV/0!"/>
  </r>
  <r>
    <x v="5"/>
    <x v="5"/>
    <x v="7"/>
    <x v="34"/>
    <x v="3"/>
    <x v="174"/>
    <x v="174"/>
    <x v="174"/>
    <x v="174"/>
    <x v="174"/>
    <x v="8"/>
    <x v="21"/>
    <x v="0"/>
    <x v="3"/>
    <x v="17"/>
    <x v="1"/>
    <n v="1"/>
    <s v="RS"/>
    <s v="0607"/>
    <s v="Sistemas universales de acceso a insumos, tecnología, asistencia técnica y otros servicios de apoyo a la producción."/>
    <s v="0607.RS.6.7.174."/>
    <m/>
    <m/>
    <m/>
    <m/>
    <e v="#DIV/0!"/>
    <m/>
    <m/>
    <x v="0"/>
    <x v="1"/>
    <x v="19"/>
    <m/>
    <m/>
    <m/>
    <m/>
    <m/>
    <m/>
    <m/>
    <m/>
    <n v="20"/>
    <x v="0"/>
    <x v="0"/>
    <x v="1"/>
    <x v="0"/>
    <x v="1"/>
    <x v="0"/>
    <x v="0"/>
    <x v="0"/>
    <x v="0"/>
    <x v="0"/>
    <x v="1"/>
    <x v="1"/>
    <x v="0"/>
    <x v="1"/>
    <x v="174"/>
    <x v="4"/>
    <x v="3"/>
    <x v="3"/>
    <m/>
    <m/>
    <m/>
    <s v="0607174"/>
    <m/>
    <m/>
    <m/>
    <m/>
    <m/>
    <m/>
    <m/>
    <m/>
    <m/>
    <m/>
    <m/>
    <m/>
    <m/>
    <m/>
    <m/>
    <n v="0"/>
    <n v="0"/>
    <n v="5"/>
    <n v="0"/>
    <m/>
    <n v="0"/>
    <e v="#DIV/0!"/>
    <n v="0"/>
    <m/>
    <n v="0"/>
    <e v="#DIV/0!"/>
    <n v="0"/>
    <m/>
    <n v="0"/>
    <e v="#DIV/0!"/>
    <n v="0"/>
    <m/>
    <n v="0"/>
    <e v="#DIV/0!"/>
    <n v="0"/>
    <m/>
    <n v="0"/>
    <e v="#DIV/0!"/>
  </r>
  <r>
    <x v="5"/>
    <x v="5"/>
    <x v="7"/>
    <x v="34"/>
    <x v="4"/>
    <x v="175"/>
    <x v="175"/>
    <x v="175"/>
    <x v="175"/>
    <x v="175"/>
    <x v="8"/>
    <x v="21"/>
    <x v="1"/>
    <x v="3"/>
    <x v="17"/>
    <x v="1"/>
    <m/>
    <s v="PC"/>
    <s v="0607"/>
    <s v="Sistemas universales de acceso a insumos, tecnología, asistencia técnica y otros servicios de apoyo a la producción."/>
    <s v="0607.PC.6.7.175."/>
    <m/>
    <m/>
    <m/>
    <m/>
    <e v="#DIV/0!"/>
    <m/>
    <m/>
    <x v="0"/>
    <x v="1"/>
    <x v="2"/>
    <m/>
    <m/>
    <m/>
    <m/>
    <m/>
    <m/>
    <m/>
    <m/>
    <n v="20"/>
    <x v="1"/>
    <x v="1"/>
    <x v="1"/>
    <x v="0"/>
    <x v="0"/>
    <x v="0"/>
    <x v="1"/>
    <x v="0"/>
    <x v="0"/>
    <x v="0"/>
    <x v="1"/>
    <x v="1"/>
    <x v="1"/>
    <x v="1"/>
    <x v="175"/>
    <x v="4"/>
    <x v="3"/>
    <x v="3"/>
    <m/>
    <m/>
    <m/>
    <s v="0607175"/>
    <m/>
    <m/>
    <m/>
    <m/>
    <m/>
    <m/>
    <m/>
    <m/>
    <m/>
    <m/>
    <m/>
    <m/>
    <m/>
    <m/>
    <m/>
    <n v="0"/>
    <n v="0"/>
    <n v="5"/>
    <n v="0"/>
    <m/>
    <n v="0"/>
    <e v="#DIV/0!"/>
    <n v="0"/>
    <m/>
    <n v="0"/>
    <e v="#DIV/0!"/>
    <n v="0"/>
    <m/>
    <n v="0"/>
    <e v="#DIV/0!"/>
    <n v="0"/>
    <m/>
    <n v="0"/>
    <e v="#DIV/0!"/>
    <n v="0"/>
    <m/>
    <n v="0"/>
    <e v="#DIV/0!"/>
  </r>
  <r>
    <x v="5"/>
    <x v="5"/>
    <x v="8"/>
    <x v="35"/>
    <x v="0"/>
    <x v="176"/>
    <x v="176"/>
    <x v="176"/>
    <x v="176"/>
    <x v="176"/>
    <x v="8"/>
    <x v="21"/>
    <x v="0"/>
    <x v="3"/>
    <x v="17"/>
    <x v="1"/>
    <n v="1"/>
    <s v="RS"/>
    <s v="0608"/>
    <s v="Saneamiento de la propiedad agraria."/>
    <s v="0608.RS.6.8.176."/>
    <m/>
    <m/>
    <m/>
    <m/>
    <e v="#DIV/0!"/>
    <m/>
    <m/>
    <x v="0"/>
    <x v="1"/>
    <x v="2"/>
    <m/>
    <m/>
    <m/>
    <m/>
    <m/>
    <m/>
    <m/>
    <m/>
    <n v="33.333333333333336"/>
    <x v="0"/>
    <x v="0"/>
    <x v="1"/>
    <x v="0"/>
    <x v="1"/>
    <x v="0"/>
    <x v="0"/>
    <x v="0"/>
    <x v="0"/>
    <x v="0"/>
    <x v="1"/>
    <x v="1"/>
    <x v="1"/>
    <x v="1"/>
    <x v="176"/>
    <x v="4"/>
    <x v="3"/>
    <x v="3"/>
    <m/>
    <m/>
    <m/>
    <s v="0608176"/>
    <m/>
    <m/>
    <m/>
    <m/>
    <m/>
    <m/>
    <m/>
    <m/>
    <m/>
    <m/>
    <m/>
    <m/>
    <m/>
    <m/>
    <m/>
    <n v="0"/>
    <n v="0"/>
    <n v="5"/>
    <n v="0"/>
    <m/>
    <n v="0"/>
    <e v="#DIV/0!"/>
    <n v="0"/>
    <m/>
    <n v="0"/>
    <e v="#DIV/0!"/>
    <n v="0"/>
    <m/>
    <n v="0"/>
    <e v="#DIV/0!"/>
    <n v="0"/>
    <m/>
    <n v="0"/>
    <e v="#DIV/0!"/>
    <n v="0"/>
    <m/>
    <n v="0"/>
    <e v="#DIV/0!"/>
  </r>
  <r>
    <x v="5"/>
    <x v="5"/>
    <x v="8"/>
    <x v="35"/>
    <x v="1"/>
    <x v="177"/>
    <x v="177"/>
    <x v="177"/>
    <x v="177"/>
    <x v="177"/>
    <x v="8"/>
    <x v="21"/>
    <x v="0"/>
    <x v="3"/>
    <x v="17"/>
    <x v="1"/>
    <m/>
    <s v="RS"/>
    <s v="0608"/>
    <s v="Saneamiento de la propiedad agraria."/>
    <s v="0608.RS.6.8.177."/>
    <m/>
    <m/>
    <m/>
    <m/>
    <e v="#DIV/0!"/>
    <m/>
    <m/>
    <x v="0"/>
    <x v="1"/>
    <x v="19"/>
    <m/>
    <m/>
    <m/>
    <m/>
    <m/>
    <m/>
    <m/>
    <m/>
    <n v="33.333333333333336"/>
    <x v="0"/>
    <x v="0"/>
    <x v="1"/>
    <x v="0"/>
    <x v="1"/>
    <x v="0"/>
    <x v="0"/>
    <x v="0"/>
    <x v="0"/>
    <x v="0"/>
    <x v="1"/>
    <x v="1"/>
    <x v="1"/>
    <x v="1"/>
    <x v="177"/>
    <x v="4"/>
    <x v="3"/>
    <x v="3"/>
    <m/>
    <m/>
    <m/>
    <s v="0608177"/>
    <m/>
    <m/>
    <m/>
    <m/>
    <m/>
    <m/>
    <m/>
    <m/>
    <m/>
    <m/>
    <m/>
    <m/>
    <m/>
    <m/>
    <m/>
    <n v="0"/>
    <n v="0"/>
    <n v="5"/>
    <n v="0"/>
    <m/>
    <n v="0"/>
    <e v="#DIV/0!"/>
    <n v="0"/>
    <m/>
    <n v="0"/>
    <e v="#DIV/0!"/>
    <n v="0"/>
    <m/>
    <n v="0"/>
    <e v="#DIV/0!"/>
    <n v="0"/>
    <m/>
    <n v="0"/>
    <e v="#DIV/0!"/>
    <n v="0"/>
    <m/>
    <n v="0"/>
    <e v="#DIV/0!"/>
  </r>
  <r>
    <x v="5"/>
    <x v="5"/>
    <x v="8"/>
    <x v="35"/>
    <x v="2"/>
    <x v="178"/>
    <x v="178"/>
    <x v="178"/>
    <x v="178"/>
    <x v="178"/>
    <x v="8"/>
    <x v="21"/>
    <x v="2"/>
    <x v="3"/>
    <x v="17"/>
    <x v="1"/>
    <m/>
    <s v="PD"/>
    <s v="0608"/>
    <s v="Saneamiento de la propiedad agraria."/>
    <s v="0608.PD.6.8.178."/>
    <m/>
    <m/>
    <m/>
    <m/>
    <e v="#DIV/0!"/>
    <m/>
    <m/>
    <x v="0"/>
    <x v="1"/>
    <x v="2"/>
    <m/>
    <m/>
    <m/>
    <m/>
    <m/>
    <m/>
    <m/>
    <m/>
    <n v="33.333333333333336"/>
    <x v="1"/>
    <x v="1"/>
    <x v="1"/>
    <x v="0"/>
    <x v="0"/>
    <x v="0"/>
    <x v="1"/>
    <x v="0"/>
    <x v="0"/>
    <x v="0"/>
    <x v="1"/>
    <x v="1"/>
    <x v="0"/>
    <x v="1"/>
    <x v="178"/>
    <x v="4"/>
    <x v="3"/>
    <x v="3"/>
    <m/>
    <m/>
    <m/>
    <s v="0608178"/>
    <m/>
    <m/>
    <m/>
    <m/>
    <m/>
    <m/>
    <m/>
    <m/>
    <m/>
    <m/>
    <m/>
    <m/>
    <m/>
    <m/>
    <m/>
    <n v="0"/>
    <n v="0"/>
    <n v="5"/>
    <n v="0"/>
    <m/>
    <n v="0"/>
    <e v="#DIV/0!"/>
    <n v="0"/>
    <m/>
    <n v="0"/>
    <e v="#DIV/0!"/>
    <n v="0"/>
    <m/>
    <n v="0"/>
    <e v="#DIV/0!"/>
    <n v="0"/>
    <m/>
    <n v="0"/>
    <e v="#DIV/0!"/>
    <n v="0"/>
    <m/>
    <n v="0"/>
    <e v="#DIV/0!"/>
  </r>
  <r>
    <x v="5"/>
    <x v="5"/>
    <x v="9"/>
    <x v="36"/>
    <x v="0"/>
    <x v="179"/>
    <x v="179"/>
    <x v="179"/>
    <x v="179"/>
    <x v="179"/>
    <x v="7"/>
    <x v="19"/>
    <x v="0"/>
    <x v="3"/>
    <x v="13"/>
    <x v="0"/>
    <n v="1"/>
    <s v="RS"/>
    <s v="0609"/>
    <s v="Democratización de los medios y factores de producción"/>
    <s v="0609.RS.6.9.179."/>
    <m/>
    <m/>
    <m/>
    <m/>
    <e v="#DIV/0!"/>
    <m/>
    <m/>
    <x v="0"/>
    <x v="1"/>
    <x v="14"/>
    <m/>
    <m/>
    <m/>
    <m/>
    <m/>
    <m/>
    <m/>
    <m/>
    <n v="16.666666666666668"/>
    <x v="0"/>
    <x v="0"/>
    <x v="0"/>
    <x v="0"/>
    <x v="0"/>
    <x v="0"/>
    <x v="0"/>
    <x v="0"/>
    <x v="0"/>
    <x v="0"/>
    <x v="1"/>
    <x v="1"/>
    <x v="0"/>
    <x v="1"/>
    <x v="179"/>
    <x v="4"/>
    <x v="3"/>
    <x v="3"/>
    <m/>
    <m/>
    <m/>
    <s v="0609179"/>
    <m/>
    <m/>
    <m/>
    <m/>
    <m/>
    <m/>
    <m/>
    <m/>
    <m/>
    <m/>
    <m/>
    <m/>
    <m/>
    <m/>
    <m/>
    <n v="0"/>
    <n v="0"/>
    <n v="5"/>
    <n v="0"/>
    <m/>
    <n v="0"/>
    <e v="#DIV/0!"/>
    <n v="0"/>
    <m/>
    <n v="0"/>
    <e v="#DIV/0!"/>
    <n v="0"/>
    <m/>
    <n v="0"/>
    <e v="#DIV/0!"/>
    <n v="0"/>
    <m/>
    <n v="0"/>
    <e v="#DIV/0!"/>
    <n v="0"/>
    <m/>
    <n v="0"/>
    <e v="#DIV/0!"/>
  </r>
  <r>
    <x v="5"/>
    <x v="5"/>
    <x v="9"/>
    <x v="36"/>
    <x v="1"/>
    <x v="180"/>
    <x v="180"/>
    <x v="180"/>
    <x v="180"/>
    <x v="180"/>
    <x v="7"/>
    <x v="19"/>
    <x v="0"/>
    <x v="3"/>
    <x v="13"/>
    <x v="1"/>
    <n v="1"/>
    <s v="RS"/>
    <s v="0609"/>
    <s v="Democratización de los medios y factores de producción"/>
    <s v="0609.RS.6.9.180."/>
    <m/>
    <m/>
    <m/>
    <m/>
    <e v="#DIV/0!"/>
    <m/>
    <m/>
    <x v="0"/>
    <x v="1"/>
    <x v="14"/>
    <m/>
    <m/>
    <m/>
    <m/>
    <m/>
    <m/>
    <m/>
    <m/>
    <n v="16.666666666666668"/>
    <x v="0"/>
    <x v="0"/>
    <x v="0"/>
    <x v="0"/>
    <x v="0"/>
    <x v="0"/>
    <x v="0"/>
    <x v="0"/>
    <x v="0"/>
    <x v="0"/>
    <x v="0"/>
    <x v="0"/>
    <x v="0"/>
    <x v="1"/>
    <x v="180"/>
    <x v="4"/>
    <x v="3"/>
    <x v="3"/>
    <m/>
    <m/>
    <m/>
    <s v="0609180"/>
    <m/>
    <m/>
    <m/>
    <m/>
    <m/>
    <m/>
    <m/>
    <m/>
    <m/>
    <m/>
    <m/>
    <m/>
    <m/>
    <m/>
    <m/>
    <n v="0"/>
    <n v="0"/>
    <n v="5"/>
    <n v="0"/>
    <m/>
    <n v="0"/>
    <e v="#DIV/0!"/>
    <n v="0"/>
    <m/>
    <n v="0"/>
    <e v="#DIV/0!"/>
    <n v="0"/>
    <m/>
    <n v="0"/>
    <e v="#DIV/0!"/>
    <n v="0"/>
    <m/>
    <n v="0"/>
    <e v="#DIV/0!"/>
    <n v="0"/>
    <m/>
    <n v="0"/>
    <e v="#DIV/0!"/>
  </r>
  <r>
    <x v="5"/>
    <x v="5"/>
    <x v="9"/>
    <x v="36"/>
    <x v="2"/>
    <x v="181"/>
    <x v="181"/>
    <x v="181"/>
    <x v="181"/>
    <x v="181"/>
    <x v="7"/>
    <x v="19"/>
    <x v="1"/>
    <x v="3"/>
    <x v="13"/>
    <x v="1"/>
    <m/>
    <s v="PC"/>
    <s v="0609"/>
    <s v="Democratización de los medios y factores de producción"/>
    <s v="0609.PC.6.9.181."/>
    <m/>
    <m/>
    <m/>
    <m/>
    <e v="#DIV/0!"/>
    <m/>
    <m/>
    <x v="0"/>
    <x v="1"/>
    <x v="2"/>
    <m/>
    <m/>
    <m/>
    <m/>
    <m/>
    <m/>
    <m/>
    <m/>
    <n v="16.666666666666668"/>
    <x v="1"/>
    <x v="1"/>
    <x v="1"/>
    <x v="0"/>
    <x v="0"/>
    <x v="0"/>
    <x v="1"/>
    <x v="0"/>
    <x v="0"/>
    <x v="0"/>
    <x v="1"/>
    <x v="1"/>
    <x v="1"/>
    <x v="1"/>
    <x v="181"/>
    <x v="4"/>
    <x v="3"/>
    <x v="3"/>
    <m/>
    <m/>
    <m/>
    <s v="0609181"/>
    <m/>
    <m/>
    <m/>
    <m/>
    <m/>
    <m/>
    <m/>
    <m/>
    <m/>
    <m/>
    <m/>
    <m/>
    <m/>
    <m/>
    <m/>
    <n v="0"/>
    <n v="0"/>
    <n v="5"/>
    <n v="0"/>
    <m/>
    <n v="0"/>
    <e v="#DIV/0!"/>
    <n v="0"/>
    <m/>
    <n v="0"/>
    <e v="#DIV/0!"/>
    <n v="0"/>
    <m/>
    <n v="0"/>
    <e v="#DIV/0!"/>
    <n v="0"/>
    <m/>
    <n v="0"/>
    <e v="#DIV/0!"/>
    <n v="0"/>
    <m/>
    <n v="0"/>
    <e v="#DIV/0!"/>
  </r>
  <r>
    <x v="5"/>
    <x v="5"/>
    <x v="9"/>
    <x v="36"/>
    <x v="3"/>
    <x v="182"/>
    <x v="182"/>
    <x v="182"/>
    <x v="182"/>
    <x v="182"/>
    <x v="7"/>
    <x v="19"/>
    <x v="1"/>
    <x v="3"/>
    <x v="13"/>
    <x v="1"/>
    <m/>
    <s v="PC"/>
    <s v="0609"/>
    <s v="Democratización de los medios y factores de producción"/>
    <s v="0609.PC.6.9.182."/>
    <m/>
    <m/>
    <m/>
    <m/>
    <e v="#DIV/0!"/>
    <m/>
    <m/>
    <x v="0"/>
    <x v="1"/>
    <x v="2"/>
    <m/>
    <m/>
    <m/>
    <m/>
    <m/>
    <m/>
    <m/>
    <m/>
    <n v="16.666666666666668"/>
    <x v="1"/>
    <x v="1"/>
    <x v="1"/>
    <x v="0"/>
    <x v="0"/>
    <x v="0"/>
    <x v="1"/>
    <x v="0"/>
    <x v="0"/>
    <x v="0"/>
    <x v="1"/>
    <x v="1"/>
    <x v="1"/>
    <x v="1"/>
    <x v="182"/>
    <x v="4"/>
    <x v="3"/>
    <x v="3"/>
    <m/>
    <m/>
    <m/>
    <s v="0609182"/>
    <m/>
    <m/>
    <m/>
    <m/>
    <m/>
    <m/>
    <m/>
    <m/>
    <m/>
    <m/>
    <m/>
    <m/>
    <m/>
    <m/>
    <m/>
    <n v="0"/>
    <n v="0"/>
    <n v="5"/>
    <n v="0"/>
    <m/>
    <n v="0"/>
    <e v="#DIV/0!"/>
    <n v="0"/>
    <m/>
    <n v="0"/>
    <e v="#DIV/0!"/>
    <n v="0"/>
    <m/>
    <n v="0"/>
    <e v="#DIV/0!"/>
    <n v="0"/>
    <m/>
    <n v="0"/>
    <e v="#DIV/0!"/>
    <n v="0"/>
    <m/>
    <n v="0"/>
    <e v="#DIV/0!"/>
  </r>
  <r>
    <x v="5"/>
    <x v="5"/>
    <x v="9"/>
    <x v="36"/>
    <x v="4"/>
    <x v="183"/>
    <x v="183"/>
    <x v="183"/>
    <x v="183"/>
    <x v="183"/>
    <x v="7"/>
    <x v="19"/>
    <x v="0"/>
    <x v="3"/>
    <x v="13"/>
    <x v="0"/>
    <n v="1"/>
    <s v="RS"/>
    <s v="0609"/>
    <s v="Democratización de los medios y factores de producción"/>
    <s v="0609.RS.6.9.183."/>
    <m/>
    <m/>
    <m/>
    <m/>
    <e v="#DIV/0!"/>
    <m/>
    <m/>
    <x v="0"/>
    <x v="0"/>
    <x v="20"/>
    <m/>
    <m/>
    <m/>
    <m/>
    <m/>
    <m/>
    <m/>
    <m/>
    <n v="16.666666666666668"/>
    <x v="0"/>
    <x v="0"/>
    <x v="0"/>
    <x v="0"/>
    <x v="0"/>
    <x v="0"/>
    <x v="0"/>
    <x v="0"/>
    <x v="0"/>
    <x v="0"/>
    <x v="1"/>
    <x v="1"/>
    <x v="0"/>
    <x v="1"/>
    <x v="183"/>
    <x v="4"/>
    <x v="3"/>
    <x v="3"/>
    <m/>
    <m/>
    <m/>
    <s v="0609183"/>
    <m/>
    <m/>
    <m/>
    <m/>
    <m/>
    <m/>
    <m/>
    <m/>
    <m/>
    <m/>
    <m/>
    <m/>
    <m/>
    <m/>
    <m/>
    <n v="0"/>
    <n v="0"/>
    <n v="5"/>
    <n v="0"/>
    <m/>
    <n v="0"/>
    <e v="#DIV/0!"/>
    <n v="0"/>
    <m/>
    <n v="0"/>
    <e v="#DIV/0!"/>
    <n v="0"/>
    <m/>
    <n v="0"/>
    <e v="#DIV/0!"/>
    <n v="0"/>
    <m/>
    <n v="0"/>
    <e v="#DIV/0!"/>
    <n v="0"/>
    <m/>
    <n v="0"/>
    <e v="#DIV/0!"/>
  </r>
  <r>
    <x v="5"/>
    <x v="5"/>
    <x v="9"/>
    <x v="36"/>
    <x v="5"/>
    <x v="184"/>
    <x v="184"/>
    <x v="184"/>
    <x v="184"/>
    <x v="184"/>
    <x v="7"/>
    <x v="19"/>
    <x v="0"/>
    <x v="3"/>
    <x v="13"/>
    <x v="0"/>
    <n v="1"/>
    <s v="RS"/>
    <s v="0609"/>
    <s v="Democratización de los medios y factores de producción"/>
    <s v="0609.RS.6.9.184."/>
    <m/>
    <m/>
    <m/>
    <m/>
    <e v="#DIV/0!"/>
    <m/>
    <m/>
    <x v="0"/>
    <x v="0"/>
    <x v="20"/>
    <m/>
    <m/>
    <m/>
    <m/>
    <m/>
    <m/>
    <m/>
    <m/>
    <n v="16.666666666666668"/>
    <x v="0"/>
    <x v="0"/>
    <x v="0"/>
    <x v="0"/>
    <x v="0"/>
    <x v="0"/>
    <x v="0"/>
    <x v="0"/>
    <x v="0"/>
    <x v="0"/>
    <x v="1"/>
    <x v="1"/>
    <x v="0"/>
    <x v="1"/>
    <x v="184"/>
    <x v="4"/>
    <x v="3"/>
    <x v="3"/>
    <m/>
    <m/>
    <m/>
    <s v="0609184"/>
    <m/>
    <m/>
    <m/>
    <m/>
    <m/>
    <m/>
    <m/>
    <m/>
    <m/>
    <m/>
    <m/>
    <m/>
    <m/>
    <m/>
    <m/>
    <n v="0"/>
    <n v="0"/>
    <n v="5"/>
    <n v="0"/>
    <m/>
    <n v="0"/>
    <e v="#DIV/0!"/>
    <n v="0"/>
    <m/>
    <n v="0"/>
    <e v="#DIV/0!"/>
    <n v="0"/>
    <m/>
    <n v="0"/>
    <e v="#DIV/0!"/>
    <n v="0"/>
    <m/>
    <n v="0"/>
    <e v="#DIV/0!"/>
    <n v="0"/>
    <m/>
    <n v="0"/>
    <e v="#DIV/0!"/>
  </r>
  <r>
    <x v="5"/>
    <x v="5"/>
    <x v="10"/>
    <x v="37"/>
    <x v="0"/>
    <x v="185"/>
    <x v="185"/>
    <x v="185"/>
    <x v="185"/>
    <x v="185"/>
    <x v="7"/>
    <x v="19"/>
    <x v="0"/>
    <x v="3"/>
    <x v="19"/>
    <x v="0"/>
    <n v="1"/>
    <s v="RS"/>
    <s v="0610"/>
    <s v="Empleo"/>
    <s v="0610.RS.6.10.185."/>
    <m/>
    <m/>
    <m/>
    <m/>
    <e v="#DIV/0!"/>
    <m/>
    <m/>
    <x v="0"/>
    <x v="0"/>
    <x v="2"/>
    <m/>
    <m/>
    <m/>
    <m/>
    <m/>
    <m/>
    <m/>
    <m/>
    <n v="50"/>
    <x v="0"/>
    <x v="0"/>
    <x v="0"/>
    <x v="0"/>
    <x v="0"/>
    <x v="0"/>
    <x v="0"/>
    <x v="0"/>
    <x v="0"/>
    <x v="0"/>
    <x v="0"/>
    <x v="0"/>
    <x v="0"/>
    <x v="1"/>
    <x v="185"/>
    <x v="4"/>
    <x v="3"/>
    <x v="3"/>
    <m/>
    <m/>
    <m/>
    <s v="06010185"/>
    <m/>
    <m/>
    <m/>
    <m/>
    <m/>
    <m/>
    <m/>
    <m/>
    <m/>
    <m/>
    <m/>
    <m/>
    <m/>
    <m/>
    <m/>
    <n v="0"/>
    <n v="0"/>
    <n v="5"/>
    <n v="0"/>
    <m/>
    <n v="0"/>
    <e v="#DIV/0!"/>
    <n v="0"/>
    <m/>
    <n v="0"/>
    <e v="#DIV/0!"/>
    <n v="0"/>
    <m/>
    <n v="0"/>
    <e v="#DIV/0!"/>
    <n v="0"/>
    <m/>
    <n v="0"/>
    <e v="#DIV/0!"/>
    <n v="0"/>
    <m/>
    <n v="0"/>
    <e v="#DIV/0!"/>
  </r>
  <r>
    <x v="5"/>
    <x v="5"/>
    <x v="10"/>
    <x v="37"/>
    <x v="1"/>
    <x v="186"/>
    <x v="186"/>
    <x v="186"/>
    <x v="186"/>
    <x v="186"/>
    <x v="7"/>
    <x v="19"/>
    <x v="0"/>
    <x v="0"/>
    <x v="19"/>
    <x v="0"/>
    <n v="1"/>
    <s v="RS"/>
    <s v="0610"/>
    <s v="Empleo"/>
    <s v="0610.RS.6.10.186."/>
    <m/>
    <m/>
    <m/>
    <m/>
    <e v="#DIV/0!"/>
    <m/>
    <m/>
    <x v="0"/>
    <x v="0"/>
    <x v="2"/>
    <m/>
    <m/>
    <m/>
    <m/>
    <m/>
    <m/>
    <m/>
    <m/>
    <n v="50"/>
    <x v="0"/>
    <x v="0"/>
    <x v="0"/>
    <x v="0"/>
    <x v="0"/>
    <x v="0"/>
    <x v="0"/>
    <x v="0"/>
    <x v="0"/>
    <x v="0"/>
    <x v="0"/>
    <x v="0"/>
    <x v="0"/>
    <x v="1"/>
    <x v="186"/>
    <x v="4"/>
    <x v="3"/>
    <x v="3"/>
    <m/>
    <m/>
    <m/>
    <s v="06010186"/>
    <m/>
    <m/>
    <m/>
    <m/>
    <m/>
    <m/>
    <m/>
    <m/>
    <m/>
    <m/>
    <m/>
    <m/>
    <m/>
    <m/>
    <m/>
    <n v="0"/>
    <n v="0"/>
    <n v="5"/>
    <n v="0"/>
    <m/>
    <n v="0"/>
    <e v="#DIV/0!"/>
    <n v="0"/>
    <m/>
    <n v="0"/>
    <e v="#DIV/0!"/>
    <n v="0"/>
    <m/>
    <n v="0"/>
    <e v="#DIV/0!"/>
    <n v="0"/>
    <m/>
    <n v="0"/>
    <e v="#DIV/0!"/>
    <n v="0"/>
    <m/>
    <n v="0"/>
    <e v="#DIV/0!"/>
  </r>
  <r>
    <x v="5"/>
    <x v="5"/>
    <x v="11"/>
    <x v="38"/>
    <x v="0"/>
    <x v="187"/>
    <x v="187"/>
    <x v="187"/>
    <x v="187"/>
    <x v="187"/>
    <x v="7"/>
    <x v="19"/>
    <x v="0"/>
    <x v="0"/>
    <x v="19"/>
    <x v="1"/>
    <m/>
    <s v="RS"/>
    <s v="0611"/>
    <s v="Desarrollo integral, empleo y crecimiento económico en todos los municipios y departamentos."/>
    <s v="0611.RS.6.11.187."/>
    <m/>
    <m/>
    <m/>
    <m/>
    <e v="#DIV/0!"/>
    <m/>
    <m/>
    <x v="1"/>
    <x v="1"/>
    <x v="2"/>
    <m/>
    <m/>
    <m/>
    <m/>
    <m/>
    <m/>
    <m/>
    <m/>
    <n v="50"/>
    <x v="0"/>
    <x v="0"/>
    <x v="1"/>
    <x v="0"/>
    <x v="1"/>
    <x v="0"/>
    <x v="0"/>
    <x v="0"/>
    <x v="0"/>
    <x v="0"/>
    <x v="1"/>
    <x v="1"/>
    <x v="0"/>
    <x v="1"/>
    <x v="187"/>
    <x v="4"/>
    <x v="3"/>
    <x v="3"/>
    <m/>
    <m/>
    <m/>
    <s v="06011187"/>
    <m/>
    <m/>
    <m/>
    <m/>
    <m/>
    <m/>
    <m/>
    <m/>
    <m/>
    <m/>
    <m/>
    <m/>
    <m/>
    <m/>
    <m/>
    <n v="0"/>
    <n v="0"/>
    <n v="5"/>
    <n v="0"/>
    <m/>
    <n v="0"/>
    <e v="#DIV/0!"/>
    <n v="0"/>
    <m/>
    <n v="0"/>
    <e v="#DIV/0!"/>
    <n v="0"/>
    <m/>
    <n v="0"/>
    <e v="#DIV/0!"/>
    <n v="0"/>
    <m/>
    <n v="0"/>
    <e v="#DIV/0!"/>
    <n v="0"/>
    <m/>
    <n v="0"/>
    <e v="#DIV/0!"/>
  </r>
  <r>
    <x v="5"/>
    <x v="5"/>
    <x v="11"/>
    <x v="38"/>
    <x v="1"/>
    <x v="188"/>
    <x v="188"/>
    <x v="188"/>
    <x v="188"/>
    <x v="188"/>
    <x v="7"/>
    <x v="19"/>
    <x v="0"/>
    <x v="3"/>
    <x v="13"/>
    <x v="1"/>
    <m/>
    <s v="RS"/>
    <s v="0611"/>
    <s v="Desarrollo integral, empleo y crecimiento económico en todos los municipios y departamentos."/>
    <s v="0611.RS.6.11.188."/>
    <m/>
    <m/>
    <m/>
    <m/>
    <e v="#DIV/0!"/>
    <m/>
    <m/>
    <x v="1"/>
    <x v="1"/>
    <x v="2"/>
    <m/>
    <m/>
    <m/>
    <m/>
    <m/>
    <m/>
    <m/>
    <m/>
    <n v="50"/>
    <x v="0"/>
    <x v="0"/>
    <x v="1"/>
    <x v="0"/>
    <x v="1"/>
    <x v="0"/>
    <x v="0"/>
    <x v="0"/>
    <x v="0"/>
    <x v="0"/>
    <x v="1"/>
    <x v="1"/>
    <x v="0"/>
    <x v="1"/>
    <x v="188"/>
    <x v="4"/>
    <x v="3"/>
    <x v="3"/>
    <m/>
    <m/>
    <m/>
    <s v="06011188"/>
    <m/>
    <m/>
    <m/>
    <m/>
    <m/>
    <m/>
    <m/>
    <m/>
    <m/>
    <m/>
    <m/>
    <m/>
    <m/>
    <m/>
    <m/>
    <n v="0"/>
    <n v="0"/>
    <n v="5"/>
    <n v="0"/>
    <m/>
    <n v="0"/>
    <e v="#DIV/0!"/>
    <n v="0"/>
    <m/>
    <n v="0"/>
    <e v="#DIV/0!"/>
    <n v="0"/>
    <m/>
    <n v="0"/>
    <e v="#DIV/0!"/>
    <n v="0"/>
    <m/>
    <n v="0"/>
    <e v="#DIV/0!"/>
    <n v="0"/>
    <m/>
    <n v="0"/>
    <e v="#DIV/0!"/>
  </r>
  <r>
    <x v="5"/>
    <x v="5"/>
    <x v="12"/>
    <x v="39"/>
    <x v="0"/>
    <x v="189"/>
    <x v="189"/>
    <x v="189"/>
    <x v="189"/>
    <x v="189"/>
    <x v="7"/>
    <x v="19"/>
    <x v="0"/>
    <x v="3"/>
    <x v="13"/>
    <x v="1"/>
    <n v="1"/>
    <s v="RS"/>
    <s v="0612"/>
    <s v="Aprovechamiento de los beneficios de los tratados comerciales"/>
    <s v="0612.RS.6.12.189."/>
    <m/>
    <m/>
    <m/>
    <m/>
    <e v="#DIV/0!"/>
    <m/>
    <m/>
    <x v="0"/>
    <x v="1"/>
    <x v="14"/>
    <m/>
    <m/>
    <m/>
    <m/>
    <m/>
    <m/>
    <m/>
    <m/>
    <n v="33.333333333333336"/>
    <x v="0"/>
    <x v="0"/>
    <x v="0"/>
    <x v="0"/>
    <x v="0"/>
    <x v="0"/>
    <x v="0"/>
    <x v="0"/>
    <x v="0"/>
    <x v="0"/>
    <x v="0"/>
    <x v="0"/>
    <x v="0"/>
    <x v="1"/>
    <x v="189"/>
    <x v="4"/>
    <x v="3"/>
    <x v="3"/>
    <m/>
    <m/>
    <m/>
    <s v="06012189"/>
    <m/>
    <m/>
    <m/>
    <m/>
    <m/>
    <m/>
    <m/>
    <m/>
    <m/>
    <m/>
    <m/>
    <m/>
    <m/>
    <m/>
    <m/>
    <n v="0"/>
    <n v="0"/>
    <n v="5"/>
    <n v="0"/>
    <m/>
    <n v="0"/>
    <e v="#DIV/0!"/>
    <n v="0"/>
    <m/>
    <n v="0"/>
    <e v="#DIV/0!"/>
    <n v="0"/>
    <m/>
    <n v="0"/>
    <e v="#DIV/0!"/>
    <n v="0"/>
    <m/>
    <n v="0"/>
    <e v="#DIV/0!"/>
    <n v="0"/>
    <m/>
    <n v="0"/>
    <e v="#DIV/0!"/>
  </r>
  <r>
    <x v="5"/>
    <x v="5"/>
    <x v="12"/>
    <x v="39"/>
    <x v="1"/>
    <x v="190"/>
    <x v="190"/>
    <x v="190"/>
    <x v="190"/>
    <x v="190"/>
    <x v="7"/>
    <x v="19"/>
    <x v="0"/>
    <x v="3"/>
    <x v="13"/>
    <x v="1"/>
    <m/>
    <s v="RS"/>
    <s v="0612"/>
    <s v="Aprovechamiento de los beneficios de los tratados comerciales"/>
    <s v="0612.RS.6.12.190."/>
    <m/>
    <m/>
    <m/>
    <m/>
    <e v="#DIV/0!"/>
    <m/>
    <m/>
    <x v="0"/>
    <x v="1"/>
    <x v="19"/>
    <m/>
    <m/>
    <m/>
    <m/>
    <m/>
    <m/>
    <m/>
    <m/>
    <n v="33.333333333333336"/>
    <x v="0"/>
    <x v="0"/>
    <x v="1"/>
    <x v="0"/>
    <x v="1"/>
    <x v="0"/>
    <x v="0"/>
    <x v="0"/>
    <x v="0"/>
    <x v="0"/>
    <x v="1"/>
    <x v="1"/>
    <x v="0"/>
    <x v="1"/>
    <x v="190"/>
    <x v="4"/>
    <x v="3"/>
    <x v="3"/>
    <m/>
    <m/>
    <m/>
    <s v="06012190"/>
    <m/>
    <m/>
    <m/>
    <m/>
    <m/>
    <m/>
    <m/>
    <m/>
    <m/>
    <m/>
    <m/>
    <m/>
    <m/>
    <m/>
    <m/>
    <n v="0"/>
    <n v="0"/>
    <n v="5"/>
    <n v="0"/>
    <m/>
    <n v="0"/>
    <e v="#DIV/0!"/>
    <n v="0"/>
    <m/>
    <n v="0"/>
    <e v="#DIV/0!"/>
    <n v="0"/>
    <m/>
    <n v="0"/>
    <e v="#DIV/0!"/>
    <n v="0"/>
    <m/>
    <n v="0"/>
    <e v="#DIV/0!"/>
    <n v="0"/>
    <m/>
    <n v="0"/>
    <e v="#DIV/0!"/>
  </r>
  <r>
    <x v="5"/>
    <x v="5"/>
    <x v="12"/>
    <x v="39"/>
    <x v="2"/>
    <x v="191"/>
    <x v="191"/>
    <x v="191"/>
    <x v="191"/>
    <x v="191"/>
    <x v="7"/>
    <x v="19"/>
    <x v="0"/>
    <x v="3"/>
    <x v="13"/>
    <x v="1"/>
    <m/>
    <s v="RS"/>
    <s v="0612"/>
    <s v="Aprovechamiento de los beneficios de los tratados comerciales"/>
    <s v="0612.RS.6.12.191."/>
    <m/>
    <m/>
    <m/>
    <m/>
    <e v="#DIV/0!"/>
    <m/>
    <m/>
    <x v="1"/>
    <x v="1"/>
    <x v="2"/>
    <m/>
    <m/>
    <m/>
    <m/>
    <m/>
    <m/>
    <m/>
    <m/>
    <n v="33.333333333333336"/>
    <x v="0"/>
    <x v="0"/>
    <x v="1"/>
    <x v="0"/>
    <x v="1"/>
    <x v="0"/>
    <x v="0"/>
    <x v="0"/>
    <x v="0"/>
    <x v="0"/>
    <x v="1"/>
    <x v="1"/>
    <x v="0"/>
    <x v="1"/>
    <x v="191"/>
    <x v="4"/>
    <x v="3"/>
    <x v="3"/>
    <m/>
    <m/>
    <m/>
    <s v="06012191"/>
    <m/>
    <m/>
    <m/>
    <m/>
    <m/>
    <m/>
    <m/>
    <m/>
    <m/>
    <m/>
    <m/>
    <m/>
    <m/>
    <m/>
    <m/>
    <n v="0"/>
    <n v="0"/>
    <n v="5"/>
    <n v="0"/>
    <m/>
    <n v="0"/>
    <e v="#DIV/0!"/>
    <n v="0"/>
    <m/>
    <n v="0"/>
    <e v="#DIV/0!"/>
    <n v="0"/>
    <m/>
    <n v="0"/>
    <e v="#DIV/0!"/>
    <n v="0"/>
    <m/>
    <n v="0"/>
    <e v="#DIV/0!"/>
    <n v="0"/>
    <m/>
    <n v="0"/>
    <e v="#DIV/0!"/>
  </r>
  <r>
    <x v="6"/>
    <x v="6"/>
    <x v="0"/>
    <x v="40"/>
    <x v="0"/>
    <x v="192"/>
    <x v="192"/>
    <x v="192"/>
    <x v="192"/>
    <x v="192"/>
    <x v="9"/>
    <x v="23"/>
    <x v="0"/>
    <x v="3"/>
    <x v="20"/>
    <x v="1"/>
    <m/>
    <s v="RS"/>
    <s v="0701"/>
    <s v="Recursos naturales y servicios estratégicos  nacionalizados y  administrados por el Estado "/>
    <s v="0701.RS.7.1.192."/>
    <m/>
    <m/>
    <m/>
    <m/>
    <e v="#DIV/0!"/>
    <m/>
    <m/>
    <x v="1"/>
    <x v="1"/>
    <x v="2"/>
    <m/>
    <m/>
    <m/>
    <m/>
    <m/>
    <m/>
    <m/>
    <m/>
    <n v="25"/>
    <x v="0"/>
    <x v="0"/>
    <x v="1"/>
    <x v="0"/>
    <x v="1"/>
    <x v="0"/>
    <x v="0"/>
    <x v="0"/>
    <x v="0"/>
    <x v="0"/>
    <x v="1"/>
    <x v="1"/>
    <x v="1"/>
    <x v="1"/>
    <x v="192"/>
    <x v="4"/>
    <x v="3"/>
    <x v="3"/>
    <m/>
    <m/>
    <m/>
    <s v="0701192"/>
    <m/>
    <m/>
    <m/>
    <m/>
    <m/>
    <m/>
    <m/>
    <m/>
    <m/>
    <m/>
    <m/>
    <m/>
    <m/>
    <m/>
    <m/>
    <n v="0"/>
    <n v="0"/>
    <n v="5"/>
    <n v="0"/>
    <m/>
    <n v="0"/>
    <e v="#DIV/0!"/>
    <n v="0"/>
    <m/>
    <n v="0"/>
    <e v="#DIV/0!"/>
    <n v="0"/>
    <m/>
    <n v="0"/>
    <e v="#DIV/0!"/>
    <n v="0"/>
    <m/>
    <n v="0"/>
    <e v="#DIV/0!"/>
    <n v="0"/>
    <m/>
    <n v="0"/>
    <e v="#DIV/0!"/>
  </r>
  <r>
    <x v="6"/>
    <x v="6"/>
    <x v="0"/>
    <x v="40"/>
    <x v="1"/>
    <x v="193"/>
    <x v="193"/>
    <x v="193"/>
    <x v="193"/>
    <x v="193"/>
    <x v="9"/>
    <x v="23"/>
    <x v="1"/>
    <x v="3"/>
    <x v="20"/>
    <x v="1"/>
    <m/>
    <s v="PC"/>
    <s v="0701"/>
    <s v="Recursos naturales y servicios estratégicos  nacionalizados y  administrados por el Estado "/>
    <s v="0701.PC.7.1.193."/>
    <m/>
    <m/>
    <m/>
    <m/>
    <e v="#DIV/0!"/>
    <m/>
    <m/>
    <x v="0"/>
    <x v="1"/>
    <x v="2"/>
    <m/>
    <m/>
    <m/>
    <m/>
    <m/>
    <m/>
    <m/>
    <m/>
    <n v="25"/>
    <x v="1"/>
    <x v="1"/>
    <x v="1"/>
    <x v="0"/>
    <x v="0"/>
    <x v="0"/>
    <x v="1"/>
    <x v="0"/>
    <x v="0"/>
    <x v="0"/>
    <x v="1"/>
    <x v="1"/>
    <x v="1"/>
    <x v="1"/>
    <x v="193"/>
    <x v="4"/>
    <x v="3"/>
    <x v="3"/>
    <m/>
    <m/>
    <m/>
    <s v="0701193"/>
    <m/>
    <m/>
    <m/>
    <m/>
    <m/>
    <m/>
    <m/>
    <m/>
    <m/>
    <m/>
    <m/>
    <m/>
    <m/>
    <m/>
    <m/>
    <n v="0"/>
    <n v="0"/>
    <n v="5"/>
    <n v="0"/>
    <m/>
    <n v="0"/>
    <e v="#DIV/0!"/>
    <n v="0"/>
    <m/>
    <n v="0"/>
    <e v="#DIV/0!"/>
    <n v="0"/>
    <m/>
    <n v="0"/>
    <e v="#DIV/0!"/>
    <n v="0"/>
    <m/>
    <n v="0"/>
    <e v="#DIV/0!"/>
    <n v="0"/>
    <m/>
    <n v="0"/>
    <e v="#DIV/0!"/>
  </r>
  <r>
    <x v="6"/>
    <x v="6"/>
    <x v="0"/>
    <x v="40"/>
    <x v="2"/>
    <x v="194"/>
    <x v="194"/>
    <x v="194"/>
    <x v="194"/>
    <x v="194"/>
    <x v="9"/>
    <x v="23"/>
    <x v="1"/>
    <x v="3"/>
    <x v="20"/>
    <x v="1"/>
    <m/>
    <s v="PC"/>
    <s v="0701"/>
    <s v="Recursos naturales y servicios estratégicos  nacionalizados y  administrados por el Estado "/>
    <s v="0701.PC.7.1.194."/>
    <m/>
    <m/>
    <m/>
    <m/>
    <e v="#DIV/0!"/>
    <m/>
    <m/>
    <x v="0"/>
    <x v="1"/>
    <x v="2"/>
    <m/>
    <m/>
    <m/>
    <m/>
    <m/>
    <m/>
    <m/>
    <m/>
    <n v="25"/>
    <x v="1"/>
    <x v="1"/>
    <x v="1"/>
    <x v="0"/>
    <x v="0"/>
    <x v="0"/>
    <x v="1"/>
    <x v="0"/>
    <x v="0"/>
    <x v="0"/>
    <x v="1"/>
    <x v="1"/>
    <x v="1"/>
    <x v="1"/>
    <x v="194"/>
    <x v="4"/>
    <x v="3"/>
    <x v="3"/>
    <m/>
    <m/>
    <m/>
    <s v="0701194"/>
    <m/>
    <m/>
    <m/>
    <m/>
    <m/>
    <m/>
    <m/>
    <m/>
    <m/>
    <m/>
    <m/>
    <m/>
    <m/>
    <m/>
    <m/>
    <n v="0"/>
    <n v="0"/>
    <n v="5"/>
    <n v="0"/>
    <m/>
    <n v="0"/>
    <e v="#DIV/0!"/>
    <n v="0"/>
    <m/>
    <n v="0"/>
    <e v="#DIV/0!"/>
    <n v="0"/>
    <m/>
    <n v="0"/>
    <e v="#DIV/0!"/>
    <n v="0"/>
    <m/>
    <n v="0"/>
    <e v="#DIV/0!"/>
    <n v="0"/>
    <m/>
    <n v="0"/>
    <e v="#DIV/0!"/>
  </r>
  <r>
    <x v="6"/>
    <x v="6"/>
    <x v="0"/>
    <x v="40"/>
    <x v="3"/>
    <x v="195"/>
    <x v="195"/>
    <x v="195"/>
    <x v="195"/>
    <x v="195"/>
    <x v="9"/>
    <x v="23"/>
    <x v="1"/>
    <x v="3"/>
    <x v="20"/>
    <x v="1"/>
    <m/>
    <s v="PC"/>
    <s v="0701"/>
    <s v="Recursos naturales y servicios estratégicos  nacionalizados y  administrados por el Estado "/>
    <s v="0701.PC.7.1.195."/>
    <m/>
    <m/>
    <m/>
    <m/>
    <e v="#DIV/0!"/>
    <m/>
    <m/>
    <x v="0"/>
    <x v="1"/>
    <x v="2"/>
    <m/>
    <m/>
    <m/>
    <m/>
    <m/>
    <m/>
    <m/>
    <m/>
    <n v="25"/>
    <x v="1"/>
    <x v="1"/>
    <x v="1"/>
    <x v="0"/>
    <x v="0"/>
    <x v="0"/>
    <x v="1"/>
    <x v="0"/>
    <x v="0"/>
    <x v="0"/>
    <x v="1"/>
    <x v="1"/>
    <x v="1"/>
    <x v="1"/>
    <x v="195"/>
    <x v="4"/>
    <x v="3"/>
    <x v="3"/>
    <m/>
    <m/>
    <m/>
    <s v="0701195"/>
    <m/>
    <m/>
    <m/>
    <m/>
    <m/>
    <m/>
    <m/>
    <m/>
    <m/>
    <m/>
    <m/>
    <m/>
    <m/>
    <m/>
    <m/>
    <n v="0"/>
    <n v="0"/>
    <n v="5"/>
    <n v="0"/>
    <m/>
    <n v="0"/>
    <e v="#DIV/0!"/>
    <n v="0"/>
    <m/>
    <n v="0"/>
    <e v="#DIV/0!"/>
    <n v="0"/>
    <m/>
    <n v="0"/>
    <e v="#DIV/0!"/>
    <n v="0"/>
    <m/>
    <n v="0"/>
    <e v="#DIV/0!"/>
    <n v="0"/>
    <m/>
    <n v="0"/>
    <e v="#DIV/0!"/>
  </r>
  <r>
    <x v="6"/>
    <x v="6"/>
    <x v="1"/>
    <x v="41"/>
    <x v="0"/>
    <x v="196"/>
    <x v="196"/>
    <x v="196"/>
    <x v="196"/>
    <x v="196"/>
    <x v="9"/>
    <x v="24"/>
    <x v="1"/>
    <x v="3"/>
    <x v="21"/>
    <x v="1"/>
    <m/>
    <s v="PC"/>
    <s v="0702"/>
    <s v="Fortalecimiento de la industrialización y transformación en armonía con la Madre Tierra"/>
    <s v="0702.PC.7.2.196."/>
    <m/>
    <m/>
    <m/>
    <m/>
    <e v="#DIV/0!"/>
    <m/>
    <m/>
    <x v="0"/>
    <x v="1"/>
    <x v="2"/>
    <m/>
    <m/>
    <m/>
    <m/>
    <m/>
    <m/>
    <m/>
    <m/>
    <n v="4"/>
    <x v="1"/>
    <x v="1"/>
    <x v="1"/>
    <x v="0"/>
    <x v="0"/>
    <x v="0"/>
    <x v="1"/>
    <x v="0"/>
    <x v="0"/>
    <x v="0"/>
    <x v="1"/>
    <x v="1"/>
    <x v="1"/>
    <x v="1"/>
    <x v="196"/>
    <x v="4"/>
    <x v="3"/>
    <x v="3"/>
    <m/>
    <m/>
    <m/>
    <s v="0702196"/>
    <m/>
    <m/>
    <m/>
    <m/>
    <m/>
    <m/>
    <m/>
    <m/>
    <m/>
    <m/>
    <m/>
    <m/>
    <m/>
    <m/>
    <m/>
    <n v="0"/>
    <n v="0"/>
    <n v="5"/>
    <n v="0"/>
    <m/>
    <n v="0"/>
    <e v="#DIV/0!"/>
    <n v="0"/>
    <m/>
    <n v="0"/>
    <e v="#DIV/0!"/>
    <n v="0"/>
    <m/>
    <n v="0"/>
    <e v="#DIV/0!"/>
    <n v="0"/>
    <m/>
    <n v="0"/>
    <e v="#DIV/0!"/>
    <n v="0"/>
    <m/>
    <n v="0"/>
    <e v="#DIV/0!"/>
  </r>
  <r>
    <x v="6"/>
    <x v="6"/>
    <x v="1"/>
    <x v="41"/>
    <x v="1"/>
    <x v="197"/>
    <x v="197"/>
    <x v="197"/>
    <x v="197"/>
    <x v="197"/>
    <x v="9"/>
    <x v="24"/>
    <x v="0"/>
    <x v="3"/>
    <x v="21"/>
    <x v="0"/>
    <m/>
    <s v="RS"/>
    <s v="0702"/>
    <s v="Fortalecimiento de la industrialización y transformación en armonía con la Madre Tierra"/>
    <s v="0702.RS.7.2.197."/>
    <m/>
    <m/>
    <m/>
    <m/>
    <e v="#DIV/0!"/>
    <m/>
    <m/>
    <x v="0"/>
    <x v="1"/>
    <x v="21"/>
    <m/>
    <m/>
    <m/>
    <m/>
    <m/>
    <m/>
    <m/>
    <m/>
    <n v="4"/>
    <x v="0"/>
    <x v="0"/>
    <x v="1"/>
    <x v="0"/>
    <x v="1"/>
    <x v="0"/>
    <x v="0"/>
    <x v="0"/>
    <x v="0"/>
    <x v="1"/>
    <x v="1"/>
    <x v="0"/>
    <x v="1"/>
    <x v="1"/>
    <x v="197"/>
    <x v="4"/>
    <x v="3"/>
    <x v="3"/>
    <m/>
    <m/>
    <m/>
    <s v="0702197"/>
    <m/>
    <m/>
    <m/>
    <m/>
    <m/>
    <m/>
    <m/>
    <m/>
    <m/>
    <m/>
    <m/>
    <m/>
    <m/>
    <m/>
    <m/>
    <n v="0"/>
    <n v="0"/>
    <n v="5"/>
    <n v="0"/>
    <m/>
    <n v="0"/>
    <e v="#DIV/0!"/>
    <n v="0"/>
    <m/>
    <n v="0"/>
    <e v="#DIV/0!"/>
    <n v="0"/>
    <m/>
    <n v="0"/>
    <e v="#DIV/0!"/>
    <n v="0"/>
    <m/>
    <n v="0"/>
    <e v="#DIV/0!"/>
    <n v="0"/>
    <m/>
    <n v="0"/>
    <e v="#DIV/0!"/>
  </r>
  <r>
    <x v="6"/>
    <x v="6"/>
    <x v="1"/>
    <x v="41"/>
    <x v="2"/>
    <x v="198"/>
    <x v="198"/>
    <x v="198"/>
    <x v="198"/>
    <x v="198"/>
    <x v="9"/>
    <x v="24"/>
    <x v="0"/>
    <x v="3"/>
    <x v="21"/>
    <x v="1"/>
    <m/>
    <s v="RS"/>
    <s v="0702"/>
    <s v="Fortalecimiento de la industrialización y transformación en armonía con la Madre Tierra"/>
    <s v="0702.RS.7.2.198."/>
    <m/>
    <m/>
    <m/>
    <m/>
    <e v="#DIV/0!"/>
    <m/>
    <m/>
    <x v="0"/>
    <x v="1"/>
    <x v="21"/>
    <m/>
    <m/>
    <m/>
    <m/>
    <m/>
    <m/>
    <m/>
    <m/>
    <n v="4"/>
    <x v="0"/>
    <x v="0"/>
    <x v="1"/>
    <x v="0"/>
    <x v="1"/>
    <x v="0"/>
    <x v="0"/>
    <x v="0"/>
    <x v="0"/>
    <x v="0"/>
    <x v="1"/>
    <x v="1"/>
    <x v="1"/>
    <x v="1"/>
    <x v="198"/>
    <x v="4"/>
    <x v="3"/>
    <x v="3"/>
    <m/>
    <m/>
    <m/>
    <s v="0702198"/>
    <m/>
    <m/>
    <m/>
    <m/>
    <m/>
    <m/>
    <m/>
    <m/>
    <m/>
    <m/>
    <m/>
    <m/>
    <m/>
    <m/>
    <m/>
    <n v="0"/>
    <n v="0"/>
    <n v="5"/>
    <n v="0"/>
    <m/>
    <n v="0"/>
    <e v="#DIV/0!"/>
    <n v="0"/>
    <m/>
    <n v="0"/>
    <e v="#DIV/0!"/>
    <n v="0"/>
    <m/>
    <n v="0"/>
    <e v="#DIV/0!"/>
    <n v="0"/>
    <m/>
    <n v="0"/>
    <e v="#DIV/0!"/>
    <n v="0"/>
    <m/>
    <n v="0"/>
    <e v="#DIV/0!"/>
  </r>
  <r>
    <x v="6"/>
    <x v="6"/>
    <x v="1"/>
    <x v="41"/>
    <x v="3"/>
    <x v="199"/>
    <x v="199"/>
    <x v="199"/>
    <x v="199"/>
    <x v="199"/>
    <x v="9"/>
    <x v="24"/>
    <x v="0"/>
    <x v="3"/>
    <x v="21"/>
    <x v="0"/>
    <m/>
    <s v="RS"/>
    <s v="0702"/>
    <s v="Fortalecimiento de la industrialización y transformación en armonía con la Madre Tierra"/>
    <s v="0702.RS.7.2.199."/>
    <m/>
    <m/>
    <m/>
    <m/>
    <e v="#DIV/0!"/>
    <m/>
    <m/>
    <x v="0"/>
    <x v="1"/>
    <x v="21"/>
    <m/>
    <m/>
    <m/>
    <m/>
    <m/>
    <m/>
    <m/>
    <m/>
    <n v="4"/>
    <x v="0"/>
    <x v="0"/>
    <x v="1"/>
    <x v="0"/>
    <x v="1"/>
    <x v="0"/>
    <x v="0"/>
    <x v="0"/>
    <x v="0"/>
    <x v="1"/>
    <x v="1"/>
    <x v="0"/>
    <x v="1"/>
    <x v="1"/>
    <x v="199"/>
    <x v="4"/>
    <x v="3"/>
    <x v="3"/>
    <m/>
    <m/>
    <m/>
    <s v="0702199"/>
    <m/>
    <m/>
    <m/>
    <m/>
    <m/>
    <m/>
    <m/>
    <m/>
    <m/>
    <m/>
    <m/>
    <m/>
    <m/>
    <m/>
    <m/>
    <n v="0"/>
    <n v="0"/>
    <n v="5"/>
    <n v="0"/>
    <m/>
    <n v="0"/>
    <e v="#DIV/0!"/>
    <n v="0"/>
    <m/>
    <n v="0"/>
    <e v="#DIV/0!"/>
    <n v="0"/>
    <m/>
    <n v="0"/>
    <e v="#DIV/0!"/>
    <n v="0"/>
    <m/>
    <n v="0"/>
    <e v="#DIV/0!"/>
    <n v="0"/>
    <m/>
    <n v="0"/>
    <e v="#DIV/0!"/>
  </r>
  <r>
    <x v="6"/>
    <x v="6"/>
    <x v="1"/>
    <x v="41"/>
    <x v="4"/>
    <x v="200"/>
    <x v="200"/>
    <x v="200"/>
    <x v="200"/>
    <x v="200"/>
    <x v="9"/>
    <x v="24"/>
    <x v="0"/>
    <x v="3"/>
    <x v="21"/>
    <x v="1"/>
    <m/>
    <s v="RS"/>
    <s v="0702"/>
    <s v="Fortalecimiento de la industrialización y transformación en armonía con la Madre Tierra"/>
    <s v="0702.RS.7.2.200."/>
    <m/>
    <m/>
    <m/>
    <m/>
    <e v="#DIV/0!"/>
    <m/>
    <m/>
    <x v="0"/>
    <x v="1"/>
    <x v="21"/>
    <m/>
    <m/>
    <m/>
    <m/>
    <m/>
    <m/>
    <m/>
    <m/>
    <n v="4"/>
    <x v="0"/>
    <x v="0"/>
    <x v="1"/>
    <x v="0"/>
    <x v="1"/>
    <x v="0"/>
    <x v="0"/>
    <x v="0"/>
    <x v="0"/>
    <x v="0"/>
    <x v="1"/>
    <x v="1"/>
    <x v="1"/>
    <x v="1"/>
    <x v="200"/>
    <x v="4"/>
    <x v="3"/>
    <x v="3"/>
    <m/>
    <m/>
    <m/>
    <s v="0702200"/>
    <m/>
    <m/>
    <m/>
    <m/>
    <m/>
    <m/>
    <m/>
    <m/>
    <m/>
    <m/>
    <m/>
    <m/>
    <m/>
    <m/>
    <m/>
    <n v="0"/>
    <n v="0"/>
    <n v="5"/>
    <n v="0"/>
    <m/>
    <n v="0"/>
    <e v="#DIV/0!"/>
    <n v="0"/>
    <m/>
    <n v="0"/>
    <e v="#DIV/0!"/>
    <n v="0"/>
    <m/>
    <n v="0"/>
    <e v="#DIV/0!"/>
    <n v="0"/>
    <m/>
    <n v="0"/>
    <e v="#DIV/0!"/>
    <n v="0"/>
    <m/>
    <n v="0"/>
    <e v="#DIV/0!"/>
  </r>
  <r>
    <x v="6"/>
    <x v="6"/>
    <x v="1"/>
    <x v="41"/>
    <x v="5"/>
    <x v="201"/>
    <x v="201"/>
    <x v="201"/>
    <x v="201"/>
    <x v="201"/>
    <x v="9"/>
    <x v="24"/>
    <x v="0"/>
    <x v="3"/>
    <x v="21"/>
    <x v="1"/>
    <m/>
    <s v="RS"/>
    <s v="0702"/>
    <s v="Fortalecimiento de la industrialización y transformación en armonía con la Madre Tierra"/>
    <s v="0702.RS.7.2.201."/>
    <m/>
    <m/>
    <m/>
    <m/>
    <e v="#DIV/0!"/>
    <m/>
    <m/>
    <x v="0"/>
    <x v="1"/>
    <x v="21"/>
    <m/>
    <m/>
    <m/>
    <m/>
    <m/>
    <m/>
    <m/>
    <m/>
    <n v="4"/>
    <x v="0"/>
    <x v="0"/>
    <x v="1"/>
    <x v="0"/>
    <x v="1"/>
    <x v="0"/>
    <x v="0"/>
    <x v="0"/>
    <x v="0"/>
    <x v="0"/>
    <x v="1"/>
    <x v="1"/>
    <x v="1"/>
    <x v="1"/>
    <x v="201"/>
    <x v="4"/>
    <x v="3"/>
    <x v="3"/>
    <m/>
    <m/>
    <m/>
    <s v="0702201"/>
    <m/>
    <m/>
    <m/>
    <m/>
    <m/>
    <m/>
    <m/>
    <m/>
    <m/>
    <m/>
    <m/>
    <m/>
    <m/>
    <m/>
    <m/>
    <n v="0"/>
    <n v="0"/>
    <n v="5"/>
    <n v="0"/>
    <m/>
    <n v="0"/>
    <e v="#DIV/0!"/>
    <n v="0"/>
    <m/>
    <n v="0"/>
    <e v="#DIV/0!"/>
    <n v="0"/>
    <m/>
    <n v="0"/>
    <e v="#DIV/0!"/>
    <n v="0"/>
    <m/>
    <n v="0"/>
    <e v="#DIV/0!"/>
    <n v="0"/>
    <m/>
    <n v="0"/>
    <e v="#DIV/0!"/>
  </r>
  <r>
    <x v="6"/>
    <x v="6"/>
    <x v="1"/>
    <x v="41"/>
    <x v="6"/>
    <x v="202"/>
    <x v="202"/>
    <x v="202"/>
    <x v="202"/>
    <x v="202"/>
    <x v="9"/>
    <x v="24"/>
    <x v="0"/>
    <x v="3"/>
    <x v="21"/>
    <x v="0"/>
    <m/>
    <s v="RS"/>
    <s v="0702"/>
    <s v="Fortalecimiento de la industrialización y transformación en armonía con la Madre Tierra"/>
    <s v="0702.RS.7.2.202."/>
    <m/>
    <m/>
    <m/>
    <m/>
    <e v="#DIV/0!"/>
    <m/>
    <m/>
    <x v="0"/>
    <x v="1"/>
    <x v="21"/>
    <m/>
    <m/>
    <m/>
    <m/>
    <m/>
    <m/>
    <m/>
    <m/>
    <n v="4"/>
    <x v="0"/>
    <x v="0"/>
    <x v="0"/>
    <x v="0"/>
    <x v="0"/>
    <x v="0"/>
    <x v="0"/>
    <x v="0"/>
    <x v="0"/>
    <x v="0"/>
    <x v="1"/>
    <x v="1"/>
    <x v="1"/>
    <x v="1"/>
    <x v="202"/>
    <x v="4"/>
    <x v="3"/>
    <x v="3"/>
    <m/>
    <m/>
    <m/>
    <s v="0702202"/>
    <m/>
    <m/>
    <m/>
    <m/>
    <m/>
    <m/>
    <m/>
    <m/>
    <m/>
    <m/>
    <m/>
    <m/>
    <m/>
    <m/>
    <m/>
    <n v="0"/>
    <n v="0"/>
    <n v="5"/>
    <n v="0"/>
    <m/>
    <n v="0"/>
    <e v="#DIV/0!"/>
    <n v="0"/>
    <m/>
    <n v="0"/>
    <e v="#DIV/0!"/>
    <n v="0"/>
    <m/>
    <n v="0"/>
    <e v="#DIV/0!"/>
    <n v="0"/>
    <m/>
    <n v="0"/>
    <e v="#DIV/0!"/>
    <n v="0"/>
    <m/>
    <n v="0"/>
    <e v="#DIV/0!"/>
  </r>
  <r>
    <x v="6"/>
    <x v="6"/>
    <x v="1"/>
    <x v="41"/>
    <x v="7"/>
    <x v="203"/>
    <x v="203"/>
    <x v="203"/>
    <x v="203"/>
    <x v="203"/>
    <x v="9"/>
    <x v="24"/>
    <x v="0"/>
    <x v="3"/>
    <x v="21"/>
    <x v="0"/>
    <m/>
    <s v="RS"/>
    <s v="0702"/>
    <s v="Fortalecimiento de la industrialización y transformación en armonía con la Madre Tierra"/>
    <s v="0702.RS.7.2.203."/>
    <m/>
    <m/>
    <m/>
    <m/>
    <e v="#DIV/0!"/>
    <m/>
    <m/>
    <x v="0"/>
    <x v="1"/>
    <x v="21"/>
    <m/>
    <m/>
    <m/>
    <m/>
    <m/>
    <m/>
    <m/>
    <m/>
    <n v="4"/>
    <x v="0"/>
    <x v="0"/>
    <x v="1"/>
    <x v="0"/>
    <x v="1"/>
    <x v="0"/>
    <x v="0"/>
    <x v="0"/>
    <x v="0"/>
    <x v="1"/>
    <x v="1"/>
    <x v="0"/>
    <x v="1"/>
    <x v="1"/>
    <x v="203"/>
    <x v="4"/>
    <x v="3"/>
    <x v="3"/>
    <m/>
    <m/>
    <m/>
    <s v="0702203"/>
    <m/>
    <m/>
    <m/>
    <m/>
    <m/>
    <m/>
    <m/>
    <m/>
    <m/>
    <m/>
    <m/>
    <m/>
    <m/>
    <m/>
    <m/>
    <n v="0"/>
    <n v="0"/>
    <n v="5"/>
    <n v="0"/>
    <m/>
    <n v="0"/>
    <e v="#DIV/0!"/>
    <n v="0"/>
    <m/>
    <n v="0"/>
    <e v="#DIV/0!"/>
    <n v="0"/>
    <m/>
    <n v="0"/>
    <e v="#DIV/0!"/>
    <n v="0"/>
    <m/>
    <n v="0"/>
    <e v="#DIV/0!"/>
    <n v="0"/>
    <m/>
    <n v="0"/>
    <e v="#DIV/0!"/>
  </r>
  <r>
    <x v="6"/>
    <x v="6"/>
    <x v="1"/>
    <x v="41"/>
    <x v="8"/>
    <x v="204"/>
    <x v="204"/>
    <x v="204"/>
    <x v="204"/>
    <x v="204"/>
    <x v="9"/>
    <x v="24"/>
    <x v="1"/>
    <x v="3"/>
    <x v="21"/>
    <x v="1"/>
    <m/>
    <s v="PC"/>
    <s v="0702"/>
    <s v="Fortalecimiento de la industrialización y transformación en armonía con la Madre Tierra"/>
    <s v="0702.PC.7.2.204."/>
    <m/>
    <m/>
    <m/>
    <m/>
    <e v="#DIV/0!"/>
    <m/>
    <m/>
    <x v="0"/>
    <x v="1"/>
    <x v="2"/>
    <m/>
    <m/>
    <m/>
    <m/>
    <m/>
    <m/>
    <m/>
    <m/>
    <n v="4"/>
    <x v="1"/>
    <x v="1"/>
    <x v="1"/>
    <x v="0"/>
    <x v="0"/>
    <x v="1"/>
    <x v="0"/>
    <x v="0"/>
    <x v="0"/>
    <x v="0"/>
    <x v="1"/>
    <x v="1"/>
    <x v="1"/>
    <x v="1"/>
    <x v="204"/>
    <x v="4"/>
    <x v="3"/>
    <x v="3"/>
    <m/>
    <m/>
    <m/>
    <s v="0702204"/>
    <m/>
    <m/>
    <m/>
    <m/>
    <m/>
    <m/>
    <m/>
    <m/>
    <m/>
    <m/>
    <m/>
    <m/>
    <m/>
    <m/>
    <m/>
    <n v="0"/>
    <n v="0"/>
    <n v="5"/>
    <n v="0"/>
    <m/>
    <n v="0"/>
    <e v="#DIV/0!"/>
    <n v="0"/>
    <m/>
    <n v="0"/>
    <e v="#DIV/0!"/>
    <n v="0"/>
    <m/>
    <n v="0"/>
    <e v="#DIV/0!"/>
    <n v="0"/>
    <m/>
    <n v="0"/>
    <e v="#DIV/0!"/>
    <n v="0"/>
    <m/>
    <n v="0"/>
    <e v="#DIV/0!"/>
  </r>
  <r>
    <x v="6"/>
    <x v="6"/>
    <x v="1"/>
    <x v="41"/>
    <x v="9"/>
    <x v="205"/>
    <x v="205"/>
    <x v="205"/>
    <x v="205"/>
    <x v="205"/>
    <x v="9"/>
    <x v="24"/>
    <x v="1"/>
    <x v="3"/>
    <x v="21"/>
    <x v="1"/>
    <m/>
    <s v="PC"/>
    <s v="0702"/>
    <s v="Fortalecimiento de la industrialización y transformación en armonía con la Madre Tierra"/>
    <s v="0702.PC.7.2.205."/>
    <m/>
    <m/>
    <m/>
    <m/>
    <e v="#DIV/0!"/>
    <m/>
    <m/>
    <x v="0"/>
    <x v="1"/>
    <x v="2"/>
    <m/>
    <m/>
    <m/>
    <m/>
    <m/>
    <m/>
    <m/>
    <m/>
    <n v="4"/>
    <x v="1"/>
    <x v="1"/>
    <x v="1"/>
    <x v="0"/>
    <x v="0"/>
    <x v="0"/>
    <x v="1"/>
    <x v="0"/>
    <x v="0"/>
    <x v="0"/>
    <x v="1"/>
    <x v="1"/>
    <x v="1"/>
    <x v="1"/>
    <x v="205"/>
    <x v="4"/>
    <x v="3"/>
    <x v="3"/>
    <m/>
    <m/>
    <m/>
    <s v="0702205"/>
    <m/>
    <m/>
    <m/>
    <m/>
    <m/>
    <m/>
    <m/>
    <m/>
    <m/>
    <m/>
    <m/>
    <m/>
    <m/>
    <m/>
    <m/>
    <n v="0"/>
    <n v="0"/>
    <n v="5"/>
    <n v="0"/>
    <m/>
    <n v="0"/>
    <e v="#DIV/0!"/>
    <n v="0"/>
    <m/>
    <n v="0"/>
    <e v="#DIV/0!"/>
    <n v="0"/>
    <m/>
    <n v="0"/>
    <e v="#DIV/0!"/>
    <n v="0"/>
    <m/>
    <n v="0"/>
    <e v="#DIV/0!"/>
    <n v="0"/>
    <m/>
    <n v="0"/>
    <e v="#DIV/0!"/>
  </r>
  <r>
    <x v="6"/>
    <x v="6"/>
    <x v="1"/>
    <x v="41"/>
    <x v="10"/>
    <x v="206"/>
    <x v="206"/>
    <x v="206"/>
    <x v="206"/>
    <x v="206"/>
    <x v="9"/>
    <x v="24"/>
    <x v="1"/>
    <x v="3"/>
    <x v="21"/>
    <x v="1"/>
    <m/>
    <s v="PC"/>
    <s v="0702"/>
    <s v="Fortalecimiento de la industrialización y transformación en armonía con la Madre Tierra"/>
    <s v="0702.PC.7.2.206."/>
    <m/>
    <m/>
    <m/>
    <m/>
    <e v="#DIV/0!"/>
    <m/>
    <m/>
    <x v="0"/>
    <x v="1"/>
    <x v="2"/>
    <m/>
    <m/>
    <m/>
    <m/>
    <m/>
    <m/>
    <m/>
    <m/>
    <n v="4"/>
    <x v="1"/>
    <x v="1"/>
    <x v="1"/>
    <x v="0"/>
    <x v="0"/>
    <x v="0"/>
    <x v="1"/>
    <x v="0"/>
    <x v="0"/>
    <x v="0"/>
    <x v="1"/>
    <x v="1"/>
    <x v="1"/>
    <x v="1"/>
    <x v="206"/>
    <x v="4"/>
    <x v="3"/>
    <x v="3"/>
    <m/>
    <m/>
    <m/>
    <s v="0702206"/>
    <m/>
    <m/>
    <m/>
    <m/>
    <m/>
    <m/>
    <m/>
    <m/>
    <m/>
    <m/>
    <m/>
    <m/>
    <m/>
    <m/>
    <m/>
    <n v="0"/>
    <n v="0"/>
    <n v="5"/>
    <n v="0"/>
    <m/>
    <n v="0"/>
    <e v="#DIV/0!"/>
    <n v="0"/>
    <m/>
    <n v="0"/>
    <e v="#DIV/0!"/>
    <n v="0"/>
    <m/>
    <n v="0"/>
    <e v="#DIV/0!"/>
    <n v="0"/>
    <m/>
    <n v="0"/>
    <e v="#DIV/0!"/>
    <n v="0"/>
    <m/>
    <n v="0"/>
    <e v="#DIV/0!"/>
  </r>
  <r>
    <x v="6"/>
    <x v="6"/>
    <x v="1"/>
    <x v="41"/>
    <x v="11"/>
    <x v="207"/>
    <x v="207"/>
    <x v="207"/>
    <x v="207"/>
    <x v="207"/>
    <x v="9"/>
    <x v="24"/>
    <x v="2"/>
    <x v="3"/>
    <x v="21"/>
    <x v="1"/>
    <m/>
    <s v="PD"/>
    <s v="0702"/>
    <s v="Fortalecimiento de la industrialización y transformación en armonía con la Madre Tierra"/>
    <s v="0702.PD.7.2.207."/>
    <m/>
    <m/>
    <m/>
    <m/>
    <e v="#DIV/0!"/>
    <m/>
    <m/>
    <x v="0"/>
    <x v="1"/>
    <x v="2"/>
    <m/>
    <m/>
    <m/>
    <m/>
    <m/>
    <m/>
    <m/>
    <m/>
    <n v="4"/>
    <x v="1"/>
    <x v="1"/>
    <x v="1"/>
    <x v="0"/>
    <x v="0"/>
    <x v="1"/>
    <x v="0"/>
    <x v="0"/>
    <x v="0"/>
    <x v="0"/>
    <x v="1"/>
    <x v="1"/>
    <x v="1"/>
    <x v="1"/>
    <x v="207"/>
    <x v="4"/>
    <x v="3"/>
    <x v="3"/>
    <m/>
    <m/>
    <m/>
    <s v="0702207"/>
    <m/>
    <m/>
    <m/>
    <m/>
    <m/>
    <m/>
    <m/>
    <m/>
    <m/>
    <m/>
    <m/>
    <m/>
    <m/>
    <m/>
    <m/>
    <n v="0"/>
    <n v="0"/>
    <n v="5"/>
    <n v="0"/>
    <m/>
    <n v="0"/>
    <e v="#DIV/0!"/>
    <n v="0"/>
    <m/>
    <n v="0"/>
    <e v="#DIV/0!"/>
    <n v="0"/>
    <m/>
    <n v="0"/>
    <e v="#DIV/0!"/>
    <n v="0"/>
    <m/>
    <n v="0"/>
    <e v="#DIV/0!"/>
    <n v="0"/>
    <m/>
    <n v="0"/>
    <e v="#DIV/0!"/>
  </r>
  <r>
    <x v="6"/>
    <x v="6"/>
    <x v="1"/>
    <x v="41"/>
    <x v="13"/>
    <x v="208"/>
    <x v="208"/>
    <x v="208"/>
    <x v="208"/>
    <x v="208"/>
    <x v="9"/>
    <x v="24"/>
    <x v="2"/>
    <x v="3"/>
    <x v="21"/>
    <x v="1"/>
    <m/>
    <s v="PD"/>
    <s v="0702"/>
    <s v="Fortalecimiento de la industrialización y transformación en armonía con la Madre Tierra"/>
    <s v="0702.PD.7.2.208."/>
    <m/>
    <m/>
    <m/>
    <m/>
    <e v="#DIV/0!"/>
    <m/>
    <m/>
    <x v="0"/>
    <x v="1"/>
    <x v="2"/>
    <m/>
    <m/>
    <m/>
    <m/>
    <m/>
    <m/>
    <m/>
    <m/>
    <n v="4"/>
    <x v="1"/>
    <x v="1"/>
    <x v="1"/>
    <x v="0"/>
    <x v="0"/>
    <x v="0"/>
    <x v="1"/>
    <x v="0"/>
    <x v="0"/>
    <x v="0"/>
    <x v="1"/>
    <x v="1"/>
    <x v="1"/>
    <x v="1"/>
    <x v="208"/>
    <x v="4"/>
    <x v="3"/>
    <x v="3"/>
    <m/>
    <m/>
    <m/>
    <s v="0702208"/>
    <m/>
    <m/>
    <m/>
    <m/>
    <m/>
    <m/>
    <m/>
    <m/>
    <m/>
    <m/>
    <m/>
    <m/>
    <m/>
    <m/>
    <m/>
    <n v="0"/>
    <n v="0"/>
    <n v="5"/>
    <n v="0"/>
    <m/>
    <n v="0"/>
    <e v="#DIV/0!"/>
    <n v="0"/>
    <m/>
    <n v="0"/>
    <e v="#DIV/0!"/>
    <n v="0"/>
    <m/>
    <n v="0"/>
    <e v="#DIV/0!"/>
    <n v="0"/>
    <m/>
    <n v="0"/>
    <e v="#DIV/0!"/>
    <n v="0"/>
    <m/>
    <n v="0"/>
    <e v="#DIV/0!"/>
  </r>
  <r>
    <x v="6"/>
    <x v="6"/>
    <x v="1"/>
    <x v="41"/>
    <x v="14"/>
    <x v="209"/>
    <x v="209"/>
    <x v="209"/>
    <x v="209"/>
    <x v="209"/>
    <x v="9"/>
    <x v="24"/>
    <x v="1"/>
    <x v="3"/>
    <x v="21"/>
    <x v="1"/>
    <m/>
    <s v="PC"/>
    <s v="0702"/>
    <s v="Fortalecimiento de la industrialización y transformación en armonía con la Madre Tierra"/>
    <s v="0702.PC.7.2.209."/>
    <m/>
    <m/>
    <m/>
    <m/>
    <e v="#DIV/0!"/>
    <m/>
    <m/>
    <x v="0"/>
    <x v="1"/>
    <x v="2"/>
    <m/>
    <m/>
    <m/>
    <m/>
    <m/>
    <m/>
    <m/>
    <m/>
    <n v="4"/>
    <x v="1"/>
    <x v="1"/>
    <x v="1"/>
    <x v="0"/>
    <x v="0"/>
    <x v="0"/>
    <x v="1"/>
    <x v="0"/>
    <x v="0"/>
    <x v="0"/>
    <x v="1"/>
    <x v="1"/>
    <x v="1"/>
    <x v="1"/>
    <x v="209"/>
    <x v="4"/>
    <x v="3"/>
    <x v="3"/>
    <m/>
    <m/>
    <m/>
    <s v="0702209"/>
    <m/>
    <m/>
    <m/>
    <m/>
    <m/>
    <m/>
    <m/>
    <m/>
    <m/>
    <m/>
    <m/>
    <m/>
    <m/>
    <m/>
    <m/>
    <n v="0"/>
    <n v="0"/>
    <n v="5"/>
    <n v="0"/>
    <m/>
    <n v="0"/>
    <e v="#DIV/0!"/>
    <n v="0"/>
    <m/>
    <n v="0"/>
    <e v="#DIV/0!"/>
    <n v="0"/>
    <m/>
    <n v="0"/>
    <e v="#DIV/0!"/>
    <n v="0"/>
    <m/>
    <n v="0"/>
    <e v="#DIV/0!"/>
    <n v="0"/>
    <m/>
    <n v="0"/>
    <e v="#DIV/0!"/>
  </r>
  <r>
    <x v="6"/>
    <x v="6"/>
    <x v="1"/>
    <x v="41"/>
    <x v="15"/>
    <x v="210"/>
    <x v="210"/>
    <x v="210"/>
    <x v="210"/>
    <x v="210"/>
    <x v="9"/>
    <x v="25"/>
    <x v="0"/>
    <x v="3"/>
    <x v="22"/>
    <x v="1"/>
    <m/>
    <s v="RS"/>
    <s v="0702"/>
    <s v="Fortalecimiento de la industrialización y transformación en armonía con la Madre Tierra"/>
    <s v="0702.RS.7.2.210."/>
    <m/>
    <m/>
    <m/>
    <m/>
    <e v="#DIV/0!"/>
    <m/>
    <m/>
    <x v="0"/>
    <x v="1"/>
    <x v="22"/>
    <m/>
    <m/>
    <m/>
    <m/>
    <m/>
    <m/>
    <m/>
    <m/>
    <n v="4"/>
    <x v="0"/>
    <x v="0"/>
    <x v="1"/>
    <x v="0"/>
    <x v="1"/>
    <x v="0"/>
    <x v="0"/>
    <x v="0"/>
    <x v="0"/>
    <x v="0"/>
    <x v="1"/>
    <x v="1"/>
    <x v="1"/>
    <x v="1"/>
    <x v="210"/>
    <x v="4"/>
    <x v="3"/>
    <x v="3"/>
    <m/>
    <m/>
    <m/>
    <s v="0702210"/>
    <m/>
    <m/>
    <m/>
    <m/>
    <m/>
    <m/>
    <m/>
    <m/>
    <m/>
    <m/>
    <m/>
    <m/>
    <m/>
    <m/>
    <m/>
    <n v="0"/>
    <n v="0"/>
    <n v="5"/>
    <n v="0"/>
    <m/>
    <n v="0"/>
    <e v="#DIV/0!"/>
    <n v="0"/>
    <m/>
    <n v="0"/>
    <e v="#DIV/0!"/>
    <n v="0"/>
    <m/>
    <n v="0"/>
    <e v="#DIV/0!"/>
    <n v="0"/>
    <m/>
    <n v="0"/>
    <e v="#DIV/0!"/>
    <n v="0"/>
    <m/>
    <n v="0"/>
    <e v="#DIV/0!"/>
  </r>
  <r>
    <x v="6"/>
    <x v="6"/>
    <x v="1"/>
    <x v="41"/>
    <x v="16"/>
    <x v="211"/>
    <x v="211"/>
    <x v="211"/>
    <x v="211"/>
    <x v="211"/>
    <x v="9"/>
    <x v="25"/>
    <x v="0"/>
    <x v="3"/>
    <x v="22"/>
    <x v="1"/>
    <m/>
    <s v="RS"/>
    <s v="0702"/>
    <s v="Fortalecimiento de la industrialización y transformación en armonía con la Madre Tierra"/>
    <s v="0702.RS.7.2.211."/>
    <m/>
    <m/>
    <m/>
    <m/>
    <e v="#DIV/0!"/>
    <m/>
    <m/>
    <x v="0"/>
    <x v="1"/>
    <x v="22"/>
    <m/>
    <m/>
    <m/>
    <m/>
    <m/>
    <m/>
    <m/>
    <m/>
    <n v="4"/>
    <x v="0"/>
    <x v="0"/>
    <x v="1"/>
    <x v="0"/>
    <x v="1"/>
    <x v="0"/>
    <x v="0"/>
    <x v="0"/>
    <x v="0"/>
    <x v="0"/>
    <x v="1"/>
    <x v="1"/>
    <x v="1"/>
    <x v="1"/>
    <x v="211"/>
    <x v="4"/>
    <x v="3"/>
    <x v="3"/>
    <m/>
    <m/>
    <m/>
    <s v="0702211"/>
    <m/>
    <m/>
    <m/>
    <m/>
    <m/>
    <m/>
    <m/>
    <m/>
    <m/>
    <m/>
    <m/>
    <m/>
    <m/>
    <m/>
    <m/>
    <n v="0"/>
    <n v="0"/>
    <n v="5"/>
    <n v="0"/>
    <m/>
    <n v="0"/>
    <e v="#DIV/0!"/>
    <n v="0"/>
    <m/>
    <n v="0"/>
    <e v="#DIV/0!"/>
    <n v="0"/>
    <m/>
    <n v="0"/>
    <e v="#DIV/0!"/>
    <n v="0"/>
    <m/>
    <n v="0"/>
    <e v="#DIV/0!"/>
    <n v="0"/>
    <m/>
    <n v="0"/>
    <e v="#DIV/0!"/>
  </r>
  <r>
    <x v="6"/>
    <x v="6"/>
    <x v="1"/>
    <x v="41"/>
    <x v="17"/>
    <x v="212"/>
    <x v="212"/>
    <x v="212"/>
    <x v="212"/>
    <x v="212"/>
    <x v="9"/>
    <x v="25"/>
    <x v="0"/>
    <x v="3"/>
    <x v="22"/>
    <x v="0"/>
    <m/>
    <s v="RS"/>
    <s v="0702"/>
    <s v="Fortalecimiento de la industrialización y transformación en armonía con la Madre Tierra"/>
    <s v="0702.RS.7.2.212."/>
    <m/>
    <m/>
    <m/>
    <m/>
    <e v="#DIV/0!"/>
    <m/>
    <m/>
    <x v="0"/>
    <x v="1"/>
    <x v="22"/>
    <m/>
    <m/>
    <m/>
    <m/>
    <m/>
    <m/>
    <m/>
    <m/>
    <n v="4"/>
    <x v="0"/>
    <x v="0"/>
    <x v="0"/>
    <x v="0"/>
    <x v="0"/>
    <x v="0"/>
    <x v="0"/>
    <x v="0"/>
    <x v="0"/>
    <x v="0"/>
    <x v="0"/>
    <x v="0"/>
    <x v="1"/>
    <x v="1"/>
    <x v="212"/>
    <x v="4"/>
    <x v="3"/>
    <x v="3"/>
    <m/>
    <m/>
    <m/>
    <s v="0702212"/>
    <m/>
    <m/>
    <m/>
    <m/>
    <m/>
    <m/>
    <m/>
    <m/>
    <m/>
    <m/>
    <m/>
    <m/>
    <m/>
    <m/>
    <m/>
    <n v="0"/>
    <n v="0"/>
    <n v="5"/>
    <n v="0"/>
    <m/>
    <n v="0"/>
    <e v="#DIV/0!"/>
    <n v="0"/>
    <m/>
    <n v="0"/>
    <e v="#DIV/0!"/>
    <n v="0"/>
    <m/>
    <n v="0"/>
    <e v="#DIV/0!"/>
    <n v="0"/>
    <m/>
    <n v="0"/>
    <e v="#DIV/0!"/>
    <n v="0"/>
    <m/>
    <n v="0"/>
    <e v="#DIV/0!"/>
  </r>
  <r>
    <x v="6"/>
    <x v="6"/>
    <x v="1"/>
    <x v="41"/>
    <x v="18"/>
    <x v="213"/>
    <x v="213"/>
    <x v="213"/>
    <x v="213"/>
    <x v="213"/>
    <x v="9"/>
    <x v="25"/>
    <x v="1"/>
    <x v="3"/>
    <x v="22"/>
    <x v="1"/>
    <m/>
    <s v="PC"/>
    <s v="0702"/>
    <s v="Fortalecimiento de la industrialización y transformación en armonía con la Madre Tierra"/>
    <s v="0702.PC.7.2.213."/>
    <m/>
    <m/>
    <m/>
    <m/>
    <e v="#DIV/0!"/>
    <m/>
    <m/>
    <x v="0"/>
    <x v="1"/>
    <x v="2"/>
    <m/>
    <m/>
    <m/>
    <m/>
    <m/>
    <m/>
    <m/>
    <m/>
    <n v="4"/>
    <x v="1"/>
    <x v="1"/>
    <x v="1"/>
    <x v="0"/>
    <x v="0"/>
    <x v="1"/>
    <x v="0"/>
    <x v="0"/>
    <x v="0"/>
    <x v="0"/>
    <x v="1"/>
    <x v="1"/>
    <x v="1"/>
    <x v="1"/>
    <x v="213"/>
    <x v="4"/>
    <x v="3"/>
    <x v="3"/>
    <m/>
    <m/>
    <m/>
    <s v="0702213"/>
    <m/>
    <m/>
    <m/>
    <m/>
    <m/>
    <m/>
    <m/>
    <m/>
    <m/>
    <m/>
    <m/>
    <m/>
    <m/>
    <m/>
    <m/>
    <n v="0"/>
    <n v="0"/>
    <n v="5"/>
    <n v="0"/>
    <m/>
    <n v="0"/>
    <e v="#DIV/0!"/>
    <n v="0"/>
    <m/>
    <n v="0"/>
    <e v="#DIV/0!"/>
    <n v="0"/>
    <m/>
    <n v="0"/>
    <e v="#DIV/0!"/>
    <n v="0"/>
    <m/>
    <n v="0"/>
    <e v="#DIV/0!"/>
    <n v="0"/>
    <m/>
    <n v="0"/>
    <e v="#DIV/0!"/>
  </r>
  <r>
    <x v="6"/>
    <x v="6"/>
    <x v="1"/>
    <x v="41"/>
    <x v="19"/>
    <x v="214"/>
    <x v="214"/>
    <x v="214"/>
    <x v="214"/>
    <x v="214"/>
    <x v="9"/>
    <x v="25"/>
    <x v="0"/>
    <x v="3"/>
    <x v="22"/>
    <x v="1"/>
    <m/>
    <s v="RS"/>
    <s v="0702"/>
    <s v="Fortalecimiento de la industrialización y transformación en armonía con la Madre Tierra"/>
    <s v="0702.RS.7.2.214."/>
    <m/>
    <m/>
    <m/>
    <m/>
    <e v="#DIV/0!"/>
    <m/>
    <m/>
    <x v="0"/>
    <x v="1"/>
    <x v="22"/>
    <m/>
    <m/>
    <m/>
    <m/>
    <m/>
    <m/>
    <m/>
    <m/>
    <n v="4"/>
    <x v="0"/>
    <x v="0"/>
    <x v="1"/>
    <x v="0"/>
    <x v="1"/>
    <x v="0"/>
    <x v="0"/>
    <x v="0"/>
    <x v="0"/>
    <x v="0"/>
    <x v="1"/>
    <x v="1"/>
    <x v="1"/>
    <x v="1"/>
    <x v="214"/>
    <x v="4"/>
    <x v="3"/>
    <x v="3"/>
    <m/>
    <m/>
    <m/>
    <s v="0702214"/>
    <m/>
    <m/>
    <m/>
    <m/>
    <m/>
    <m/>
    <m/>
    <m/>
    <m/>
    <m/>
    <m/>
    <m/>
    <m/>
    <m/>
    <m/>
    <n v="0"/>
    <n v="0"/>
    <n v="5"/>
    <n v="0"/>
    <m/>
    <n v="0"/>
    <e v="#DIV/0!"/>
    <n v="0"/>
    <m/>
    <n v="0"/>
    <e v="#DIV/0!"/>
    <n v="0"/>
    <m/>
    <n v="0"/>
    <e v="#DIV/0!"/>
    <n v="0"/>
    <m/>
    <n v="0"/>
    <e v="#DIV/0!"/>
    <n v="0"/>
    <m/>
    <n v="0"/>
    <e v="#DIV/0!"/>
  </r>
  <r>
    <x v="6"/>
    <x v="6"/>
    <x v="1"/>
    <x v="41"/>
    <x v="20"/>
    <x v="215"/>
    <x v="215"/>
    <x v="215"/>
    <x v="215"/>
    <x v="215"/>
    <x v="9"/>
    <x v="26"/>
    <x v="0"/>
    <x v="3"/>
    <x v="23"/>
    <x v="0"/>
    <m/>
    <s v="RS"/>
    <s v="0702"/>
    <s v="Fortalecimiento de la industrialización y transformación en armonía con la Madre Tierra"/>
    <s v="0702.RS.7.2.215."/>
    <m/>
    <m/>
    <m/>
    <m/>
    <e v="#DIV/0!"/>
    <m/>
    <m/>
    <x v="0"/>
    <x v="1"/>
    <x v="21"/>
    <m/>
    <m/>
    <m/>
    <m/>
    <m/>
    <m/>
    <m/>
    <m/>
    <n v="4"/>
    <x v="0"/>
    <x v="0"/>
    <x v="1"/>
    <x v="0"/>
    <x v="1"/>
    <x v="0"/>
    <x v="0"/>
    <x v="0"/>
    <x v="0"/>
    <x v="1"/>
    <x v="1"/>
    <x v="0"/>
    <x v="1"/>
    <x v="1"/>
    <x v="215"/>
    <x v="4"/>
    <x v="3"/>
    <x v="3"/>
    <m/>
    <m/>
    <m/>
    <s v="0702215"/>
    <m/>
    <m/>
    <m/>
    <m/>
    <m/>
    <m/>
    <m/>
    <m/>
    <m/>
    <m/>
    <m/>
    <m/>
    <m/>
    <m/>
    <m/>
    <n v="0"/>
    <n v="0"/>
    <n v="5"/>
    <n v="0"/>
    <m/>
    <n v="0"/>
    <e v="#DIV/0!"/>
    <n v="0"/>
    <m/>
    <n v="0"/>
    <e v="#DIV/0!"/>
    <n v="0"/>
    <m/>
    <n v="0"/>
    <e v="#DIV/0!"/>
    <n v="0"/>
    <m/>
    <n v="0"/>
    <e v="#DIV/0!"/>
    <n v="0"/>
    <m/>
    <n v="0"/>
    <e v="#DIV/0!"/>
  </r>
  <r>
    <x v="6"/>
    <x v="6"/>
    <x v="1"/>
    <x v="41"/>
    <x v="21"/>
    <x v="216"/>
    <x v="216"/>
    <x v="216"/>
    <x v="216"/>
    <x v="216"/>
    <x v="9"/>
    <x v="26"/>
    <x v="0"/>
    <x v="3"/>
    <x v="23"/>
    <x v="1"/>
    <m/>
    <s v="RS"/>
    <s v="0702"/>
    <s v="Fortalecimiento de la industrialización y transformación en armonía con la Madre Tierra"/>
    <s v="0702.RS.7.2.216."/>
    <m/>
    <m/>
    <m/>
    <m/>
    <e v="#DIV/0!"/>
    <m/>
    <m/>
    <x v="0"/>
    <x v="1"/>
    <x v="21"/>
    <m/>
    <m/>
    <m/>
    <m/>
    <m/>
    <m/>
    <m/>
    <m/>
    <n v="4"/>
    <x v="0"/>
    <x v="0"/>
    <x v="1"/>
    <x v="0"/>
    <x v="1"/>
    <x v="0"/>
    <x v="0"/>
    <x v="0"/>
    <x v="0"/>
    <x v="0"/>
    <x v="1"/>
    <x v="1"/>
    <x v="1"/>
    <x v="1"/>
    <x v="216"/>
    <x v="4"/>
    <x v="3"/>
    <x v="3"/>
    <m/>
    <m/>
    <m/>
    <s v="0702216"/>
    <m/>
    <m/>
    <m/>
    <m/>
    <m/>
    <m/>
    <m/>
    <m/>
    <m/>
    <m/>
    <m/>
    <m/>
    <m/>
    <m/>
    <m/>
    <n v="0"/>
    <n v="0"/>
    <n v="5"/>
    <n v="0"/>
    <m/>
    <n v="0"/>
    <e v="#DIV/0!"/>
    <n v="0"/>
    <m/>
    <n v="0"/>
    <e v="#DIV/0!"/>
    <n v="0"/>
    <m/>
    <n v="0"/>
    <e v="#DIV/0!"/>
    <n v="0"/>
    <m/>
    <n v="0"/>
    <e v="#DIV/0!"/>
    <n v="0"/>
    <m/>
    <n v="0"/>
    <e v="#DIV/0!"/>
  </r>
  <r>
    <x v="6"/>
    <x v="6"/>
    <x v="1"/>
    <x v="41"/>
    <x v="22"/>
    <x v="217"/>
    <x v="217"/>
    <x v="217"/>
    <x v="217"/>
    <x v="217"/>
    <x v="9"/>
    <x v="26"/>
    <x v="0"/>
    <x v="3"/>
    <x v="23"/>
    <x v="1"/>
    <m/>
    <s v="RS"/>
    <s v="0702"/>
    <s v="Fortalecimiento de la industrialización y transformación en armonía con la Madre Tierra"/>
    <s v="0702.RS.7.2.217."/>
    <m/>
    <m/>
    <m/>
    <m/>
    <e v="#DIV/0!"/>
    <m/>
    <m/>
    <x v="0"/>
    <x v="1"/>
    <x v="21"/>
    <m/>
    <m/>
    <m/>
    <m/>
    <m/>
    <m/>
    <m/>
    <m/>
    <n v="4"/>
    <x v="0"/>
    <x v="0"/>
    <x v="1"/>
    <x v="0"/>
    <x v="1"/>
    <x v="0"/>
    <x v="0"/>
    <x v="0"/>
    <x v="0"/>
    <x v="0"/>
    <x v="1"/>
    <x v="1"/>
    <x v="1"/>
    <x v="1"/>
    <x v="217"/>
    <x v="4"/>
    <x v="3"/>
    <x v="3"/>
    <m/>
    <m/>
    <m/>
    <s v="0702217"/>
    <m/>
    <m/>
    <m/>
    <m/>
    <m/>
    <m/>
    <m/>
    <m/>
    <m/>
    <m/>
    <m/>
    <m/>
    <m/>
    <m/>
    <m/>
    <n v="0"/>
    <n v="0"/>
    <n v="5"/>
    <n v="0"/>
    <m/>
    <n v="0"/>
    <e v="#DIV/0!"/>
    <n v="0"/>
    <m/>
    <n v="0"/>
    <e v="#DIV/0!"/>
    <n v="0"/>
    <m/>
    <n v="0"/>
    <e v="#DIV/0!"/>
    <n v="0"/>
    <m/>
    <n v="0"/>
    <e v="#DIV/0!"/>
    <n v="0"/>
    <m/>
    <n v="0"/>
    <e v="#DIV/0!"/>
  </r>
  <r>
    <x v="6"/>
    <x v="6"/>
    <x v="1"/>
    <x v="41"/>
    <x v="23"/>
    <x v="218"/>
    <x v="218"/>
    <x v="218"/>
    <x v="218"/>
    <x v="218"/>
    <x v="9"/>
    <x v="26"/>
    <x v="1"/>
    <x v="3"/>
    <x v="23"/>
    <x v="1"/>
    <m/>
    <s v="PC"/>
    <s v="0702"/>
    <s v="Fortalecimiento de la industrialización y transformación en armonía con la Madre Tierra"/>
    <s v="0702.PC.7.2.218."/>
    <m/>
    <m/>
    <m/>
    <m/>
    <e v="#DIV/0!"/>
    <m/>
    <m/>
    <x v="0"/>
    <x v="1"/>
    <x v="2"/>
    <m/>
    <m/>
    <m/>
    <m/>
    <m/>
    <m/>
    <m/>
    <m/>
    <n v="4"/>
    <x v="1"/>
    <x v="1"/>
    <x v="1"/>
    <x v="0"/>
    <x v="0"/>
    <x v="1"/>
    <x v="0"/>
    <x v="0"/>
    <x v="0"/>
    <x v="0"/>
    <x v="1"/>
    <x v="1"/>
    <x v="1"/>
    <x v="1"/>
    <x v="218"/>
    <x v="4"/>
    <x v="3"/>
    <x v="3"/>
    <m/>
    <m/>
    <m/>
    <s v="0702218"/>
    <m/>
    <m/>
    <m/>
    <m/>
    <m/>
    <m/>
    <m/>
    <m/>
    <m/>
    <m/>
    <m/>
    <m/>
    <m/>
    <m/>
    <m/>
    <n v="0"/>
    <n v="0"/>
    <n v="5"/>
    <n v="0"/>
    <m/>
    <n v="0"/>
    <e v="#DIV/0!"/>
    <n v="0"/>
    <m/>
    <n v="0"/>
    <e v="#DIV/0!"/>
    <n v="0"/>
    <m/>
    <n v="0"/>
    <e v="#DIV/0!"/>
    <n v="0"/>
    <m/>
    <n v="0"/>
    <e v="#DIV/0!"/>
    <n v="0"/>
    <m/>
    <n v="0"/>
    <e v="#DIV/0!"/>
  </r>
  <r>
    <x v="6"/>
    <x v="6"/>
    <x v="1"/>
    <x v="41"/>
    <x v="24"/>
    <x v="219"/>
    <x v="219"/>
    <x v="219"/>
    <x v="219"/>
    <x v="219"/>
    <x v="9"/>
    <x v="26"/>
    <x v="2"/>
    <x v="3"/>
    <x v="23"/>
    <x v="1"/>
    <m/>
    <s v="PD"/>
    <s v="0702"/>
    <s v="Fortalecimiento de la industrialización y transformación en armonía con la Madre Tierra"/>
    <s v="0702.PD.7.2.219."/>
    <m/>
    <m/>
    <m/>
    <m/>
    <e v="#DIV/0!"/>
    <m/>
    <m/>
    <x v="0"/>
    <x v="1"/>
    <x v="2"/>
    <m/>
    <m/>
    <m/>
    <m/>
    <m/>
    <m/>
    <m/>
    <m/>
    <n v="4"/>
    <x v="1"/>
    <x v="1"/>
    <x v="1"/>
    <x v="0"/>
    <x v="0"/>
    <x v="0"/>
    <x v="1"/>
    <x v="0"/>
    <x v="0"/>
    <x v="0"/>
    <x v="1"/>
    <x v="1"/>
    <x v="1"/>
    <x v="1"/>
    <x v="219"/>
    <x v="4"/>
    <x v="3"/>
    <x v="3"/>
    <m/>
    <m/>
    <m/>
    <s v="0702219"/>
    <m/>
    <m/>
    <m/>
    <m/>
    <m/>
    <m/>
    <m/>
    <m/>
    <m/>
    <m/>
    <m/>
    <m/>
    <m/>
    <m/>
    <m/>
    <n v="0"/>
    <n v="0"/>
    <n v="5"/>
    <n v="0"/>
    <m/>
    <n v="0"/>
    <e v="#DIV/0!"/>
    <n v="0"/>
    <m/>
    <n v="0"/>
    <e v="#DIV/0!"/>
    <n v="0"/>
    <m/>
    <n v="0"/>
    <e v="#DIV/0!"/>
    <n v="0"/>
    <m/>
    <n v="0"/>
    <e v="#DIV/0!"/>
    <n v="0"/>
    <m/>
    <n v="0"/>
    <e v="#DIV/0!"/>
  </r>
  <r>
    <x v="6"/>
    <x v="6"/>
    <x v="1"/>
    <x v="41"/>
    <x v="25"/>
    <x v="220"/>
    <x v="220"/>
    <x v="220"/>
    <x v="220"/>
    <x v="220"/>
    <x v="9"/>
    <x v="26"/>
    <x v="2"/>
    <x v="3"/>
    <x v="23"/>
    <x v="1"/>
    <m/>
    <s v="PD"/>
    <s v="0702"/>
    <s v="Fortalecimiento de la industrialización y transformación en armonía con la Madre Tierra"/>
    <s v="0702.PD.7.2.220."/>
    <m/>
    <m/>
    <m/>
    <m/>
    <e v="#DIV/0!"/>
    <m/>
    <m/>
    <x v="0"/>
    <x v="1"/>
    <x v="2"/>
    <m/>
    <m/>
    <m/>
    <m/>
    <m/>
    <m/>
    <m/>
    <m/>
    <n v="4"/>
    <x v="1"/>
    <x v="1"/>
    <x v="1"/>
    <x v="0"/>
    <x v="0"/>
    <x v="1"/>
    <x v="0"/>
    <x v="0"/>
    <x v="0"/>
    <x v="0"/>
    <x v="1"/>
    <x v="1"/>
    <x v="1"/>
    <x v="1"/>
    <x v="220"/>
    <x v="4"/>
    <x v="3"/>
    <x v="3"/>
    <m/>
    <m/>
    <m/>
    <s v="0702220"/>
    <m/>
    <m/>
    <m/>
    <m/>
    <m/>
    <m/>
    <m/>
    <m/>
    <m/>
    <m/>
    <m/>
    <m/>
    <m/>
    <m/>
    <m/>
    <n v="0"/>
    <n v="0"/>
    <n v="5"/>
    <n v="0"/>
    <m/>
    <n v="0"/>
    <e v="#DIV/0!"/>
    <n v="0"/>
    <m/>
    <n v="0"/>
    <e v="#DIV/0!"/>
    <n v="0"/>
    <m/>
    <n v="0"/>
    <e v="#DIV/0!"/>
    <n v="0"/>
    <m/>
    <n v="0"/>
    <e v="#DIV/0!"/>
    <n v="0"/>
    <m/>
    <n v="0"/>
    <e v="#DIV/0!"/>
  </r>
  <r>
    <x v="7"/>
    <x v="7"/>
    <x v="0"/>
    <x v="42"/>
    <x v="0"/>
    <x v="221"/>
    <x v="221"/>
    <x v="221"/>
    <x v="221"/>
    <x v="221"/>
    <x v="10"/>
    <x v="27"/>
    <x v="0"/>
    <x v="0"/>
    <x v="24"/>
    <x v="0"/>
    <m/>
    <s v="RS"/>
    <s v="0801"/>
    <s v="Eliminar el hambre, la desnutrición y reducir la malnutrición"/>
    <s v="0801.RS.8.1.221.A"/>
    <s v="A"/>
    <s v="Subalimentación"/>
    <s v="Desnutrición Crónica"/>
    <m/>
    <n v="50"/>
    <m/>
    <m/>
    <x v="0"/>
    <x v="1"/>
    <x v="11"/>
    <m/>
    <m/>
    <m/>
    <m/>
    <m/>
    <m/>
    <m/>
    <m/>
    <n v="16.666666666666668"/>
    <x v="0"/>
    <x v="0"/>
    <x v="0"/>
    <x v="0"/>
    <x v="0"/>
    <x v="0"/>
    <x v="0"/>
    <x v="0"/>
    <x v="0"/>
    <x v="0"/>
    <x v="0"/>
    <x v="0"/>
    <x v="1"/>
    <x v="1"/>
    <x v="221"/>
    <x v="4"/>
    <x v="3"/>
    <x v="3"/>
    <m/>
    <m/>
    <m/>
    <s v="0801221"/>
    <m/>
    <m/>
    <m/>
    <m/>
    <m/>
    <m/>
    <m/>
    <m/>
    <m/>
    <m/>
    <m/>
    <m/>
    <m/>
    <m/>
    <m/>
    <n v="0"/>
    <n v="0"/>
    <n v="5"/>
    <n v="0"/>
    <m/>
    <n v="0"/>
    <e v="#DIV/0!"/>
    <n v="0"/>
    <m/>
    <n v="0"/>
    <e v="#DIV/0!"/>
    <n v="0"/>
    <m/>
    <n v="0"/>
    <e v="#DIV/0!"/>
    <n v="0"/>
    <m/>
    <n v="0"/>
    <e v="#DIV/0!"/>
    <n v="0"/>
    <m/>
    <n v="0"/>
    <e v="#DIV/0!"/>
  </r>
  <r>
    <x v="7"/>
    <x v="7"/>
    <x v="0"/>
    <x v="42"/>
    <x v="1"/>
    <x v="222"/>
    <x v="222"/>
    <x v="222"/>
    <x v="222"/>
    <x v="222"/>
    <x v="10"/>
    <x v="27"/>
    <x v="0"/>
    <x v="0"/>
    <x v="24"/>
    <x v="1"/>
    <m/>
    <s v="RS"/>
    <s v="0801"/>
    <s v="Eliminar el hambre, la desnutrición y reducir la malnutrición"/>
    <s v="0801.RS.8.1.222.A"/>
    <s v="A"/>
    <s v="Subalimentación"/>
    <s v="Acceso a alimentos (Subalimentación)_x000a_Cobertura de la Producción de Alimentos"/>
    <s v="0801.RS.8.1.221.A"/>
    <n v="50"/>
    <s v="0101.RS.1.1.1.A"/>
    <m/>
    <x v="0"/>
    <x v="1"/>
    <x v="11"/>
    <m/>
    <m/>
    <m/>
    <m/>
    <m/>
    <m/>
    <m/>
    <m/>
    <n v="16.666666666666668"/>
    <x v="0"/>
    <x v="0"/>
    <x v="1"/>
    <x v="0"/>
    <x v="1"/>
    <x v="0"/>
    <x v="0"/>
    <x v="0"/>
    <x v="0"/>
    <x v="0"/>
    <x v="1"/>
    <x v="1"/>
    <x v="0"/>
    <x v="1"/>
    <x v="222"/>
    <x v="4"/>
    <x v="3"/>
    <x v="3"/>
    <m/>
    <m/>
    <m/>
    <s v="0801222"/>
    <m/>
    <m/>
    <m/>
    <m/>
    <m/>
    <m/>
    <m/>
    <m/>
    <m/>
    <m/>
    <m/>
    <m/>
    <m/>
    <m/>
    <m/>
    <n v="0"/>
    <n v="0"/>
    <n v="5"/>
    <n v="0"/>
    <m/>
    <n v="0"/>
    <e v="#DIV/0!"/>
    <n v="0"/>
    <m/>
    <n v="0"/>
    <e v="#DIV/0!"/>
    <n v="0"/>
    <m/>
    <n v="0"/>
    <e v="#DIV/0!"/>
    <n v="0"/>
    <m/>
    <n v="0"/>
    <e v="#DIV/0!"/>
    <n v="0"/>
    <m/>
    <n v="0"/>
    <e v="#DIV/0!"/>
  </r>
  <r>
    <x v="7"/>
    <x v="7"/>
    <x v="0"/>
    <x v="42"/>
    <x v="2"/>
    <x v="223"/>
    <x v="223"/>
    <x v="223"/>
    <x v="223"/>
    <x v="223"/>
    <x v="10"/>
    <x v="27"/>
    <x v="0"/>
    <x v="0"/>
    <x v="24"/>
    <x v="1"/>
    <m/>
    <s v="RS"/>
    <s v="0801"/>
    <s v="Eliminar el hambre, la desnutrición y reducir la malnutrición"/>
    <s v="0801.RS.8.1.223.B"/>
    <s v="B"/>
    <s v="Calidad de Alimentación"/>
    <s v="Acceso a alimentos (Subalimentación)"/>
    <s v="0801.RS.8.1.222.A"/>
    <n v="33.333333333333336"/>
    <s v="0801.RS.8.1.224.B"/>
    <m/>
    <x v="0"/>
    <x v="1"/>
    <x v="11"/>
    <m/>
    <m/>
    <m/>
    <m/>
    <m/>
    <m/>
    <m/>
    <m/>
    <n v="16.666666666666668"/>
    <x v="0"/>
    <x v="0"/>
    <x v="1"/>
    <x v="0"/>
    <x v="1"/>
    <x v="0"/>
    <x v="0"/>
    <x v="0"/>
    <x v="0"/>
    <x v="0"/>
    <x v="1"/>
    <x v="1"/>
    <x v="0"/>
    <x v="1"/>
    <x v="223"/>
    <x v="4"/>
    <x v="3"/>
    <x v="3"/>
    <m/>
    <m/>
    <m/>
    <s v="0801223"/>
    <m/>
    <m/>
    <m/>
    <m/>
    <m/>
    <m/>
    <m/>
    <m/>
    <m/>
    <m/>
    <m/>
    <m/>
    <m/>
    <m/>
    <m/>
    <n v="0"/>
    <n v="0"/>
    <n v="5"/>
    <n v="0"/>
    <m/>
    <n v="0"/>
    <e v="#DIV/0!"/>
    <n v="0"/>
    <m/>
    <n v="0"/>
    <e v="#DIV/0!"/>
    <n v="0"/>
    <m/>
    <n v="0"/>
    <e v="#DIV/0!"/>
    <n v="0"/>
    <m/>
    <n v="0"/>
    <e v="#DIV/0!"/>
    <n v="0"/>
    <m/>
    <n v="0"/>
    <e v="#DIV/0!"/>
  </r>
  <r>
    <x v="7"/>
    <x v="7"/>
    <x v="0"/>
    <x v="42"/>
    <x v="3"/>
    <x v="224"/>
    <x v="224"/>
    <x v="224"/>
    <x v="224"/>
    <x v="224"/>
    <x v="10"/>
    <x v="27"/>
    <x v="0"/>
    <x v="0"/>
    <x v="24"/>
    <x v="0"/>
    <m/>
    <s v="RS"/>
    <s v="0801"/>
    <s v="Eliminar el hambre, la desnutrición y reducir la malnutrición"/>
    <s v="0801.RS.8.1.224.B"/>
    <s v="B"/>
    <s v="Calidad de Alimentación"/>
    <s v="Malnutrición (Obesidad, Sobrepeso)"/>
    <m/>
    <n v="33.333333333333336"/>
    <m/>
    <m/>
    <x v="0"/>
    <x v="1"/>
    <x v="11"/>
    <m/>
    <m/>
    <m/>
    <m/>
    <m/>
    <m/>
    <m/>
    <m/>
    <n v="16.666666666666668"/>
    <x v="0"/>
    <x v="0"/>
    <x v="0"/>
    <x v="0"/>
    <x v="0"/>
    <x v="0"/>
    <x v="0"/>
    <x v="0"/>
    <x v="0"/>
    <x v="0"/>
    <x v="0"/>
    <x v="0"/>
    <x v="0"/>
    <x v="1"/>
    <x v="224"/>
    <x v="4"/>
    <x v="3"/>
    <x v="3"/>
    <m/>
    <m/>
    <m/>
    <s v="0801224"/>
    <m/>
    <m/>
    <m/>
    <m/>
    <m/>
    <m/>
    <m/>
    <m/>
    <m/>
    <m/>
    <m/>
    <m/>
    <m/>
    <m/>
    <m/>
    <n v="0"/>
    <n v="0"/>
    <n v="5"/>
    <n v="0"/>
    <m/>
    <n v="0"/>
    <e v="#DIV/0!"/>
    <n v="0"/>
    <m/>
    <n v="0"/>
    <e v="#DIV/0!"/>
    <n v="0"/>
    <m/>
    <n v="0"/>
    <e v="#DIV/0!"/>
    <n v="0"/>
    <m/>
    <n v="0"/>
    <e v="#DIV/0!"/>
    <n v="0"/>
    <m/>
    <n v="0"/>
    <e v="#DIV/0!"/>
  </r>
  <r>
    <x v="7"/>
    <x v="7"/>
    <x v="0"/>
    <x v="42"/>
    <x v="4"/>
    <x v="225"/>
    <x v="225"/>
    <x v="225"/>
    <x v="225"/>
    <x v="225"/>
    <x v="10"/>
    <x v="27"/>
    <x v="0"/>
    <x v="0"/>
    <x v="24"/>
    <x v="1"/>
    <m/>
    <s v="RS"/>
    <s v="0801"/>
    <s v="Eliminar el hambre, la desnutrición y reducir la malnutrición"/>
    <s v="0801.RS.8.1.225.B"/>
    <s v="B"/>
    <s v="Calidad de Alimentación"/>
    <s v="Malnutrición (Obesidad, Sobrepeso)"/>
    <m/>
    <n v="33.333333333333336"/>
    <m/>
    <m/>
    <x v="0"/>
    <x v="1"/>
    <x v="11"/>
    <m/>
    <m/>
    <m/>
    <m/>
    <m/>
    <m/>
    <m/>
    <m/>
    <n v="16.666666666666668"/>
    <x v="0"/>
    <x v="0"/>
    <x v="0"/>
    <x v="0"/>
    <x v="0"/>
    <x v="0"/>
    <x v="0"/>
    <x v="0"/>
    <x v="0"/>
    <x v="0"/>
    <x v="0"/>
    <x v="0"/>
    <x v="0"/>
    <x v="1"/>
    <x v="225"/>
    <x v="4"/>
    <x v="3"/>
    <x v="3"/>
    <m/>
    <m/>
    <m/>
    <s v="0801225"/>
    <m/>
    <m/>
    <m/>
    <m/>
    <m/>
    <m/>
    <m/>
    <m/>
    <m/>
    <m/>
    <m/>
    <m/>
    <m/>
    <m/>
    <m/>
    <n v="0"/>
    <n v="0"/>
    <n v="5"/>
    <n v="0"/>
    <m/>
    <n v="0"/>
    <e v="#DIV/0!"/>
    <n v="0"/>
    <m/>
    <n v="0"/>
    <e v="#DIV/0!"/>
    <n v="0"/>
    <m/>
    <n v="0"/>
    <e v="#DIV/0!"/>
    <n v="0"/>
    <m/>
    <n v="0"/>
    <e v="#DIV/0!"/>
    <n v="0"/>
    <m/>
    <n v="0"/>
    <e v="#DIV/0!"/>
  </r>
  <r>
    <x v="7"/>
    <x v="7"/>
    <x v="0"/>
    <x v="42"/>
    <x v="5"/>
    <x v="226"/>
    <x v="226"/>
    <x v="226"/>
    <x v="226"/>
    <x v="226"/>
    <x v="10"/>
    <x v="27"/>
    <x v="0"/>
    <x v="0"/>
    <x v="24"/>
    <x v="1"/>
    <m/>
    <s v="RS"/>
    <s v="0801"/>
    <s v="Eliminar el hambre, la desnutrición y reducir la malnutrición"/>
    <s v="0801.RS.8.1.226.C"/>
    <s v="C"/>
    <s v="Lactancia Materna"/>
    <s v="Desnutrición Crónica"/>
    <s v="0801.RS.8.1.221.A"/>
    <n v="100"/>
    <m/>
    <m/>
    <x v="0"/>
    <x v="1"/>
    <x v="11"/>
    <m/>
    <m/>
    <m/>
    <m/>
    <m/>
    <m/>
    <m/>
    <m/>
    <n v="16.666666666666668"/>
    <x v="0"/>
    <x v="0"/>
    <x v="1"/>
    <x v="0"/>
    <x v="1"/>
    <x v="0"/>
    <x v="0"/>
    <x v="0"/>
    <x v="0"/>
    <x v="0"/>
    <x v="1"/>
    <x v="1"/>
    <x v="0"/>
    <x v="1"/>
    <x v="226"/>
    <x v="4"/>
    <x v="3"/>
    <x v="3"/>
    <m/>
    <m/>
    <m/>
    <s v="0801226"/>
    <m/>
    <m/>
    <m/>
    <m/>
    <m/>
    <m/>
    <m/>
    <m/>
    <m/>
    <m/>
    <m/>
    <m/>
    <m/>
    <m/>
    <m/>
    <n v="0"/>
    <n v="0"/>
    <n v="5"/>
    <n v="0"/>
    <m/>
    <n v="0"/>
    <e v="#DIV/0!"/>
    <n v="0"/>
    <m/>
    <n v="0"/>
    <e v="#DIV/0!"/>
    <n v="0"/>
    <m/>
    <n v="0"/>
    <e v="#DIV/0!"/>
    <n v="0"/>
    <m/>
    <n v="0"/>
    <e v="#DIV/0!"/>
    <n v="0"/>
    <m/>
    <n v="0"/>
    <e v="#DIV/0!"/>
  </r>
  <r>
    <x v="7"/>
    <x v="7"/>
    <x v="1"/>
    <x v="43"/>
    <x v="0"/>
    <x v="227"/>
    <x v="227"/>
    <x v="227"/>
    <x v="227"/>
    <x v="227"/>
    <x v="10"/>
    <x v="27"/>
    <x v="0"/>
    <x v="0"/>
    <x v="24"/>
    <x v="1"/>
    <m/>
    <s v="RS"/>
    <s v="0802"/>
    <s v="Acceso universal a la Alimentación Complementaria Escolar"/>
    <s v="0802.RS.8.2.227.A"/>
    <s v="A"/>
    <s v="Habitos Alimentarios Saludables"/>
    <s v="Capacitación en Nutrición"/>
    <s v="0801.RS.8.1.223.B"/>
    <n v="50"/>
    <m/>
    <m/>
    <x v="0"/>
    <x v="1"/>
    <x v="12"/>
    <m/>
    <m/>
    <m/>
    <m/>
    <m/>
    <m/>
    <m/>
    <m/>
    <n v="25"/>
    <x v="0"/>
    <x v="0"/>
    <x v="1"/>
    <x v="0"/>
    <x v="1"/>
    <x v="0"/>
    <x v="0"/>
    <x v="0"/>
    <x v="0"/>
    <x v="0"/>
    <x v="1"/>
    <x v="1"/>
    <x v="0"/>
    <x v="1"/>
    <x v="227"/>
    <x v="4"/>
    <x v="3"/>
    <x v="3"/>
    <m/>
    <m/>
    <m/>
    <s v="0802227"/>
    <m/>
    <m/>
    <m/>
    <m/>
    <m/>
    <m/>
    <m/>
    <m/>
    <m/>
    <m/>
    <m/>
    <m/>
    <m/>
    <m/>
    <m/>
    <n v="0"/>
    <n v="0"/>
    <n v="5"/>
    <n v="0"/>
    <m/>
    <n v="0"/>
    <e v="#DIV/0!"/>
    <n v="0"/>
    <m/>
    <n v="0"/>
    <e v="#DIV/0!"/>
    <n v="0"/>
    <m/>
    <n v="0"/>
    <e v="#DIV/0!"/>
    <n v="0"/>
    <m/>
    <n v="0"/>
    <e v="#DIV/0!"/>
    <n v="0"/>
    <m/>
    <n v="0"/>
    <e v="#DIV/0!"/>
  </r>
  <r>
    <x v="7"/>
    <x v="7"/>
    <x v="1"/>
    <x v="43"/>
    <x v="1"/>
    <x v="228"/>
    <x v="228"/>
    <x v="228"/>
    <x v="228"/>
    <x v="228"/>
    <x v="10"/>
    <x v="27"/>
    <x v="0"/>
    <x v="0"/>
    <x v="24"/>
    <x v="1"/>
    <m/>
    <s v="RS"/>
    <s v="0802"/>
    <s v="Acceso universal a la Alimentación Complementaria Escolar"/>
    <s v="0802.RS.8.2.228.B"/>
    <s v="B"/>
    <s v="Acceso a Alimentación Complementaria Escolar"/>
    <m/>
    <m/>
    <n v="50"/>
    <s v="0801.RS.8.1.223.B"/>
    <m/>
    <x v="0"/>
    <x v="1"/>
    <x v="12"/>
    <m/>
    <m/>
    <m/>
    <m/>
    <m/>
    <m/>
    <m/>
    <m/>
    <n v="25"/>
    <x v="0"/>
    <x v="0"/>
    <x v="1"/>
    <x v="0"/>
    <x v="1"/>
    <x v="0"/>
    <x v="0"/>
    <x v="0"/>
    <x v="0"/>
    <x v="0"/>
    <x v="1"/>
    <x v="1"/>
    <x v="0"/>
    <x v="1"/>
    <x v="228"/>
    <x v="4"/>
    <x v="3"/>
    <x v="3"/>
    <m/>
    <m/>
    <m/>
    <s v="0802228"/>
    <m/>
    <m/>
    <m/>
    <m/>
    <m/>
    <m/>
    <m/>
    <m/>
    <m/>
    <m/>
    <m/>
    <m/>
    <m/>
    <m/>
    <m/>
    <n v="0"/>
    <n v="0"/>
    <n v="5"/>
    <n v="0"/>
    <m/>
    <n v="0"/>
    <e v="#DIV/0!"/>
    <n v="0"/>
    <m/>
    <n v="0"/>
    <e v="#DIV/0!"/>
    <n v="0"/>
    <m/>
    <n v="0"/>
    <e v="#DIV/0!"/>
    <n v="0"/>
    <m/>
    <n v="0"/>
    <e v="#DIV/0!"/>
    <n v="0"/>
    <m/>
    <n v="0"/>
    <e v="#DIV/0!"/>
  </r>
  <r>
    <x v="7"/>
    <x v="7"/>
    <x v="1"/>
    <x v="43"/>
    <x v="2"/>
    <x v="229"/>
    <x v="229"/>
    <x v="229"/>
    <x v="229"/>
    <x v="229"/>
    <x v="10"/>
    <x v="27"/>
    <x v="1"/>
    <x v="0"/>
    <x v="24"/>
    <x v="1"/>
    <m/>
    <s v="PC"/>
    <s v="0802"/>
    <s v="Acceso universal a la Alimentación Complementaria Escolar"/>
    <s v="0802.PC.8.2.229.B"/>
    <s v="B"/>
    <s v="Acceso a Alimentación Complementaria Escolar"/>
    <m/>
    <s v="0802.RS.8.2.228.B"/>
    <n v="50"/>
    <m/>
    <m/>
    <x v="0"/>
    <x v="1"/>
    <x v="2"/>
    <m/>
    <m/>
    <m/>
    <m/>
    <m/>
    <m/>
    <m/>
    <m/>
    <n v="25"/>
    <x v="1"/>
    <x v="1"/>
    <x v="1"/>
    <x v="0"/>
    <x v="0"/>
    <x v="0"/>
    <x v="1"/>
    <x v="0"/>
    <x v="0"/>
    <x v="0"/>
    <x v="1"/>
    <x v="1"/>
    <x v="1"/>
    <x v="1"/>
    <x v="229"/>
    <x v="4"/>
    <x v="3"/>
    <x v="3"/>
    <m/>
    <m/>
    <m/>
    <s v="0802229"/>
    <m/>
    <m/>
    <m/>
    <m/>
    <m/>
    <m/>
    <m/>
    <m/>
    <m/>
    <m/>
    <m/>
    <m/>
    <m/>
    <m/>
    <m/>
    <n v="0"/>
    <n v="0"/>
    <n v="5"/>
    <n v="0"/>
    <m/>
    <n v="0"/>
    <e v="#DIV/0!"/>
    <n v="0"/>
    <m/>
    <n v="0"/>
    <e v="#DIV/0!"/>
    <n v="0"/>
    <m/>
    <n v="0"/>
    <e v="#DIV/0!"/>
    <n v="0"/>
    <m/>
    <n v="0"/>
    <e v="#DIV/0!"/>
    <n v="0"/>
    <m/>
    <n v="0"/>
    <e v="#DIV/0!"/>
  </r>
  <r>
    <x v="7"/>
    <x v="7"/>
    <x v="1"/>
    <x v="43"/>
    <x v="3"/>
    <x v="230"/>
    <x v="230"/>
    <x v="230"/>
    <x v="230"/>
    <x v="230"/>
    <x v="10"/>
    <x v="27"/>
    <x v="1"/>
    <x v="0"/>
    <x v="24"/>
    <x v="1"/>
    <m/>
    <s v="PC"/>
    <s v="0802"/>
    <s v="Acceso universal a la Alimentación Complementaria Escolar"/>
    <s v="0802.PC.8.2.230.A"/>
    <s v="A"/>
    <s v="Habitos Alimentarios Saludables"/>
    <s v="Capacitación en Nutrición"/>
    <s v="0802.RS.8.2.227.A"/>
    <n v="50"/>
    <m/>
    <m/>
    <x v="0"/>
    <x v="1"/>
    <x v="2"/>
    <m/>
    <m/>
    <m/>
    <m/>
    <m/>
    <m/>
    <m/>
    <m/>
    <n v="25"/>
    <x v="1"/>
    <x v="1"/>
    <x v="1"/>
    <x v="0"/>
    <x v="0"/>
    <x v="0"/>
    <x v="1"/>
    <x v="0"/>
    <x v="0"/>
    <x v="0"/>
    <x v="1"/>
    <x v="1"/>
    <x v="1"/>
    <x v="1"/>
    <x v="230"/>
    <x v="4"/>
    <x v="3"/>
    <x v="3"/>
    <m/>
    <m/>
    <m/>
    <s v="0802230"/>
    <m/>
    <m/>
    <m/>
    <m/>
    <m/>
    <m/>
    <m/>
    <m/>
    <m/>
    <m/>
    <m/>
    <m/>
    <m/>
    <m/>
    <m/>
    <n v="0"/>
    <n v="0"/>
    <n v="5"/>
    <n v="0"/>
    <m/>
    <n v="0"/>
    <e v="#DIV/0!"/>
    <n v="0"/>
    <m/>
    <n v="0"/>
    <e v="#DIV/0!"/>
    <n v="0"/>
    <m/>
    <n v="0"/>
    <e v="#DIV/0!"/>
    <n v="0"/>
    <m/>
    <n v="0"/>
    <e v="#DIV/0!"/>
    <n v="0"/>
    <m/>
    <n v="0"/>
    <e v="#DIV/0!"/>
  </r>
  <r>
    <x v="7"/>
    <x v="7"/>
    <x v="2"/>
    <x v="44"/>
    <x v="0"/>
    <x v="231"/>
    <x v="231"/>
    <x v="231"/>
    <x v="231"/>
    <x v="231"/>
    <x v="10"/>
    <x v="21"/>
    <x v="2"/>
    <x v="3"/>
    <x v="17"/>
    <x v="1"/>
    <m/>
    <s v="PD"/>
    <s v="0803"/>
    <s v="Producción local de alimentos"/>
    <s v="0803.PD.8.3.231."/>
    <m/>
    <m/>
    <m/>
    <m/>
    <e v="#DIV/0!"/>
    <m/>
    <m/>
    <x v="0"/>
    <x v="1"/>
    <x v="2"/>
    <m/>
    <m/>
    <m/>
    <m/>
    <m/>
    <m/>
    <m/>
    <m/>
    <n v="20"/>
    <x v="1"/>
    <x v="1"/>
    <x v="1"/>
    <x v="0"/>
    <x v="0"/>
    <x v="1"/>
    <x v="0"/>
    <x v="0"/>
    <x v="0"/>
    <x v="0"/>
    <x v="1"/>
    <x v="1"/>
    <x v="1"/>
    <x v="1"/>
    <x v="231"/>
    <x v="4"/>
    <x v="3"/>
    <x v="3"/>
    <m/>
    <m/>
    <m/>
    <s v="0803231"/>
    <m/>
    <m/>
    <m/>
    <m/>
    <m/>
    <m/>
    <m/>
    <m/>
    <m/>
    <m/>
    <m/>
    <m/>
    <m/>
    <m/>
    <m/>
    <n v="0"/>
    <n v="0"/>
    <n v="5"/>
    <n v="0"/>
    <m/>
    <n v="0"/>
    <e v="#DIV/0!"/>
    <n v="0"/>
    <m/>
    <n v="0"/>
    <e v="#DIV/0!"/>
    <n v="0"/>
    <m/>
    <n v="0"/>
    <e v="#DIV/0!"/>
    <n v="0"/>
    <m/>
    <n v="0"/>
    <e v="#DIV/0!"/>
    <n v="0"/>
    <m/>
    <n v="0"/>
    <e v="#DIV/0!"/>
  </r>
  <r>
    <x v="7"/>
    <x v="7"/>
    <x v="2"/>
    <x v="44"/>
    <x v="1"/>
    <x v="232"/>
    <x v="232"/>
    <x v="232"/>
    <x v="232"/>
    <x v="232"/>
    <x v="10"/>
    <x v="21"/>
    <x v="0"/>
    <x v="3"/>
    <x v="17"/>
    <x v="1"/>
    <m/>
    <s v="RS"/>
    <s v="0803"/>
    <s v="Producción local de alimentos"/>
    <s v="0803.RS.8.3.232."/>
    <m/>
    <m/>
    <m/>
    <m/>
    <e v="#DIV/0!"/>
    <m/>
    <m/>
    <x v="0"/>
    <x v="1"/>
    <x v="19"/>
    <m/>
    <m/>
    <m/>
    <m/>
    <m/>
    <m/>
    <m/>
    <m/>
    <n v="20"/>
    <x v="0"/>
    <x v="0"/>
    <x v="1"/>
    <x v="0"/>
    <x v="1"/>
    <x v="0"/>
    <x v="0"/>
    <x v="0"/>
    <x v="0"/>
    <x v="0"/>
    <x v="1"/>
    <x v="1"/>
    <x v="0"/>
    <x v="1"/>
    <x v="232"/>
    <x v="4"/>
    <x v="3"/>
    <x v="3"/>
    <m/>
    <m/>
    <m/>
    <s v="0803232"/>
    <m/>
    <m/>
    <m/>
    <m/>
    <m/>
    <m/>
    <m/>
    <m/>
    <m/>
    <m/>
    <m/>
    <m/>
    <m/>
    <m/>
    <m/>
    <n v="0"/>
    <n v="0"/>
    <n v="5"/>
    <n v="0"/>
    <m/>
    <n v="0"/>
    <e v="#DIV/0!"/>
    <n v="0"/>
    <m/>
    <n v="0"/>
    <e v="#DIV/0!"/>
    <n v="0"/>
    <m/>
    <n v="0"/>
    <e v="#DIV/0!"/>
    <n v="0"/>
    <m/>
    <n v="0"/>
    <e v="#DIV/0!"/>
    <n v="0"/>
    <m/>
    <n v="0"/>
    <e v="#DIV/0!"/>
  </r>
  <r>
    <x v="7"/>
    <x v="7"/>
    <x v="2"/>
    <x v="44"/>
    <x v="2"/>
    <x v="233"/>
    <x v="233"/>
    <x v="233"/>
    <x v="233"/>
    <x v="233"/>
    <x v="10"/>
    <x v="21"/>
    <x v="0"/>
    <x v="3"/>
    <x v="17"/>
    <x v="1"/>
    <m/>
    <s v="RS"/>
    <s v="0803"/>
    <s v="Producción local de alimentos"/>
    <s v="0803.RS.8.3.233."/>
    <m/>
    <m/>
    <m/>
    <m/>
    <e v="#DIV/0!"/>
    <m/>
    <m/>
    <x v="0"/>
    <x v="1"/>
    <x v="19"/>
    <m/>
    <m/>
    <m/>
    <m/>
    <m/>
    <m/>
    <m/>
    <m/>
    <n v="20"/>
    <x v="0"/>
    <x v="0"/>
    <x v="1"/>
    <x v="0"/>
    <x v="1"/>
    <x v="0"/>
    <x v="0"/>
    <x v="0"/>
    <x v="0"/>
    <x v="0"/>
    <x v="1"/>
    <x v="1"/>
    <x v="0"/>
    <x v="1"/>
    <x v="233"/>
    <x v="4"/>
    <x v="3"/>
    <x v="3"/>
    <m/>
    <m/>
    <m/>
    <s v="0803233"/>
    <m/>
    <m/>
    <m/>
    <m/>
    <m/>
    <m/>
    <m/>
    <m/>
    <m/>
    <m/>
    <m/>
    <m/>
    <m/>
    <m/>
    <m/>
    <n v="0"/>
    <n v="0"/>
    <n v="5"/>
    <n v="0"/>
    <m/>
    <n v="0"/>
    <e v="#DIV/0!"/>
    <n v="0"/>
    <m/>
    <n v="0"/>
    <e v="#DIV/0!"/>
    <n v="0"/>
    <m/>
    <n v="0"/>
    <e v="#DIV/0!"/>
    <n v="0"/>
    <m/>
    <n v="0"/>
    <e v="#DIV/0!"/>
    <n v="0"/>
    <m/>
    <n v="0"/>
    <e v="#DIV/0!"/>
  </r>
  <r>
    <x v="7"/>
    <x v="7"/>
    <x v="2"/>
    <x v="44"/>
    <x v="3"/>
    <x v="234"/>
    <x v="234"/>
    <x v="234"/>
    <x v="234"/>
    <x v="234"/>
    <x v="10"/>
    <x v="21"/>
    <x v="0"/>
    <x v="3"/>
    <x v="17"/>
    <x v="1"/>
    <m/>
    <s v="RS"/>
    <s v="0803"/>
    <s v="Producción local de alimentos"/>
    <s v="0803.RS.8.3.234."/>
    <m/>
    <m/>
    <m/>
    <m/>
    <e v="#DIV/0!"/>
    <m/>
    <m/>
    <x v="0"/>
    <x v="1"/>
    <x v="19"/>
    <m/>
    <m/>
    <m/>
    <m/>
    <m/>
    <m/>
    <m/>
    <m/>
    <n v="20"/>
    <x v="0"/>
    <x v="0"/>
    <x v="1"/>
    <x v="0"/>
    <x v="1"/>
    <x v="0"/>
    <x v="0"/>
    <x v="0"/>
    <x v="0"/>
    <x v="0"/>
    <x v="1"/>
    <x v="1"/>
    <x v="0"/>
    <x v="1"/>
    <x v="234"/>
    <x v="4"/>
    <x v="3"/>
    <x v="3"/>
    <m/>
    <m/>
    <m/>
    <s v="0803234"/>
    <m/>
    <m/>
    <m/>
    <m/>
    <m/>
    <m/>
    <m/>
    <m/>
    <m/>
    <m/>
    <m/>
    <m/>
    <m/>
    <m/>
    <m/>
    <n v="0"/>
    <n v="0"/>
    <n v="5"/>
    <n v="0"/>
    <m/>
    <n v="0"/>
    <e v="#DIV/0!"/>
    <n v="0"/>
    <m/>
    <n v="0"/>
    <e v="#DIV/0!"/>
    <n v="0"/>
    <m/>
    <n v="0"/>
    <e v="#DIV/0!"/>
    <n v="0"/>
    <m/>
    <n v="0"/>
    <e v="#DIV/0!"/>
    <n v="0"/>
    <m/>
    <n v="0"/>
    <e v="#DIV/0!"/>
  </r>
  <r>
    <x v="7"/>
    <x v="7"/>
    <x v="2"/>
    <x v="44"/>
    <x v="4"/>
    <x v="235"/>
    <x v="235"/>
    <x v="235"/>
    <x v="235"/>
    <x v="235"/>
    <x v="10"/>
    <x v="21"/>
    <x v="0"/>
    <x v="3"/>
    <x v="17"/>
    <x v="1"/>
    <n v="1"/>
    <s v="RS"/>
    <s v="0803"/>
    <s v="Producción local de alimentos"/>
    <s v="0803.RS.8.3.235."/>
    <m/>
    <m/>
    <m/>
    <m/>
    <e v="#DIV/0!"/>
    <m/>
    <m/>
    <x v="0"/>
    <x v="1"/>
    <x v="14"/>
    <m/>
    <m/>
    <m/>
    <m/>
    <m/>
    <m/>
    <m/>
    <m/>
    <n v="20"/>
    <x v="0"/>
    <x v="0"/>
    <x v="1"/>
    <x v="0"/>
    <x v="1"/>
    <x v="0"/>
    <x v="0"/>
    <x v="0"/>
    <x v="0"/>
    <x v="0"/>
    <x v="1"/>
    <x v="1"/>
    <x v="0"/>
    <x v="1"/>
    <x v="235"/>
    <x v="4"/>
    <x v="3"/>
    <x v="3"/>
    <m/>
    <m/>
    <m/>
    <s v="0803235"/>
    <m/>
    <m/>
    <m/>
    <m/>
    <m/>
    <m/>
    <m/>
    <m/>
    <m/>
    <m/>
    <m/>
    <m/>
    <m/>
    <m/>
    <m/>
    <n v="0"/>
    <n v="0"/>
    <n v="5"/>
    <n v="0"/>
    <m/>
    <n v="0"/>
    <e v="#DIV/0!"/>
    <n v="0"/>
    <m/>
    <n v="0"/>
    <e v="#DIV/0!"/>
    <n v="0"/>
    <m/>
    <n v="0"/>
    <e v="#DIV/0!"/>
    <n v="0"/>
    <m/>
    <n v="0"/>
    <e v="#DIV/0!"/>
    <n v="0"/>
    <m/>
    <n v="0"/>
    <e v="#DIV/0!"/>
  </r>
  <r>
    <x v="7"/>
    <x v="7"/>
    <x v="3"/>
    <x v="45"/>
    <x v="0"/>
    <x v="236"/>
    <x v="236"/>
    <x v="236"/>
    <x v="236"/>
    <x v="236"/>
    <x v="10"/>
    <x v="27"/>
    <x v="0"/>
    <x v="0"/>
    <x v="24"/>
    <x v="1"/>
    <m/>
    <s v="RS"/>
    <s v="0804"/>
    <s v="Diversificación de la producción, protección a las variedades locales y fomento a las tradiciones alimentarias"/>
    <s v="0804.RS.8.4.236."/>
    <m/>
    <m/>
    <m/>
    <m/>
    <e v="#DIV/0!"/>
    <m/>
    <m/>
    <x v="1"/>
    <x v="1"/>
    <x v="11"/>
    <m/>
    <m/>
    <m/>
    <m/>
    <m/>
    <m/>
    <m/>
    <m/>
    <n v="25"/>
    <x v="0"/>
    <x v="0"/>
    <x v="1"/>
    <x v="0"/>
    <x v="1"/>
    <x v="0"/>
    <x v="0"/>
    <x v="0"/>
    <x v="0"/>
    <x v="0"/>
    <x v="1"/>
    <x v="1"/>
    <x v="0"/>
    <x v="1"/>
    <x v="236"/>
    <x v="4"/>
    <x v="3"/>
    <x v="3"/>
    <m/>
    <m/>
    <m/>
    <s v="0804236"/>
    <m/>
    <m/>
    <m/>
    <m/>
    <m/>
    <m/>
    <m/>
    <m/>
    <m/>
    <m/>
    <m/>
    <m/>
    <m/>
    <m/>
    <m/>
    <n v="0"/>
    <n v="0"/>
    <n v="5"/>
    <n v="0"/>
    <m/>
    <n v="0"/>
    <e v="#DIV/0!"/>
    <n v="0"/>
    <m/>
    <n v="0"/>
    <e v="#DIV/0!"/>
    <n v="0"/>
    <m/>
    <n v="0"/>
    <e v="#DIV/0!"/>
    <n v="0"/>
    <m/>
    <n v="0"/>
    <e v="#DIV/0!"/>
    <n v="0"/>
    <m/>
    <n v="0"/>
    <e v="#DIV/0!"/>
  </r>
  <r>
    <x v="7"/>
    <x v="7"/>
    <x v="3"/>
    <x v="45"/>
    <x v="1"/>
    <x v="237"/>
    <x v="237"/>
    <x v="237"/>
    <x v="237"/>
    <x v="237"/>
    <x v="10"/>
    <x v="21"/>
    <x v="1"/>
    <x v="3"/>
    <x v="17"/>
    <x v="1"/>
    <m/>
    <s v="PC"/>
    <s v="0804"/>
    <s v="Diversificación de la producción, protección a las variedades locales y fomento a las tradiciones alimentarias"/>
    <s v="0804.PC.8.4.237."/>
    <m/>
    <m/>
    <m/>
    <m/>
    <e v="#DIV/0!"/>
    <m/>
    <m/>
    <x v="0"/>
    <x v="1"/>
    <x v="2"/>
    <m/>
    <m/>
    <m/>
    <m/>
    <m/>
    <m/>
    <m/>
    <m/>
    <n v="25"/>
    <x v="1"/>
    <x v="1"/>
    <x v="1"/>
    <x v="0"/>
    <x v="0"/>
    <x v="0"/>
    <x v="1"/>
    <x v="0"/>
    <x v="0"/>
    <x v="0"/>
    <x v="1"/>
    <x v="1"/>
    <x v="1"/>
    <x v="1"/>
    <x v="237"/>
    <x v="4"/>
    <x v="3"/>
    <x v="3"/>
    <m/>
    <m/>
    <m/>
    <s v="0804237"/>
    <m/>
    <m/>
    <m/>
    <m/>
    <m/>
    <m/>
    <m/>
    <m/>
    <m/>
    <m/>
    <m/>
    <m/>
    <m/>
    <m/>
    <m/>
    <n v="0"/>
    <n v="0"/>
    <n v="5"/>
    <n v="0"/>
    <m/>
    <n v="0"/>
    <e v="#DIV/0!"/>
    <n v="0"/>
    <m/>
    <n v="0"/>
    <e v="#DIV/0!"/>
    <n v="0"/>
    <m/>
    <n v="0"/>
    <e v="#DIV/0!"/>
    <n v="0"/>
    <m/>
    <n v="0"/>
    <e v="#DIV/0!"/>
    <n v="0"/>
    <m/>
    <n v="0"/>
    <e v="#DIV/0!"/>
  </r>
  <r>
    <x v="7"/>
    <x v="7"/>
    <x v="3"/>
    <x v="45"/>
    <x v="2"/>
    <x v="238"/>
    <x v="238"/>
    <x v="238"/>
    <x v="238"/>
    <x v="238"/>
    <x v="10"/>
    <x v="17"/>
    <x v="1"/>
    <x v="3"/>
    <x v="16"/>
    <x v="1"/>
    <n v="1"/>
    <s v="PC"/>
    <s v="0804"/>
    <s v="Diversificación de la producción, protección a las variedades locales y fomento a las tradiciones alimentarias"/>
    <s v="0804.PC.8.4.238."/>
    <m/>
    <m/>
    <m/>
    <m/>
    <e v="#DIV/0!"/>
    <m/>
    <m/>
    <x v="0"/>
    <x v="1"/>
    <x v="2"/>
    <m/>
    <m/>
    <m/>
    <m/>
    <m/>
    <m/>
    <m/>
    <m/>
    <n v="25"/>
    <x v="1"/>
    <x v="1"/>
    <x v="1"/>
    <x v="0"/>
    <x v="0"/>
    <x v="0"/>
    <x v="1"/>
    <x v="0"/>
    <x v="0"/>
    <x v="0"/>
    <x v="1"/>
    <x v="1"/>
    <x v="1"/>
    <x v="1"/>
    <x v="238"/>
    <x v="4"/>
    <x v="3"/>
    <x v="3"/>
    <m/>
    <m/>
    <m/>
    <s v="0804238"/>
    <m/>
    <m/>
    <m/>
    <m/>
    <m/>
    <m/>
    <m/>
    <m/>
    <m/>
    <m/>
    <m/>
    <m/>
    <m/>
    <m/>
    <m/>
    <n v="0"/>
    <n v="0"/>
    <n v="5"/>
    <n v="0"/>
    <m/>
    <n v="0"/>
    <e v="#DIV/0!"/>
    <n v="0"/>
    <m/>
    <n v="0"/>
    <e v="#DIV/0!"/>
    <n v="0"/>
    <m/>
    <n v="0"/>
    <e v="#DIV/0!"/>
    <n v="0"/>
    <m/>
    <n v="0"/>
    <e v="#DIV/0!"/>
    <n v="0"/>
    <m/>
    <n v="0"/>
    <e v="#DIV/0!"/>
  </r>
  <r>
    <x v="7"/>
    <x v="7"/>
    <x v="3"/>
    <x v="45"/>
    <x v="3"/>
    <x v="239"/>
    <x v="239"/>
    <x v="239"/>
    <x v="239"/>
    <x v="239"/>
    <x v="10"/>
    <x v="27"/>
    <x v="1"/>
    <x v="0"/>
    <x v="24"/>
    <x v="1"/>
    <m/>
    <s v="PC"/>
    <s v="0804"/>
    <s v="Diversificación de la producción, protección a las variedades locales y fomento a las tradiciones alimentarias"/>
    <s v="0804.PC.8.4.239."/>
    <m/>
    <m/>
    <m/>
    <m/>
    <e v="#DIV/0!"/>
    <n v="38"/>
    <m/>
    <x v="0"/>
    <x v="1"/>
    <x v="2"/>
    <m/>
    <m/>
    <m/>
    <m/>
    <m/>
    <m/>
    <m/>
    <m/>
    <n v="25"/>
    <x v="1"/>
    <x v="1"/>
    <x v="1"/>
    <x v="0"/>
    <x v="0"/>
    <x v="0"/>
    <x v="1"/>
    <x v="0"/>
    <x v="0"/>
    <x v="0"/>
    <x v="1"/>
    <x v="1"/>
    <x v="1"/>
    <x v="1"/>
    <x v="239"/>
    <x v="4"/>
    <x v="3"/>
    <x v="3"/>
    <m/>
    <m/>
    <m/>
    <s v="0804239"/>
    <m/>
    <m/>
    <m/>
    <m/>
    <m/>
    <m/>
    <m/>
    <m/>
    <m/>
    <m/>
    <m/>
    <m/>
    <m/>
    <m/>
    <m/>
    <n v="0"/>
    <n v="0"/>
    <n v="5"/>
    <n v="0"/>
    <m/>
    <n v="0"/>
    <e v="#DIV/0!"/>
    <n v="0"/>
    <m/>
    <n v="0"/>
    <e v="#DIV/0!"/>
    <n v="0"/>
    <m/>
    <n v="0"/>
    <e v="#DIV/0!"/>
    <n v="0"/>
    <m/>
    <n v="0"/>
    <e v="#DIV/0!"/>
    <n v="0"/>
    <m/>
    <n v="0"/>
    <e v="#DIV/0!"/>
  </r>
  <r>
    <x v="7"/>
    <x v="7"/>
    <x v="4"/>
    <x v="46"/>
    <x v="0"/>
    <x v="240"/>
    <x v="240"/>
    <x v="240"/>
    <x v="240"/>
    <x v="240"/>
    <x v="10"/>
    <x v="27"/>
    <x v="1"/>
    <x v="0"/>
    <x v="24"/>
    <x v="1"/>
    <m/>
    <s v="PC"/>
    <s v="0805"/>
    <s v="Puesta en marcha de programas intersectoriales de alimentación y nutrición"/>
    <s v="0805.PC.8.5.240."/>
    <m/>
    <m/>
    <m/>
    <m/>
    <e v="#DIV/0!"/>
    <m/>
    <m/>
    <x v="0"/>
    <x v="1"/>
    <x v="2"/>
    <m/>
    <m/>
    <m/>
    <m/>
    <m/>
    <m/>
    <m/>
    <m/>
    <n v="50"/>
    <x v="1"/>
    <x v="1"/>
    <x v="1"/>
    <x v="0"/>
    <x v="0"/>
    <x v="0"/>
    <x v="1"/>
    <x v="0"/>
    <x v="0"/>
    <x v="0"/>
    <x v="1"/>
    <x v="1"/>
    <x v="1"/>
    <x v="1"/>
    <x v="240"/>
    <x v="4"/>
    <x v="3"/>
    <x v="3"/>
    <m/>
    <m/>
    <m/>
    <s v="0805240"/>
    <m/>
    <m/>
    <m/>
    <m/>
    <m/>
    <m/>
    <m/>
    <m/>
    <m/>
    <m/>
    <m/>
    <m/>
    <m/>
    <m/>
    <m/>
    <n v="0"/>
    <n v="0"/>
    <n v="5"/>
    <n v="0"/>
    <m/>
    <n v="0"/>
    <e v="#DIV/0!"/>
    <n v="0"/>
    <m/>
    <n v="0"/>
    <e v="#DIV/0!"/>
    <n v="0"/>
    <m/>
    <n v="0"/>
    <e v="#DIV/0!"/>
    <n v="0"/>
    <m/>
    <n v="0"/>
    <e v="#DIV/0!"/>
    <n v="0"/>
    <m/>
    <n v="0"/>
    <e v="#DIV/0!"/>
  </r>
  <r>
    <x v="7"/>
    <x v="7"/>
    <x v="4"/>
    <x v="46"/>
    <x v="1"/>
    <x v="241"/>
    <x v="241"/>
    <x v="241"/>
    <x v="241"/>
    <x v="241"/>
    <x v="10"/>
    <x v="27"/>
    <x v="1"/>
    <x v="0"/>
    <x v="24"/>
    <x v="1"/>
    <m/>
    <s v="PC"/>
    <s v="0805"/>
    <s v="Puesta en marcha de programas intersectoriales de alimentación y nutrición"/>
    <s v="0805.PC.8.5.241."/>
    <m/>
    <m/>
    <m/>
    <m/>
    <e v="#DIV/0!"/>
    <m/>
    <m/>
    <x v="0"/>
    <x v="1"/>
    <x v="2"/>
    <m/>
    <m/>
    <m/>
    <m/>
    <m/>
    <m/>
    <m/>
    <m/>
    <n v="50"/>
    <x v="1"/>
    <x v="1"/>
    <x v="1"/>
    <x v="0"/>
    <x v="0"/>
    <x v="0"/>
    <x v="1"/>
    <x v="0"/>
    <x v="0"/>
    <x v="0"/>
    <x v="1"/>
    <x v="1"/>
    <x v="1"/>
    <x v="1"/>
    <x v="241"/>
    <x v="4"/>
    <x v="3"/>
    <x v="3"/>
    <m/>
    <m/>
    <m/>
    <s v="0805241"/>
    <m/>
    <m/>
    <m/>
    <m/>
    <m/>
    <m/>
    <m/>
    <m/>
    <m/>
    <m/>
    <m/>
    <m/>
    <m/>
    <m/>
    <m/>
    <n v="0"/>
    <n v="0"/>
    <n v="5"/>
    <n v="0"/>
    <m/>
    <n v="0"/>
    <e v="#DIV/0!"/>
    <n v="0"/>
    <m/>
    <n v="0"/>
    <e v="#DIV/0!"/>
    <n v="0"/>
    <m/>
    <n v="0"/>
    <e v="#DIV/0!"/>
    <n v="0"/>
    <m/>
    <n v="0"/>
    <e v="#DIV/0!"/>
    <n v="0"/>
    <m/>
    <n v="0"/>
    <e v="#DIV/0!"/>
  </r>
  <r>
    <x v="8"/>
    <x v="8"/>
    <x v="0"/>
    <x v="47"/>
    <x v="0"/>
    <x v="242"/>
    <x v="242"/>
    <x v="242"/>
    <x v="242"/>
    <x v="242"/>
    <x v="11"/>
    <x v="28"/>
    <x v="1"/>
    <x v="4"/>
    <x v="25"/>
    <x v="1"/>
    <m/>
    <s v="PC"/>
    <s v="0901"/>
    <s v="Reconocimiento internacional de los derechos de la Madre Tierra."/>
    <s v="0901.PC.9.1.242."/>
    <m/>
    <m/>
    <m/>
    <m/>
    <e v="#DIV/0!"/>
    <m/>
    <m/>
    <x v="0"/>
    <x v="1"/>
    <x v="2"/>
    <m/>
    <m/>
    <m/>
    <m/>
    <m/>
    <m/>
    <m/>
    <m/>
    <n v="50"/>
    <x v="1"/>
    <x v="1"/>
    <x v="1"/>
    <x v="0"/>
    <x v="0"/>
    <x v="0"/>
    <x v="1"/>
    <x v="0"/>
    <x v="0"/>
    <x v="0"/>
    <x v="1"/>
    <x v="1"/>
    <x v="1"/>
    <x v="1"/>
    <x v="242"/>
    <x v="4"/>
    <x v="3"/>
    <x v="3"/>
    <m/>
    <m/>
    <m/>
    <s v="0901242"/>
    <m/>
    <m/>
    <m/>
    <m/>
    <m/>
    <m/>
    <m/>
    <m/>
    <m/>
    <m/>
    <m/>
    <m/>
    <m/>
    <m/>
    <m/>
    <n v="0"/>
    <n v="0"/>
    <n v="5"/>
    <n v="0"/>
    <m/>
    <n v="0"/>
    <e v="#DIV/0!"/>
    <n v="0"/>
    <m/>
    <n v="0"/>
    <e v="#DIV/0!"/>
    <n v="0"/>
    <m/>
    <n v="0"/>
    <e v="#DIV/0!"/>
    <n v="0"/>
    <m/>
    <n v="0"/>
    <e v="#DIV/0!"/>
    <n v="0"/>
    <m/>
    <n v="0"/>
    <e v="#DIV/0!"/>
  </r>
  <r>
    <x v="8"/>
    <x v="8"/>
    <x v="0"/>
    <x v="47"/>
    <x v="1"/>
    <x v="243"/>
    <x v="243"/>
    <x v="243"/>
    <x v="243"/>
    <x v="243"/>
    <x v="11"/>
    <x v="28"/>
    <x v="1"/>
    <x v="4"/>
    <x v="25"/>
    <x v="1"/>
    <m/>
    <s v="PC"/>
    <s v="0901"/>
    <s v="Reconocimiento internacional de los derechos de la Madre Tierra."/>
    <s v="0901.PC.9.1.243."/>
    <m/>
    <m/>
    <m/>
    <m/>
    <e v="#DIV/0!"/>
    <m/>
    <m/>
    <x v="0"/>
    <x v="1"/>
    <x v="2"/>
    <m/>
    <m/>
    <m/>
    <m/>
    <m/>
    <m/>
    <m/>
    <m/>
    <n v="50"/>
    <x v="1"/>
    <x v="1"/>
    <x v="1"/>
    <x v="0"/>
    <x v="0"/>
    <x v="0"/>
    <x v="1"/>
    <x v="0"/>
    <x v="0"/>
    <x v="0"/>
    <x v="1"/>
    <x v="1"/>
    <x v="1"/>
    <x v="1"/>
    <x v="243"/>
    <x v="4"/>
    <x v="3"/>
    <x v="3"/>
    <m/>
    <m/>
    <m/>
    <s v="0901243"/>
    <m/>
    <m/>
    <m/>
    <m/>
    <m/>
    <m/>
    <m/>
    <m/>
    <m/>
    <m/>
    <m/>
    <m/>
    <m/>
    <m/>
    <m/>
    <n v="0"/>
    <n v="0"/>
    <n v="5"/>
    <n v="0"/>
    <m/>
    <n v="0"/>
    <e v="#DIV/0!"/>
    <n v="0"/>
    <m/>
    <n v="0"/>
    <e v="#DIV/0!"/>
    <n v="0"/>
    <m/>
    <n v="0"/>
    <e v="#DIV/0!"/>
    <n v="0"/>
    <m/>
    <n v="0"/>
    <e v="#DIV/0!"/>
    <n v="0"/>
    <m/>
    <n v="0"/>
    <e v="#DIV/0!"/>
  </r>
  <r>
    <x v="8"/>
    <x v="8"/>
    <x v="1"/>
    <x v="48"/>
    <x v="0"/>
    <x v="244"/>
    <x v="244"/>
    <x v="244"/>
    <x v="244"/>
    <x v="244"/>
    <x v="11"/>
    <x v="28"/>
    <x v="1"/>
    <x v="4"/>
    <x v="25"/>
    <x v="1"/>
    <m/>
    <s v="PC"/>
    <s v="0902"/>
    <s v="Reconocimiento de mecanismos internacionales no basados en el mercado "/>
    <s v="0902.PC.9.2.244."/>
    <m/>
    <m/>
    <m/>
    <m/>
    <e v="#DIV/0!"/>
    <m/>
    <m/>
    <x v="0"/>
    <x v="1"/>
    <x v="2"/>
    <m/>
    <m/>
    <m/>
    <m/>
    <m/>
    <m/>
    <m/>
    <m/>
    <n v="50"/>
    <x v="1"/>
    <x v="1"/>
    <x v="1"/>
    <x v="0"/>
    <x v="0"/>
    <x v="0"/>
    <x v="1"/>
    <x v="0"/>
    <x v="0"/>
    <x v="0"/>
    <x v="1"/>
    <x v="1"/>
    <x v="1"/>
    <x v="1"/>
    <x v="244"/>
    <x v="4"/>
    <x v="3"/>
    <x v="3"/>
    <m/>
    <m/>
    <m/>
    <s v="0902244"/>
    <m/>
    <m/>
    <m/>
    <m/>
    <m/>
    <m/>
    <m/>
    <m/>
    <m/>
    <m/>
    <m/>
    <m/>
    <m/>
    <m/>
    <m/>
    <n v="0"/>
    <n v="0"/>
    <n v="5"/>
    <n v="0"/>
    <m/>
    <n v="0"/>
    <e v="#DIV/0!"/>
    <n v="0"/>
    <m/>
    <n v="0"/>
    <e v="#DIV/0!"/>
    <n v="0"/>
    <m/>
    <n v="0"/>
    <e v="#DIV/0!"/>
    <n v="0"/>
    <m/>
    <n v="0"/>
    <e v="#DIV/0!"/>
    <n v="0"/>
    <m/>
    <n v="0"/>
    <e v="#DIV/0!"/>
  </r>
  <r>
    <x v="8"/>
    <x v="8"/>
    <x v="1"/>
    <x v="48"/>
    <x v="1"/>
    <x v="245"/>
    <x v="245"/>
    <x v="245"/>
    <x v="245"/>
    <x v="245"/>
    <x v="11"/>
    <x v="28"/>
    <x v="1"/>
    <x v="4"/>
    <x v="25"/>
    <x v="1"/>
    <m/>
    <s v="PC"/>
    <s v="0902"/>
    <s v="Reconocimiento de mecanismos internacionales no basados en el mercado "/>
    <s v="0902.PC.9.2.245."/>
    <m/>
    <m/>
    <m/>
    <m/>
    <e v="#DIV/0!"/>
    <n v="38"/>
    <m/>
    <x v="0"/>
    <x v="1"/>
    <x v="2"/>
    <m/>
    <m/>
    <m/>
    <m/>
    <m/>
    <m/>
    <m/>
    <m/>
    <n v="50"/>
    <x v="1"/>
    <x v="1"/>
    <x v="1"/>
    <x v="0"/>
    <x v="0"/>
    <x v="0"/>
    <x v="1"/>
    <x v="0"/>
    <x v="0"/>
    <x v="0"/>
    <x v="1"/>
    <x v="1"/>
    <x v="1"/>
    <x v="1"/>
    <x v="245"/>
    <x v="4"/>
    <x v="3"/>
    <x v="3"/>
    <m/>
    <m/>
    <m/>
    <s v="0902245"/>
    <m/>
    <m/>
    <m/>
    <m/>
    <m/>
    <m/>
    <m/>
    <m/>
    <m/>
    <m/>
    <m/>
    <m/>
    <m/>
    <m/>
    <m/>
    <n v="0"/>
    <n v="0"/>
    <n v="5"/>
    <n v="0"/>
    <m/>
    <n v="0"/>
    <e v="#DIV/0!"/>
    <n v="0"/>
    <m/>
    <n v="0"/>
    <e v="#DIV/0!"/>
    <n v="0"/>
    <m/>
    <n v="0"/>
    <e v="#DIV/0!"/>
    <n v="0"/>
    <m/>
    <n v="0"/>
    <e v="#DIV/0!"/>
    <n v="0"/>
    <m/>
    <n v="0"/>
    <e v="#DIV/0!"/>
  </r>
  <r>
    <x v="8"/>
    <x v="8"/>
    <x v="2"/>
    <x v="49"/>
    <x v="0"/>
    <x v="246"/>
    <x v="246"/>
    <x v="246"/>
    <x v="246"/>
    <x v="246"/>
    <x v="11"/>
    <x v="29"/>
    <x v="1"/>
    <x v="4"/>
    <x v="26"/>
    <x v="1"/>
    <m/>
    <s v="PC"/>
    <s v="0903"/>
    <s v="Actividades económico productivas en el marco del respeto a los derechos de la Madre Tierra"/>
    <s v="0903.PC.9.3.246."/>
    <m/>
    <m/>
    <m/>
    <m/>
    <e v="#DIV/0!"/>
    <m/>
    <m/>
    <x v="0"/>
    <x v="1"/>
    <x v="2"/>
    <m/>
    <m/>
    <m/>
    <m/>
    <m/>
    <m/>
    <m/>
    <m/>
    <n v="20"/>
    <x v="1"/>
    <x v="1"/>
    <x v="1"/>
    <x v="0"/>
    <x v="0"/>
    <x v="0"/>
    <x v="1"/>
    <x v="0"/>
    <x v="0"/>
    <x v="0"/>
    <x v="1"/>
    <x v="1"/>
    <x v="1"/>
    <x v="1"/>
    <x v="246"/>
    <x v="4"/>
    <x v="3"/>
    <x v="3"/>
    <m/>
    <m/>
    <m/>
    <s v="0903246"/>
    <m/>
    <m/>
    <m/>
    <m/>
    <m/>
    <m/>
    <m/>
    <m/>
    <m/>
    <m/>
    <m/>
    <m/>
    <m/>
    <m/>
    <m/>
    <n v="0"/>
    <n v="0"/>
    <n v="5"/>
    <n v="0"/>
    <m/>
    <n v="0"/>
    <e v="#DIV/0!"/>
    <n v="0"/>
    <m/>
    <n v="0"/>
    <e v="#DIV/0!"/>
    <n v="0"/>
    <m/>
    <n v="0"/>
    <e v="#DIV/0!"/>
    <n v="0"/>
    <m/>
    <n v="0"/>
    <e v="#DIV/0!"/>
    <n v="0"/>
    <m/>
    <n v="0"/>
    <e v="#DIV/0!"/>
  </r>
  <r>
    <x v="8"/>
    <x v="8"/>
    <x v="2"/>
    <x v="49"/>
    <x v="1"/>
    <x v="247"/>
    <x v="247"/>
    <x v="247"/>
    <x v="247"/>
    <x v="247"/>
    <x v="11"/>
    <x v="29"/>
    <x v="1"/>
    <x v="4"/>
    <x v="26"/>
    <x v="1"/>
    <m/>
    <s v="PC"/>
    <s v="0903"/>
    <s v="Actividades económico productivas en el marco del respeto a los derechos de la Madre Tierra"/>
    <s v="0903.PC.9.3.247."/>
    <m/>
    <m/>
    <m/>
    <m/>
    <e v="#DIV/0!"/>
    <m/>
    <m/>
    <x v="0"/>
    <x v="1"/>
    <x v="2"/>
    <m/>
    <m/>
    <m/>
    <m/>
    <m/>
    <m/>
    <m/>
    <m/>
    <n v="20"/>
    <x v="1"/>
    <x v="1"/>
    <x v="1"/>
    <x v="0"/>
    <x v="0"/>
    <x v="1"/>
    <x v="0"/>
    <x v="0"/>
    <x v="0"/>
    <x v="0"/>
    <x v="1"/>
    <x v="1"/>
    <x v="1"/>
    <x v="1"/>
    <x v="247"/>
    <x v="4"/>
    <x v="3"/>
    <x v="3"/>
    <m/>
    <m/>
    <m/>
    <s v="0903247"/>
    <m/>
    <m/>
    <m/>
    <m/>
    <m/>
    <m/>
    <m/>
    <m/>
    <m/>
    <m/>
    <m/>
    <m/>
    <m/>
    <m/>
    <m/>
    <n v="0"/>
    <n v="0"/>
    <n v="5"/>
    <n v="0"/>
    <m/>
    <n v="0"/>
    <e v="#DIV/0!"/>
    <n v="0"/>
    <m/>
    <n v="0"/>
    <e v="#DIV/0!"/>
    <n v="0"/>
    <m/>
    <n v="0"/>
    <e v="#DIV/0!"/>
    <n v="0"/>
    <m/>
    <n v="0"/>
    <e v="#DIV/0!"/>
    <n v="0"/>
    <m/>
    <n v="0"/>
    <e v="#DIV/0!"/>
  </r>
  <r>
    <x v="8"/>
    <x v="8"/>
    <x v="2"/>
    <x v="49"/>
    <x v="2"/>
    <x v="248"/>
    <x v="248"/>
    <x v="248"/>
    <x v="248"/>
    <x v="248"/>
    <x v="11"/>
    <x v="29"/>
    <x v="1"/>
    <x v="4"/>
    <x v="26"/>
    <x v="1"/>
    <m/>
    <s v="PC"/>
    <s v="0903"/>
    <s v="Actividades económico productivas en el marco del respeto a los derechos de la Madre Tierra"/>
    <s v="0903.PC.9.3.248."/>
    <m/>
    <m/>
    <m/>
    <m/>
    <e v="#DIV/0!"/>
    <m/>
    <m/>
    <x v="0"/>
    <x v="1"/>
    <x v="2"/>
    <m/>
    <m/>
    <m/>
    <m/>
    <m/>
    <m/>
    <m/>
    <m/>
    <n v="20"/>
    <x v="1"/>
    <x v="1"/>
    <x v="1"/>
    <x v="0"/>
    <x v="0"/>
    <x v="0"/>
    <x v="1"/>
    <x v="0"/>
    <x v="0"/>
    <x v="0"/>
    <x v="1"/>
    <x v="1"/>
    <x v="1"/>
    <x v="1"/>
    <x v="248"/>
    <x v="4"/>
    <x v="3"/>
    <x v="3"/>
    <m/>
    <m/>
    <m/>
    <s v="0903248"/>
    <m/>
    <m/>
    <m/>
    <m/>
    <m/>
    <m/>
    <m/>
    <m/>
    <m/>
    <m/>
    <m/>
    <m/>
    <m/>
    <m/>
    <m/>
    <n v="0"/>
    <n v="0"/>
    <n v="5"/>
    <n v="0"/>
    <m/>
    <n v="0"/>
    <e v="#DIV/0!"/>
    <n v="0"/>
    <m/>
    <n v="0"/>
    <e v="#DIV/0!"/>
    <n v="0"/>
    <m/>
    <n v="0"/>
    <e v="#DIV/0!"/>
    <n v="0"/>
    <m/>
    <n v="0"/>
    <e v="#DIV/0!"/>
    <n v="0"/>
    <m/>
    <n v="0"/>
    <e v="#DIV/0!"/>
  </r>
  <r>
    <x v="8"/>
    <x v="8"/>
    <x v="2"/>
    <x v="49"/>
    <x v="3"/>
    <x v="249"/>
    <x v="249"/>
    <x v="249"/>
    <x v="249"/>
    <x v="249"/>
    <x v="11"/>
    <x v="29"/>
    <x v="1"/>
    <x v="4"/>
    <x v="26"/>
    <x v="1"/>
    <m/>
    <s v="PC"/>
    <s v="0903"/>
    <s v="Actividades económico productivas en el marco del respeto a los derechos de la Madre Tierra"/>
    <s v="0903.PC.9.3.249."/>
    <m/>
    <m/>
    <m/>
    <m/>
    <e v="#DIV/0!"/>
    <m/>
    <m/>
    <x v="0"/>
    <x v="1"/>
    <x v="2"/>
    <m/>
    <m/>
    <m/>
    <m/>
    <m/>
    <m/>
    <m/>
    <m/>
    <n v="20"/>
    <x v="1"/>
    <x v="1"/>
    <x v="1"/>
    <x v="0"/>
    <x v="0"/>
    <x v="0"/>
    <x v="1"/>
    <x v="0"/>
    <x v="0"/>
    <x v="0"/>
    <x v="1"/>
    <x v="1"/>
    <x v="1"/>
    <x v="1"/>
    <x v="249"/>
    <x v="4"/>
    <x v="3"/>
    <x v="3"/>
    <m/>
    <m/>
    <m/>
    <s v="0903249"/>
    <m/>
    <m/>
    <m/>
    <m/>
    <m/>
    <m/>
    <m/>
    <m/>
    <m/>
    <m/>
    <m/>
    <m/>
    <m/>
    <m/>
    <m/>
    <n v="0"/>
    <n v="0"/>
    <n v="5"/>
    <n v="0"/>
    <m/>
    <n v="0"/>
    <e v="#DIV/0!"/>
    <n v="0"/>
    <m/>
    <n v="0"/>
    <e v="#DIV/0!"/>
    <n v="0"/>
    <m/>
    <n v="0"/>
    <e v="#DIV/0!"/>
    <n v="0"/>
    <m/>
    <n v="0"/>
    <e v="#DIV/0!"/>
    <n v="0"/>
    <m/>
    <n v="0"/>
    <e v="#DIV/0!"/>
  </r>
  <r>
    <x v="8"/>
    <x v="8"/>
    <x v="2"/>
    <x v="49"/>
    <x v="4"/>
    <x v="250"/>
    <x v="250"/>
    <x v="250"/>
    <x v="250"/>
    <x v="250"/>
    <x v="11"/>
    <x v="29"/>
    <x v="1"/>
    <x v="4"/>
    <x v="26"/>
    <x v="1"/>
    <m/>
    <s v="PC"/>
    <s v="0903"/>
    <s v="Actividades económico productivas en el marco del respeto a los derechos de la Madre Tierra"/>
    <s v="0903.PC.9.3.250."/>
    <m/>
    <m/>
    <m/>
    <m/>
    <e v="#DIV/0!"/>
    <m/>
    <m/>
    <x v="0"/>
    <x v="1"/>
    <x v="2"/>
    <m/>
    <m/>
    <m/>
    <m/>
    <m/>
    <m/>
    <m/>
    <m/>
    <n v="20"/>
    <x v="1"/>
    <x v="1"/>
    <x v="1"/>
    <x v="0"/>
    <x v="0"/>
    <x v="0"/>
    <x v="1"/>
    <x v="0"/>
    <x v="0"/>
    <x v="0"/>
    <x v="1"/>
    <x v="1"/>
    <x v="1"/>
    <x v="1"/>
    <x v="250"/>
    <x v="4"/>
    <x v="3"/>
    <x v="3"/>
    <m/>
    <m/>
    <m/>
    <s v="0903250"/>
    <m/>
    <m/>
    <m/>
    <m/>
    <m/>
    <m/>
    <m/>
    <m/>
    <m/>
    <m/>
    <m/>
    <m/>
    <m/>
    <m/>
    <m/>
    <n v="0"/>
    <n v="0"/>
    <n v="5"/>
    <n v="0"/>
    <m/>
    <n v="0"/>
    <e v="#DIV/0!"/>
    <n v="0"/>
    <m/>
    <n v="0"/>
    <e v="#DIV/0!"/>
    <n v="0"/>
    <m/>
    <n v="0"/>
    <e v="#DIV/0!"/>
    <n v="0"/>
    <m/>
    <n v="0"/>
    <e v="#DIV/0!"/>
    <n v="0"/>
    <m/>
    <n v="0"/>
    <e v="#DIV/0!"/>
  </r>
  <r>
    <x v="8"/>
    <x v="8"/>
    <x v="3"/>
    <x v="50"/>
    <x v="0"/>
    <x v="251"/>
    <x v="251"/>
    <x v="251"/>
    <x v="251"/>
    <x v="251"/>
    <x v="11"/>
    <x v="30"/>
    <x v="1"/>
    <x v="4"/>
    <x v="25"/>
    <x v="1"/>
    <m/>
    <s v="PC"/>
    <s v="0904"/>
    <s v="Sistema Plurinacional de Áreas Protegidas."/>
    <s v="0904.PC.9.4.251."/>
    <m/>
    <m/>
    <m/>
    <m/>
    <e v="#DIV/0!"/>
    <m/>
    <m/>
    <x v="0"/>
    <x v="1"/>
    <x v="2"/>
    <m/>
    <m/>
    <m/>
    <m/>
    <m/>
    <m/>
    <m/>
    <m/>
    <n v="25"/>
    <x v="1"/>
    <x v="1"/>
    <x v="1"/>
    <x v="0"/>
    <x v="0"/>
    <x v="0"/>
    <x v="1"/>
    <x v="0"/>
    <x v="0"/>
    <x v="0"/>
    <x v="1"/>
    <x v="1"/>
    <x v="1"/>
    <x v="1"/>
    <x v="251"/>
    <x v="4"/>
    <x v="3"/>
    <x v="3"/>
    <m/>
    <m/>
    <m/>
    <s v="0904251"/>
    <m/>
    <m/>
    <m/>
    <m/>
    <m/>
    <m/>
    <m/>
    <m/>
    <m/>
    <m/>
    <m/>
    <m/>
    <m/>
    <m/>
    <m/>
    <n v="0"/>
    <n v="0"/>
    <n v="5"/>
    <n v="0"/>
    <m/>
    <n v="0"/>
    <e v="#DIV/0!"/>
    <n v="0"/>
    <m/>
    <n v="0"/>
    <e v="#DIV/0!"/>
    <n v="0"/>
    <m/>
    <n v="0"/>
    <e v="#DIV/0!"/>
    <n v="0"/>
    <m/>
    <n v="0"/>
    <e v="#DIV/0!"/>
    <n v="0"/>
    <m/>
    <n v="0"/>
    <e v="#DIV/0!"/>
  </r>
  <r>
    <x v="8"/>
    <x v="8"/>
    <x v="3"/>
    <x v="50"/>
    <x v="1"/>
    <x v="252"/>
    <x v="252"/>
    <x v="252"/>
    <x v="252"/>
    <x v="252"/>
    <x v="11"/>
    <x v="30"/>
    <x v="0"/>
    <x v="0"/>
    <x v="0"/>
    <x v="1"/>
    <m/>
    <s v="RS"/>
    <s v="0904"/>
    <s v="Sistema Plurinacional de Áreas Protegidas."/>
    <s v="0904.RS.9.4.252."/>
    <m/>
    <m/>
    <m/>
    <m/>
    <e v="#DIV/0!"/>
    <m/>
    <m/>
    <x v="1"/>
    <x v="1"/>
    <x v="9"/>
    <m/>
    <m/>
    <m/>
    <m/>
    <m/>
    <m/>
    <m/>
    <m/>
    <n v="25"/>
    <x v="0"/>
    <x v="0"/>
    <x v="1"/>
    <x v="0"/>
    <x v="1"/>
    <x v="0"/>
    <x v="0"/>
    <x v="0"/>
    <x v="0"/>
    <x v="0"/>
    <x v="1"/>
    <x v="1"/>
    <x v="0"/>
    <x v="1"/>
    <x v="252"/>
    <x v="4"/>
    <x v="3"/>
    <x v="3"/>
    <m/>
    <m/>
    <m/>
    <s v="0904252"/>
    <m/>
    <m/>
    <m/>
    <m/>
    <m/>
    <m/>
    <m/>
    <m/>
    <m/>
    <m/>
    <m/>
    <m/>
    <m/>
    <m/>
    <m/>
    <n v="0"/>
    <n v="0"/>
    <n v="5"/>
    <n v="0"/>
    <m/>
    <n v="0"/>
    <e v="#DIV/0!"/>
    <n v="0"/>
    <m/>
    <n v="0"/>
    <e v="#DIV/0!"/>
    <n v="0"/>
    <m/>
    <n v="0"/>
    <e v="#DIV/0!"/>
    <n v="0"/>
    <m/>
    <n v="0"/>
    <e v="#DIV/0!"/>
    <n v="0"/>
    <m/>
    <n v="0"/>
    <e v="#DIV/0!"/>
  </r>
  <r>
    <x v="8"/>
    <x v="8"/>
    <x v="3"/>
    <x v="50"/>
    <x v="2"/>
    <x v="253"/>
    <x v="253"/>
    <x v="253"/>
    <x v="253"/>
    <x v="253"/>
    <x v="11"/>
    <x v="30"/>
    <x v="1"/>
    <x v="4"/>
    <x v="26"/>
    <x v="1"/>
    <m/>
    <s v="PC"/>
    <s v="0904"/>
    <s v="Sistema Plurinacional de Áreas Protegidas."/>
    <s v="0904.PC.9.4.253."/>
    <m/>
    <m/>
    <m/>
    <m/>
    <e v="#DIV/0!"/>
    <m/>
    <m/>
    <x v="0"/>
    <x v="1"/>
    <x v="2"/>
    <m/>
    <m/>
    <m/>
    <m/>
    <m/>
    <m/>
    <m/>
    <m/>
    <n v="25"/>
    <x v="1"/>
    <x v="1"/>
    <x v="1"/>
    <x v="0"/>
    <x v="0"/>
    <x v="1"/>
    <x v="0"/>
    <x v="0"/>
    <x v="0"/>
    <x v="0"/>
    <x v="1"/>
    <x v="1"/>
    <x v="1"/>
    <x v="1"/>
    <x v="253"/>
    <x v="4"/>
    <x v="3"/>
    <x v="3"/>
    <m/>
    <m/>
    <m/>
    <s v="0904253"/>
    <m/>
    <m/>
    <m/>
    <m/>
    <m/>
    <m/>
    <m/>
    <m/>
    <m/>
    <m/>
    <m/>
    <m/>
    <m/>
    <m/>
    <m/>
    <n v="0"/>
    <n v="0"/>
    <n v="5"/>
    <n v="0"/>
    <m/>
    <n v="0"/>
    <e v="#DIV/0!"/>
    <n v="0"/>
    <m/>
    <n v="0"/>
    <e v="#DIV/0!"/>
    <n v="0"/>
    <m/>
    <n v="0"/>
    <e v="#DIV/0!"/>
    <n v="0"/>
    <m/>
    <n v="0"/>
    <e v="#DIV/0!"/>
    <n v="0"/>
    <m/>
    <n v="0"/>
    <e v="#DIV/0!"/>
  </r>
  <r>
    <x v="8"/>
    <x v="8"/>
    <x v="3"/>
    <x v="50"/>
    <x v="3"/>
    <x v="254"/>
    <x v="254"/>
    <x v="254"/>
    <x v="254"/>
    <x v="254"/>
    <x v="11"/>
    <x v="30"/>
    <x v="1"/>
    <x v="4"/>
    <x v="26"/>
    <x v="1"/>
    <m/>
    <s v="PC"/>
    <s v="0904"/>
    <s v="Sistema Plurinacional de Áreas Protegidas."/>
    <s v="0904.PC.9.4.254."/>
    <m/>
    <m/>
    <m/>
    <m/>
    <e v="#DIV/0!"/>
    <m/>
    <m/>
    <x v="0"/>
    <x v="1"/>
    <x v="2"/>
    <m/>
    <m/>
    <m/>
    <m/>
    <m/>
    <m/>
    <m/>
    <m/>
    <n v="25"/>
    <x v="1"/>
    <x v="1"/>
    <x v="1"/>
    <x v="0"/>
    <x v="0"/>
    <x v="0"/>
    <x v="1"/>
    <x v="0"/>
    <x v="0"/>
    <x v="0"/>
    <x v="1"/>
    <x v="1"/>
    <x v="1"/>
    <x v="1"/>
    <x v="254"/>
    <x v="4"/>
    <x v="3"/>
    <x v="3"/>
    <m/>
    <m/>
    <m/>
    <s v="0904254"/>
    <m/>
    <m/>
    <m/>
    <m/>
    <m/>
    <m/>
    <m/>
    <m/>
    <m/>
    <m/>
    <m/>
    <m/>
    <m/>
    <m/>
    <m/>
    <n v="0"/>
    <n v="0"/>
    <n v="5"/>
    <n v="0"/>
    <m/>
    <n v="0"/>
    <e v="#DIV/0!"/>
    <n v="0"/>
    <m/>
    <n v="0"/>
    <e v="#DIV/0!"/>
    <n v="0"/>
    <m/>
    <n v="0"/>
    <e v="#DIV/0!"/>
    <n v="0"/>
    <m/>
    <n v="0"/>
    <e v="#DIV/0!"/>
    <n v="0"/>
    <m/>
    <n v="0"/>
    <e v="#DIV/0!"/>
  </r>
  <r>
    <x v="8"/>
    <x v="8"/>
    <x v="4"/>
    <x v="51"/>
    <x v="0"/>
    <x v="255"/>
    <x v="255"/>
    <x v="255"/>
    <x v="255"/>
    <x v="255"/>
    <x v="11"/>
    <x v="29"/>
    <x v="0"/>
    <x v="4"/>
    <x v="26"/>
    <x v="0"/>
    <n v="1"/>
    <s v="RS"/>
    <s v="0905"/>
    <s v="Desarrollo de sistemas productivos sustentables"/>
    <s v="0905.RS.9.5.255."/>
    <m/>
    <m/>
    <m/>
    <m/>
    <e v="#DIV/0!"/>
    <m/>
    <m/>
    <x v="0"/>
    <x v="1"/>
    <x v="9"/>
    <m/>
    <m/>
    <m/>
    <m/>
    <m/>
    <m/>
    <m/>
    <m/>
    <n v="14.285714285714286"/>
    <x v="0"/>
    <x v="0"/>
    <x v="0"/>
    <x v="0"/>
    <x v="0"/>
    <x v="0"/>
    <x v="0"/>
    <x v="0"/>
    <x v="0"/>
    <x v="0"/>
    <x v="1"/>
    <x v="1"/>
    <x v="0"/>
    <x v="1"/>
    <x v="255"/>
    <x v="4"/>
    <x v="3"/>
    <x v="3"/>
    <m/>
    <m/>
    <m/>
    <s v="0905255"/>
    <m/>
    <m/>
    <m/>
    <m/>
    <m/>
    <m/>
    <m/>
    <m/>
    <m/>
    <m/>
    <m/>
    <m/>
    <m/>
    <m/>
    <m/>
    <n v="0"/>
    <n v="0"/>
    <n v="5"/>
    <n v="0"/>
    <m/>
    <n v="0"/>
    <e v="#DIV/0!"/>
    <n v="0"/>
    <m/>
    <n v="0"/>
    <e v="#DIV/0!"/>
    <n v="0"/>
    <m/>
    <n v="0"/>
    <e v="#DIV/0!"/>
    <n v="0"/>
    <m/>
    <n v="0"/>
    <e v="#DIV/0!"/>
    <n v="0"/>
    <m/>
    <n v="0"/>
    <e v="#DIV/0!"/>
  </r>
  <r>
    <x v="8"/>
    <x v="8"/>
    <x v="4"/>
    <x v="51"/>
    <x v="1"/>
    <x v="256"/>
    <x v="256"/>
    <x v="256"/>
    <x v="256"/>
    <x v="256"/>
    <x v="11"/>
    <x v="29"/>
    <x v="1"/>
    <x v="4"/>
    <x v="26"/>
    <x v="1"/>
    <m/>
    <s v="PC"/>
    <s v="0905"/>
    <s v="Desarrollo de sistemas productivos sustentables"/>
    <s v="0905.PC.9.5.256."/>
    <m/>
    <m/>
    <m/>
    <m/>
    <e v="#DIV/0!"/>
    <m/>
    <m/>
    <x v="0"/>
    <x v="1"/>
    <x v="2"/>
    <m/>
    <m/>
    <m/>
    <m/>
    <m/>
    <m/>
    <m/>
    <m/>
    <n v="14.285714285714286"/>
    <x v="1"/>
    <x v="1"/>
    <x v="1"/>
    <x v="0"/>
    <x v="0"/>
    <x v="0"/>
    <x v="1"/>
    <x v="0"/>
    <x v="0"/>
    <x v="0"/>
    <x v="1"/>
    <x v="1"/>
    <x v="1"/>
    <x v="1"/>
    <x v="256"/>
    <x v="4"/>
    <x v="3"/>
    <x v="3"/>
    <m/>
    <m/>
    <m/>
    <s v="0905256"/>
    <m/>
    <m/>
    <m/>
    <m/>
    <m/>
    <m/>
    <m/>
    <m/>
    <m/>
    <m/>
    <m/>
    <m/>
    <m/>
    <m/>
    <m/>
    <n v="0"/>
    <n v="0"/>
    <n v="5"/>
    <n v="0"/>
    <m/>
    <n v="0"/>
    <e v="#DIV/0!"/>
    <n v="0"/>
    <m/>
    <n v="0"/>
    <e v="#DIV/0!"/>
    <n v="0"/>
    <m/>
    <n v="0"/>
    <e v="#DIV/0!"/>
    <n v="0"/>
    <m/>
    <n v="0"/>
    <e v="#DIV/0!"/>
    <n v="0"/>
    <m/>
    <n v="0"/>
    <e v="#DIV/0!"/>
  </r>
  <r>
    <x v="8"/>
    <x v="8"/>
    <x v="4"/>
    <x v="51"/>
    <x v="2"/>
    <x v="257"/>
    <x v="257"/>
    <x v="257"/>
    <x v="257"/>
    <x v="257"/>
    <x v="11"/>
    <x v="29"/>
    <x v="0"/>
    <x v="4"/>
    <x v="25"/>
    <x v="1"/>
    <m/>
    <s v="RS"/>
    <s v="0905"/>
    <s v="Desarrollo de sistemas productivos sustentables"/>
    <s v="0905.RS.9.5.257."/>
    <m/>
    <m/>
    <m/>
    <m/>
    <e v="#DIV/0!"/>
    <m/>
    <m/>
    <x v="0"/>
    <x v="1"/>
    <x v="2"/>
    <m/>
    <m/>
    <m/>
    <m/>
    <m/>
    <m/>
    <m/>
    <m/>
    <n v="14.285714285714286"/>
    <x v="0"/>
    <x v="0"/>
    <x v="1"/>
    <x v="0"/>
    <x v="1"/>
    <x v="0"/>
    <x v="0"/>
    <x v="0"/>
    <x v="0"/>
    <x v="0"/>
    <x v="1"/>
    <x v="1"/>
    <x v="1"/>
    <x v="1"/>
    <x v="257"/>
    <x v="4"/>
    <x v="3"/>
    <x v="3"/>
    <m/>
    <m/>
    <m/>
    <s v="0905257"/>
    <m/>
    <m/>
    <m/>
    <m/>
    <m/>
    <m/>
    <m/>
    <m/>
    <m/>
    <m/>
    <m/>
    <m/>
    <m/>
    <m/>
    <m/>
    <n v="0"/>
    <n v="0"/>
    <n v="5"/>
    <n v="0"/>
    <m/>
    <n v="0"/>
    <e v="#DIV/0!"/>
    <n v="0"/>
    <m/>
    <n v="0"/>
    <e v="#DIV/0!"/>
    <n v="0"/>
    <m/>
    <n v="0"/>
    <e v="#DIV/0!"/>
    <n v="0"/>
    <m/>
    <n v="0"/>
    <e v="#DIV/0!"/>
    <n v="0"/>
    <m/>
    <n v="0"/>
    <e v="#DIV/0!"/>
  </r>
  <r>
    <x v="8"/>
    <x v="8"/>
    <x v="4"/>
    <x v="51"/>
    <x v="3"/>
    <x v="258"/>
    <x v="258"/>
    <x v="258"/>
    <x v="258"/>
    <x v="258"/>
    <x v="11"/>
    <x v="29"/>
    <x v="0"/>
    <x v="4"/>
    <x v="25"/>
    <x v="0"/>
    <n v="1"/>
    <s v="RS"/>
    <s v="0905"/>
    <s v="Desarrollo de sistemas productivos sustentables"/>
    <s v="0905.RS.9.5.258."/>
    <m/>
    <m/>
    <m/>
    <m/>
    <e v="#DIV/0!"/>
    <m/>
    <m/>
    <x v="0"/>
    <x v="1"/>
    <x v="9"/>
    <m/>
    <m/>
    <m/>
    <m/>
    <m/>
    <m/>
    <m/>
    <m/>
    <n v="14.285714285714286"/>
    <x v="0"/>
    <x v="0"/>
    <x v="0"/>
    <x v="0"/>
    <x v="0"/>
    <x v="0"/>
    <x v="0"/>
    <x v="0"/>
    <x v="0"/>
    <x v="0"/>
    <x v="1"/>
    <x v="1"/>
    <x v="0"/>
    <x v="1"/>
    <x v="258"/>
    <x v="4"/>
    <x v="3"/>
    <x v="3"/>
    <m/>
    <m/>
    <m/>
    <s v="0905258"/>
    <m/>
    <m/>
    <m/>
    <m/>
    <m/>
    <m/>
    <m/>
    <m/>
    <m/>
    <m/>
    <m/>
    <m/>
    <m/>
    <m/>
    <m/>
    <n v="0"/>
    <n v="0"/>
    <n v="5"/>
    <n v="0"/>
    <m/>
    <n v="0"/>
    <e v="#DIV/0!"/>
    <n v="0"/>
    <m/>
    <n v="0"/>
    <e v="#DIV/0!"/>
    <n v="0"/>
    <m/>
    <n v="0"/>
    <e v="#DIV/0!"/>
    <n v="0"/>
    <m/>
    <n v="0"/>
    <e v="#DIV/0!"/>
    <n v="0"/>
    <m/>
    <n v="0"/>
    <e v="#DIV/0!"/>
  </r>
  <r>
    <x v="8"/>
    <x v="8"/>
    <x v="4"/>
    <x v="51"/>
    <x v="4"/>
    <x v="259"/>
    <x v="259"/>
    <x v="259"/>
    <x v="259"/>
    <x v="259"/>
    <x v="11"/>
    <x v="29"/>
    <x v="1"/>
    <x v="4"/>
    <x v="26"/>
    <x v="1"/>
    <m/>
    <s v="PC"/>
    <s v="0905"/>
    <s v="Desarrollo de sistemas productivos sustentables"/>
    <s v="0905.PC.9.5.259."/>
    <m/>
    <m/>
    <m/>
    <m/>
    <e v="#DIV/0!"/>
    <m/>
    <m/>
    <x v="0"/>
    <x v="1"/>
    <x v="2"/>
    <m/>
    <m/>
    <m/>
    <m/>
    <m/>
    <m/>
    <m/>
    <m/>
    <n v="14.285714285714286"/>
    <x v="1"/>
    <x v="1"/>
    <x v="1"/>
    <x v="0"/>
    <x v="0"/>
    <x v="0"/>
    <x v="1"/>
    <x v="0"/>
    <x v="0"/>
    <x v="0"/>
    <x v="1"/>
    <x v="1"/>
    <x v="1"/>
    <x v="1"/>
    <x v="259"/>
    <x v="4"/>
    <x v="3"/>
    <x v="3"/>
    <m/>
    <m/>
    <m/>
    <s v="0905259"/>
    <m/>
    <m/>
    <m/>
    <m/>
    <m/>
    <m/>
    <m/>
    <m/>
    <m/>
    <m/>
    <m/>
    <m/>
    <m/>
    <m/>
    <m/>
    <n v="0"/>
    <n v="0"/>
    <n v="5"/>
    <n v="0"/>
    <m/>
    <n v="0"/>
    <e v="#DIV/0!"/>
    <n v="0"/>
    <m/>
    <n v="0"/>
    <e v="#DIV/0!"/>
    <n v="0"/>
    <m/>
    <n v="0"/>
    <e v="#DIV/0!"/>
    <n v="0"/>
    <m/>
    <n v="0"/>
    <e v="#DIV/0!"/>
    <n v="0"/>
    <m/>
    <n v="0"/>
    <e v="#DIV/0!"/>
  </r>
  <r>
    <x v="8"/>
    <x v="8"/>
    <x v="4"/>
    <x v="51"/>
    <x v="5"/>
    <x v="260"/>
    <x v="260"/>
    <x v="260"/>
    <x v="260"/>
    <x v="260"/>
    <x v="11"/>
    <x v="29"/>
    <x v="0"/>
    <x v="4"/>
    <x v="25"/>
    <x v="1"/>
    <m/>
    <s v="RS"/>
    <s v="0905"/>
    <s v="Desarrollo de sistemas productivos sustentables"/>
    <s v="0905.RS.9.5.260."/>
    <m/>
    <m/>
    <m/>
    <m/>
    <e v="#DIV/0!"/>
    <m/>
    <m/>
    <x v="0"/>
    <x v="1"/>
    <x v="2"/>
    <m/>
    <m/>
    <m/>
    <m/>
    <m/>
    <m/>
    <m/>
    <m/>
    <n v="14.285714285714286"/>
    <x v="0"/>
    <x v="0"/>
    <x v="1"/>
    <x v="0"/>
    <x v="1"/>
    <x v="0"/>
    <x v="0"/>
    <x v="0"/>
    <x v="0"/>
    <x v="0"/>
    <x v="1"/>
    <x v="1"/>
    <x v="1"/>
    <x v="1"/>
    <x v="260"/>
    <x v="4"/>
    <x v="3"/>
    <x v="3"/>
    <m/>
    <m/>
    <m/>
    <s v="0905260"/>
    <m/>
    <m/>
    <m/>
    <m/>
    <m/>
    <m/>
    <m/>
    <m/>
    <m/>
    <m/>
    <m/>
    <m/>
    <m/>
    <m/>
    <m/>
    <n v="0"/>
    <n v="0"/>
    <n v="5"/>
    <n v="0"/>
    <m/>
    <n v="0"/>
    <e v="#DIV/0!"/>
    <n v="0"/>
    <m/>
    <n v="0"/>
    <e v="#DIV/0!"/>
    <n v="0"/>
    <m/>
    <n v="0"/>
    <e v="#DIV/0!"/>
    <n v="0"/>
    <m/>
    <n v="0"/>
    <e v="#DIV/0!"/>
    <n v="0"/>
    <m/>
    <n v="0"/>
    <e v="#DIV/0!"/>
  </r>
  <r>
    <x v="8"/>
    <x v="8"/>
    <x v="4"/>
    <x v="51"/>
    <x v="6"/>
    <x v="261"/>
    <x v="261"/>
    <x v="261"/>
    <x v="261"/>
    <x v="261"/>
    <x v="11"/>
    <x v="29"/>
    <x v="1"/>
    <x v="4"/>
    <x v="25"/>
    <x v="1"/>
    <m/>
    <s v="PC"/>
    <s v="0905"/>
    <s v="Desarrollo de sistemas productivos sustentables"/>
    <s v="0905.PC.9.5.261."/>
    <m/>
    <m/>
    <m/>
    <m/>
    <e v="#DIV/0!"/>
    <m/>
    <m/>
    <x v="0"/>
    <x v="1"/>
    <x v="2"/>
    <m/>
    <m/>
    <m/>
    <m/>
    <m/>
    <m/>
    <m/>
    <m/>
    <n v="14.285714285714286"/>
    <x v="1"/>
    <x v="1"/>
    <x v="1"/>
    <x v="0"/>
    <x v="0"/>
    <x v="0"/>
    <x v="1"/>
    <x v="0"/>
    <x v="0"/>
    <x v="0"/>
    <x v="1"/>
    <x v="1"/>
    <x v="1"/>
    <x v="1"/>
    <x v="261"/>
    <x v="4"/>
    <x v="3"/>
    <x v="3"/>
    <m/>
    <m/>
    <m/>
    <s v="0905261"/>
    <m/>
    <m/>
    <m/>
    <m/>
    <m/>
    <m/>
    <m/>
    <m/>
    <m/>
    <m/>
    <m/>
    <m/>
    <m/>
    <m/>
    <m/>
    <n v="0"/>
    <n v="0"/>
    <n v="5"/>
    <n v="0"/>
    <m/>
    <n v="0"/>
    <e v="#DIV/0!"/>
    <n v="0"/>
    <m/>
    <n v="0"/>
    <e v="#DIV/0!"/>
    <n v="0"/>
    <m/>
    <n v="0"/>
    <e v="#DIV/0!"/>
    <n v="0"/>
    <m/>
    <n v="0"/>
    <e v="#DIV/0!"/>
    <n v="0"/>
    <m/>
    <n v="0"/>
    <e v="#DIV/0!"/>
  </r>
  <r>
    <x v="8"/>
    <x v="8"/>
    <x v="5"/>
    <x v="52"/>
    <x v="0"/>
    <x v="262"/>
    <x v="262"/>
    <x v="262"/>
    <x v="262"/>
    <x v="262"/>
    <x v="11"/>
    <x v="22"/>
    <x v="0"/>
    <x v="4"/>
    <x v="25"/>
    <x v="0"/>
    <n v="1"/>
    <s v="RS"/>
    <s v="0906"/>
    <s v="Incremento de la cobertura forestal_x000a_"/>
    <s v="0906.RS.9.6.262."/>
    <m/>
    <m/>
    <m/>
    <m/>
    <e v="#DIV/0!"/>
    <m/>
    <m/>
    <x v="0"/>
    <x v="1"/>
    <x v="9"/>
    <m/>
    <m/>
    <m/>
    <m/>
    <m/>
    <m/>
    <m/>
    <m/>
    <n v="33.333333333333336"/>
    <x v="0"/>
    <x v="0"/>
    <x v="0"/>
    <x v="0"/>
    <x v="0"/>
    <x v="0"/>
    <x v="0"/>
    <x v="0"/>
    <x v="0"/>
    <x v="0"/>
    <x v="1"/>
    <x v="1"/>
    <x v="0"/>
    <x v="1"/>
    <x v="262"/>
    <x v="4"/>
    <x v="3"/>
    <x v="3"/>
    <m/>
    <m/>
    <m/>
    <s v="0906262"/>
    <m/>
    <m/>
    <m/>
    <m/>
    <m/>
    <m/>
    <m/>
    <m/>
    <m/>
    <m/>
    <m/>
    <m/>
    <m/>
    <m/>
    <m/>
    <n v="0"/>
    <n v="0"/>
    <n v="5"/>
    <n v="0"/>
    <m/>
    <n v="0"/>
    <e v="#DIV/0!"/>
    <n v="0"/>
    <m/>
    <n v="0"/>
    <e v="#DIV/0!"/>
    <n v="0"/>
    <m/>
    <n v="0"/>
    <e v="#DIV/0!"/>
    <n v="0"/>
    <m/>
    <n v="0"/>
    <e v="#DIV/0!"/>
    <n v="0"/>
    <m/>
    <n v="0"/>
    <e v="#DIV/0!"/>
  </r>
  <r>
    <x v="8"/>
    <x v="8"/>
    <x v="5"/>
    <x v="52"/>
    <x v="1"/>
    <x v="263"/>
    <x v="263"/>
    <x v="263"/>
    <x v="263"/>
    <x v="263"/>
    <x v="11"/>
    <x v="22"/>
    <x v="0"/>
    <x v="4"/>
    <x v="25"/>
    <x v="0"/>
    <n v="1"/>
    <s v="RS"/>
    <s v="0906"/>
    <s v="Incremento de la cobertura forestal_x000a_"/>
    <s v="0906.RS.9.6.263."/>
    <m/>
    <m/>
    <m/>
    <m/>
    <e v="#DIV/0!"/>
    <m/>
    <m/>
    <x v="0"/>
    <x v="1"/>
    <x v="9"/>
    <m/>
    <m/>
    <m/>
    <m/>
    <m/>
    <m/>
    <m/>
    <m/>
    <n v="33.333333333333336"/>
    <x v="0"/>
    <x v="0"/>
    <x v="0"/>
    <x v="0"/>
    <x v="0"/>
    <x v="0"/>
    <x v="0"/>
    <x v="0"/>
    <x v="0"/>
    <x v="0"/>
    <x v="1"/>
    <x v="1"/>
    <x v="0"/>
    <x v="1"/>
    <x v="263"/>
    <x v="4"/>
    <x v="3"/>
    <x v="3"/>
    <m/>
    <m/>
    <m/>
    <s v="0906263"/>
    <m/>
    <m/>
    <m/>
    <m/>
    <m/>
    <m/>
    <m/>
    <m/>
    <m/>
    <m/>
    <m/>
    <m/>
    <m/>
    <m/>
    <m/>
    <n v="0"/>
    <n v="0"/>
    <n v="5"/>
    <n v="0"/>
    <m/>
    <n v="0"/>
    <e v="#DIV/0!"/>
    <n v="0"/>
    <m/>
    <n v="0"/>
    <e v="#DIV/0!"/>
    <n v="0"/>
    <m/>
    <n v="0"/>
    <e v="#DIV/0!"/>
    <n v="0"/>
    <m/>
    <n v="0"/>
    <e v="#DIV/0!"/>
    <n v="0"/>
    <m/>
    <n v="0"/>
    <e v="#DIV/0!"/>
  </r>
  <r>
    <x v="8"/>
    <x v="8"/>
    <x v="5"/>
    <x v="52"/>
    <x v="2"/>
    <x v="264"/>
    <x v="264"/>
    <x v="264"/>
    <x v="264"/>
    <x v="264"/>
    <x v="11"/>
    <x v="22"/>
    <x v="2"/>
    <x v="4"/>
    <x v="26"/>
    <x v="1"/>
    <m/>
    <s v="PD"/>
    <s v="0906"/>
    <s v="Incremento de la cobertura forestal_x000a_"/>
    <s v="0906.PD.9.6.264."/>
    <m/>
    <m/>
    <m/>
    <m/>
    <e v="#DIV/0!"/>
    <m/>
    <m/>
    <x v="0"/>
    <x v="1"/>
    <x v="2"/>
    <m/>
    <m/>
    <m/>
    <m/>
    <m/>
    <m/>
    <m/>
    <m/>
    <n v="33.333333333333336"/>
    <x v="1"/>
    <x v="1"/>
    <x v="1"/>
    <x v="0"/>
    <x v="0"/>
    <x v="0"/>
    <x v="1"/>
    <x v="0"/>
    <x v="0"/>
    <x v="0"/>
    <x v="1"/>
    <x v="1"/>
    <x v="1"/>
    <x v="1"/>
    <x v="264"/>
    <x v="4"/>
    <x v="3"/>
    <x v="3"/>
    <m/>
    <m/>
    <m/>
    <s v="0906264"/>
    <m/>
    <m/>
    <m/>
    <m/>
    <m/>
    <m/>
    <m/>
    <m/>
    <m/>
    <m/>
    <m/>
    <m/>
    <m/>
    <m/>
    <m/>
    <n v="0"/>
    <n v="0"/>
    <n v="5"/>
    <n v="0"/>
    <m/>
    <n v="0"/>
    <e v="#DIV/0!"/>
    <n v="0"/>
    <m/>
    <n v="0"/>
    <e v="#DIV/0!"/>
    <n v="0"/>
    <m/>
    <n v="0"/>
    <e v="#DIV/0!"/>
    <n v="0"/>
    <m/>
    <n v="0"/>
    <e v="#DIV/0!"/>
    <n v="0"/>
    <m/>
    <n v="0"/>
    <e v="#DIV/0!"/>
  </r>
  <r>
    <x v="8"/>
    <x v="8"/>
    <x v="7"/>
    <x v="53"/>
    <x v="0"/>
    <x v="265"/>
    <x v="265"/>
    <x v="265"/>
    <x v="265"/>
    <x v="265"/>
    <x v="11"/>
    <x v="31"/>
    <x v="1"/>
    <x v="4"/>
    <x v="27"/>
    <x v="1"/>
    <m/>
    <s v="PC"/>
    <s v="0907"/>
    <s v="Agua y prevención de riesgos por el cambio climático"/>
    <s v="0907.PC.9.7.265."/>
    <m/>
    <m/>
    <m/>
    <m/>
    <e v="#DIV/0!"/>
    <m/>
    <m/>
    <x v="0"/>
    <x v="1"/>
    <x v="2"/>
    <m/>
    <m/>
    <m/>
    <m/>
    <m/>
    <m/>
    <m/>
    <m/>
    <n v="14.285714285714286"/>
    <x v="1"/>
    <x v="1"/>
    <x v="1"/>
    <x v="0"/>
    <x v="0"/>
    <x v="0"/>
    <x v="1"/>
    <x v="0"/>
    <x v="0"/>
    <x v="0"/>
    <x v="1"/>
    <x v="1"/>
    <x v="1"/>
    <x v="1"/>
    <x v="265"/>
    <x v="4"/>
    <x v="3"/>
    <x v="3"/>
    <m/>
    <m/>
    <m/>
    <s v="0907265"/>
    <m/>
    <m/>
    <m/>
    <m/>
    <m/>
    <m/>
    <m/>
    <m/>
    <m/>
    <m/>
    <m/>
    <m/>
    <m/>
    <m/>
    <m/>
    <n v="0"/>
    <n v="0"/>
    <n v="5"/>
    <n v="0"/>
    <m/>
    <n v="0"/>
    <e v="#DIV/0!"/>
    <n v="0"/>
    <m/>
    <n v="0"/>
    <e v="#DIV/0!"/>
    <n v="0"/>
    <m/>
    <n v="0"/>
    <e v="#DIV/0!"/>
    <n v="0"/>
    <m/>
    <n v="0"/>
    <e v="#DIV/0!"/>
    <n v="0"/>
    <m/>
    <n v="0"/>
    <e v="#DIV/0!"/>
  </r>
  <r>
    <x v="8"/>
    <x v="8"/>
    <x v="7"/>
    <x v="53"/>
    <x v="1"/>
    <x v="266"/>
    <x v="266"/>
    <x v="266"/>
    <x v="266"/>
    <x v="266"/>
    <x v="11"/>
    <x v="31"/>
    <x v="1"/>
    <x v="4"/>
    <x v="27"/>
    <x v="1"/>
    <m/>
    <s v="PC"/>
    <s v="0907"/>
    <s v="Agua y prevención de riesgos por el cambio climático"/>
    <s v="0907.PC.9.7.266."/>
    <m/>
    <m/>
    <m/>
    <m/>
    <e v="#DIV/0!"/>
    <m/>
    <m/>
    <x v="0"/>
    <x v="1"/>
    <x v="2"/>
    <m/>
    <m/>
    <m/>
    <m/>
    <m/>
    <m/>
    <m/>
    <m/>
    <n v="14.285714285714286"/>
    <x v="1"/>
    <x v="1"/>
    <x v="1"/>
    <x v="0"/>
    <x v="0"/>
    <x v="0"/>
    <x v="1"/>
    <x v="0"/>
    <x v="0"/>
    <x v="0"/>
    <x v="1"/>
    <x v="1"/>
    <x v="1"/>
    <x v="1"/>
    <x v="266"/>
    <x v="4"/>
    <x v="3"/>
    <x v="3"/>
    <m/>
    <m/>
    <m/>
    <s v="0907266"/>
    <m/>
    <m/>
    <m/>
    <m/>
    <m/>
    <m/>
    <m/>
    <m/>
    <m/>
    <m/>
    <m/>
    <m/>
    <m/>
    <m/>
    <m/>
    <n v="0"/>
    <n v="0"/>
    <n v="5"/>
    <n v="0"/>
    <m/>
    <n v="0"/>
    <e v="#DIV/0!"/>
    <n v="0"/>
    <m/>
    <n v="0"/>
    <e v="#DIV/0!"/>
    <n v="0"/>
    <m/>
    <n v="0"/>
    <e v="#DIV/0!"/>
    <n v="0"/>
    <m/>
    <n v="0"/>
    <e v="#DIV/0!"/>
    <n v="0"/>
    <m/>
    <n v="0"/>
    <e v="#DIV/0!"/>
  </r>
  <r>
    <x v="8"/>
    <x v="8"/>
    <x v="7"/>
    <x v="53"/>
    <x v="2"/>
    <x v="267"/>
    <x v="267"/>
    <x v="267"/>
    <x v="267"/>
    <x v="267"/>
    <x v="11"/>
    <x v="31"/>
    <x v="1"/>
    <x v="4"/>
    <x v="27"/>
    <x v="1"/>
    <m/>
    <s v="PC"/>
    <s v="0907"/>
    <s v="Agua y prevención de riesgos por el cambio climático"/>
    <s v="0907.PC.9.7.267."/>
    <m/>
    <m/>
    <m/>
    <m/>
    <e v="#DIV/0!"/>
    <m/>
    <m/>
    <x v="0"/>
    <x v="1"/>
    <x v="2"/>
    <m/>
    <m/>
    <m/>
    <m/>
    <m/>
    <m/>
    <m/>
    <m/>
    <n v="14.285714285714286"/>
    <x v="1"/>
    <x v="1"/>
    <x v="1"/>
    <x v="0"/>
    <x v="0"/>
    <x v="0"/>
    <x v="1"/>
    <x v="0"/>
    <x v="0"/>
    <x v="0"/>
    <x v="1"/>
    <x v="1"/>
    <x v="1"/>
    <x v="1"/>
    <x v="267"/>
    <x v="4"/>
    <x v="3"/>
    <x v="3"/>
    <m/>
    <m/>
    <m/>
    <s v="0907267"/>
    <m/>
    <m/>
    <m/>
    <m/>
    <m/>
    <m/>
    <m/>
    <m/>
    <m/>
    <m/>
    <m/>
    <m/>
    <m/>
    <m/>
    <m/>
    <n v="0"/>
    <n v="0"/>
    <n v="5"/>
    <n v="0"/>
    <m/>
    <n v="0"/>
    <e v="#DIV/0!"/>
    <n v="0"/>
    <m/>
    <n v="0"/>
    <e v="#DIV/0!"/>
    <n v="0"/>
    <m/>
    <n v="0"/>
    <e v="#DIV/0!"/>
    <n v="0"/>
    <m/>
    <n v="0"/>
    <e v="#DIV/0!"/>
    <n v="0"/>
    <m/>
    <n v="0"/>
    <e v="#DIV/0!"/>
  </r>
  <r>
    <x v="8"/>
    <x v="8"/>
    <x v="7"/>
    <x v="53"/>
    <x v="3"/>
    <x v="268"/>
    <x v="268"/>
    <x v="268"/>
    <x v="268"/>
    <x v="268"/>
    <x v="11"/>
    <x v="32"/>
    <x v="1"/>
    <x v="4"/>
    <x v="28"/>
    <x v="1"/>
    <m/>
    <s v="PC"/>
    <s v="0907"/>
    <s v="Agua y prevención de riesgos por el cambio climático"/>
    <s v="0907.PC.9.7.268."/>
    <m/>
    <m/>
    <m/>
    <m/>
    <e v="#DIV/0!"/>
    <m/>
    <m/>
    <x v="0"/>
    <x v="1"/>
    <x v="2"/>
    <m/>
    <m/>
    <m/>
    <m/>
    <m/>
    <m/>
    <m/>
    <m/>
    <n v="14.285714285714286"/>
    <x v="1"/>
    <x v="1"/>
    <x v="1"/>
    <x v="0"/>
    <x v="0"/>
    <x v="0"/>
    <x v="1"/>
    <x v="0"/>
    <x v="0"/>
    <x v="0"/>
    <x v="1"/>
    <x v="1"/>
    <x v="1"/>
    <x v="1"/>
    <x v="268"/>
    <x v="4"/>
    <x v="3"/>
    <x v="3"/>
    <m/>
    <m/>
    <m/>
    <s v="0907268"/>
    <m/>
    <m/>
    <m/>
    <m/>
    <m/>
    <m/>
    <m/>
    <m/>
    <m/>
    <m/>
    <m/>
    <m/>
    <m/>
    <m/>
    <m/>
    <n v="0"/>
    <n v="0"/>
    <n v="5"/>
    <n v="0"/>
    <m/>
    <n v="0"/>
    <e v="#DIV/0!"/>
    <n v="0"/>
    <m/>
    <n v="0"/>
    <e v="#DIV/0!"/>
    <n v="0"/>
    <m/>
    <n v="0"/>
    <e v="#DIV/0!"/>
    <n v="0"/>
    <m/>
    <n v="0"/>
    <e v="#DIV/0!"/>
    <n v="0"/>
    <m/>
    <n v="0"/>
    <e v="#DIV/0!"/>
  </r>
  <r>
    <x v="8"/>
    <x v="8"/>
    <x v="7"/>
    <x v="53"/>
    <x v="4"/>
    <x v="269"/>
    <x v="269"/>
    <x v="269"/>
    <x v="269"/>
    <x v="269"/>
    <x v="11"/>
    <x v="32"/>
    <x v="1"/>
    <x v="4"/>
    <x v="28"/>
    <x v="1"/>
    <m/>
    <s v="PC"/>
    <s v="0907"/>
    <s v="Agua y prevención de riesgos por el cambio climático"/>
    <s v="0907.PC.9.7.269."/>
    <m/>
    <m/>
    <m/>
    <m/>
    <e v="#DIV/0!"/>
    <m/>
    <m/>
    <x v="0"/>
    <x v="1"/>
    <x v="2"/>
    <m/>
    <m/>
    <m/>
    <m/>
    <m/>
    <m/>
    <m/>
    <m/>
    <n v="14.285714285714286"/>
    <x v="1"/>
    <x v="1"/>
    <x v="1"/>
    <x v="0"/>
    <x v="0"/>
    <x v="0"/>
    <x v="1"/>
    <x v="0"/>
    <x v="0"/>
    <x v="0"/>
    <x v="1"/>
    <x v="1"/>
    <x v="1"/>
    <x v="1"/>
    <x v="269"/>
    <x v="4"/>
    <x v="3"/>
    <x v="3"/>
    <m/>
    <m/>
    <m/>
    <s v="0907269"/>
    <m/>
    <m/>
    <m/>
    <m/>
    <m/>
    <m/>
    <m/>
    <m/>
    <m/>
    <m/>
    <m/>
    <m/>
    <m/>
    <m/>
    <m/>
    <n v="0"/>
    <n v="0"/>
    <n v="5"/>
    <n v="0"/>
    <m/>
    <n v="0"/>
    <e v="#DIV/0!"/>
    <n v="0"/>
    <m/>
    <n v="0"/>
    <e v="#DIV/0!"/>
    <n v="0"/>
    <m/>
    <n v="0"/>
    <e v="#DIV/0!"/>
    <n v="0"/>
    <m/>
    <n v="0"/>
    <e v="#DIV/0!"/>
    <n v="0"/>
    <m/>
    <n v="0"/>
    <e v="#DIV/0!"/>
  </r>
  <r>
    <x v="8"/>
    <x v="8"/>
    <x v="7"/>
    <x v="53"/>
    <x v="5"/>
    <x v="270"/>
    <x v="270"/>
    <x v="270"/>
    <x v="270"/>
    <x v="270"/>
    <x v="11"/>
    <x v="32"/>
    <x v="0"/>
    <x v="4"/>
    <x v="28"/>
    <x v="0"/>
    <n v="1"/>
    <s v="RS"/>
    <s v="0907"/>
    <s v="Agua y prevención de riesgos por el cambio climático"/>
    <s v="0907.RS.9.7.270."/>
    <m/>
    <m/>
    <m/>
    <m/>
    <e v="#DIV/0!"/>
    <m/>
    <m/>
    <x v="0"/>
    <x v="0"/>
    <x v="23"/>
    <m/>
    <m/>
    <m/>
    <m/>
    <m/>
    <m/>
    <m/>
    <m/>
    <n v="14.285714285714286"/>
    <x v="0"/>
    <x v="0"/>
    <x v="0"/>
    <x v="0"/>
    <x v="0"/>
    <x v="0"/>
    <x v="0"/>
    <x v="0"/>
    <x v="0"/>
    <x v="0"/>
    <x v="1"/>
    <x v="1"/>
    <x v="0"/>
    <x v="1"/>
    <x v="270"/>
    <x v="4"/>
    <x v="3"/>
    <x v="3"/>
    <m/>
    <m/>
    <m/>
    <s v="0907270"/>
    <m/>
    <m/>
    <m/>
    <m/>
    <m/>
    <m/>
    <m/>
    <m/>
    <m/>
    <m/>
    <m/>
    <m/>
    <m/>
    <m/>
    <m/>
    <n v="0"/>
    <n v="0"/>
    <n v="5"/>
    <n v="0"/>
    <m/>
    <n v="0"/>
    <e v="#DIV/0!"/>
    <n v="0"/>
    <m/>
    <n v="0"/>
    <e v="#DIV/0!"/>
    <n v="0"/>
    <m/>
    <n v="0"/>
    <e v="#DIV/0!"/>
    <n v="0"/>
    <m/>
    <n v="0"/>
    <e v="#DIV/0!"/>
    <n v="0"/>
    <m/>
    <n v="0"/>
    <e v="#DIV/0!"/>
  </r>
  <r>
    <x v="8"/>
    <x v="8"/>
    <x v="7"/>
    <x v="53"/>
    <x v="6"/>
    <x v="271"/>
    <x v="271"/>
    <x v="271"/>
    <x v="271"/>
    <x v="271"/>
    <x v="11"/>
    <x v="32"/>
    <x v="2"/>
    <x v="4"/>
    <x v="28"/>
    <x v="1"/>
    <m/>
    <s v="PD"/>
    <s v="0907"/>
    <s v="Agua y prevención de riesgos por el cambio climático"/>
    <s v="0907.PD.9.7.271."/>
    <m/>
    <m/>
    <m/>
    <m/>
    <e v="#DIV/0!"/>
    <m/>
    <m/>
    <x v="0"/>
    <x v="1"/>
    <x v="2"/>
    <m/>
    <m/>
    <m/>
    <m/>
    <m/>
    <m/>
    <m/>
    <m/>
    <n v="14.285714285714286"/>
    <x v="1"/>
    <x v="1"/>
    <x v="1"/>
    <x v="0"/>
    <x v="0"/>
    <x v="1"/>
    <x v="0"/>
    <x v="0"/>
    <x v="0"/>
    <x v="0"/>
    <x v="1"/>
    <x v="1"/>
    <x v="1"/>
    <x v="1"/>
    <x v="271"/>
    <x v="4"/>
    <x v="3"/>
    <x v="3"/>
    <m/>
    <m/>
    <m/>
    <s v="0907271"/>
    <m/>
    <m/>
    <m/>
    <m/>
    <m/>
    <m/>
    <m/>
    <m/>
    <m/>
    <m/>
    <m/>
    <m/>
    <m/>
    <m/>
    <m/>
    <n v="0"/>
    <n v="0"/>
    <n v="5"/>
    <n v="0"/>
    <m/>
    <n v="0"/>
    <e v="#DIV/0!"/>
    <n v="0"/>
    <m/>
    <n v="0"/>
    <e v="#DIV/0!"/>
    <n v="0"/>
    <m/>
    <n v="0"/>
    <e v="#DIV/0!"/>
    <n v="0"/>
    <m/>
    <n v="0"/>
    <e v="#DIV/0!"/>
    <n v="0"/>
    <m/>
    <n v="0"/>
    <e v="#DIV/0!"/>
  </r>
  <r>
    <x v="8"/>
    <x v="8"/>
    <x v="8"/>
    <x v="54"/>
    <x v="0"/>
    <x v="272"/>
    <x v="272"/>
    <x v="272"/>
    <x v="272"/>
    <x v="272"/>
    <x v="11"/>
    <x v="33"/>
    <x v="0"/>
    <x v="4"/>
    <x v="29"/>
    <x v="1"/>
    <n v="1"/>
    <s v="RS"/>
    <s v="0908"/>
    <s v="Aire puro, ríos sin contaminación y procesamiento de residuos sólidos y líquidos"/>
    <s v="0908.RS.9.8.272."/>
    <m/>
    <m/>
    <m/>
    <m/>
    <e v="#DIV/0!"/>
    <m/>
    <m/>
    <x v="0"/>
    <x v="1"/>
    <x v="9"/>
    <m/>
    <m/>
    <m/>
    <m/>
    <m/>
    <m/>
    <m/>
    <m/>
    <n v="16.666666666666668"/>
    <x v="0"/>
    <x v="0"/>
    <x v="1"/>
    <x v="0"/>
    <x v="1"/>
    <x v="0"/>
    <x v="0"/>
    <x v="0"/>
    <x v="0"/>
    <x v="0"/>
    <x v="1"/>
    <x v="1"/>
    <x v="0"/>
    <x v="1"/>
    <x v="272"/>
    <x v="4"/>
    <x v="3"/>
    <x v="3"/>
    <m/>
    <m/>
    <m/>
    <s v="0908272"/>
    <m/>
    <m/>
    <m/>
    <m/>
    <m/>
    <m/>
    <m/>
    <m/>
    <m/>
    <m/>
    <m/>
    <m/>
    <m/>
    <m/>
    <m/>
    <n v="0"/>
    <n v="0"/>
    <n v="5"/>
    <n v="0"/>
    <m/>
    <n v="0"/>
    <e v="#DIV/0!"/>
    <n v="0"/>
    <m/>
    <n v="0"/>
    <e v="#DIV/0!"/>
    <n v="0"/>
    <m/>
    <n v="0"/>
    <e v="#DIV/0!"/>
    <n v="0"/>
    <m/>
    <n v="0"/>
    <e v="#DIV/0!"/>
    <n v="0"/>
    <m/>
    <n v="0"/>
    <e v="#DIV/0!"/>
  </r>
  <r>
    <x v="8"/>
    <x v="8"/>
    <x v="8"/>
    <x v="54"/>
    <x v="1"/>
    <x v="273"/>
    <x v="273"/>
    <x v="273"/>
    <x v="273"/>
    <x v="273"/>
    <x v="11"/>
    <x v="33"/>
    <x v="0"/>
    <x v="4"/>
    <x v="29"/>
    <x v="1"/>
    <m/>
    <s v="RS"/>
    <s v="0908"/>
    <s v="Aire puro, ríos sin contaminación y procesamiento de residuos sólidos y líquidos"/>
    <s v="0908.RS.9.8.273."/>
    <m/>
    <m/>
    <m/>
    <m/>
    <e v="#DIV/0!"/>
    <m/>
    <m/>
    <x v="0"/>
    <x v="1"/>
    <x v="9"/>
    <m/>
    <m/>
    <m/>
    <m/>
    <m/>
    <m/>
    <m/>
    <m/>
    <n v="16.666666666666668"/>
    <x v="0"/>
    <x v="0"/>
    <x v="1"/>
    <x v="0"/>
    <x v="1"/>
    <x v="0"/>
    <x v="0"/>
    <x v="0"/>
    <x v="0"/>
    <x v="0"/>
    <x v="1"/>
    <x v="1"/>
    <x v="0"/>
    <x v="1"/>
    <x v="273"/>
    <x v="4"/>
    <x v="3"/>
    <x v="3"/>
    <m/>
    <m/>
    <m/>
    <s v="0908273"/>
    <m/>
    <m/>
    <m/>
    <m/>
    <m/>
    <m/>
    <m/>
    <m/>
    <m/>
    <m/>
    <m/>
    <m/>
    <m/>
    <m/>
    <m/>
    <n v="0"/>
    <n v="0"/>
    <n v="5"/>
    <n v="0"/>
    <m/>
    <n v="0"/>
    <e v="#DIV/0!"/>
    <n v="0"/>
    <m/>
    <n v="0"/>
    <e v="#DIV/0!"/>
    <n v="0"/>
    <m/>
    <n v="0"/>
    <e v="#DIV/0!"/>
    <n v="0"/>
    <m/>
    <n v="0"/>
    <e v="#DIV/0!"/>
    <n v="0"/>
    <m/>
    <n v="0"/>
    <e v="#DIV/0!"/>
  </r>
  <r>
    <x v="8"/>
    <x v="8"/>
    <x v="8"/>
    <x v="54"/>
    <x v="2"/>
    <x v="274"/>
    <x v="274"/>
    <x v="274"/>
    <x v="274"/>
    <x v="274"/>
    <x v="11"/>
    <x v="33"/>
    <x v="0"/>
    <x v="4"/>
    <x v="29"/>
    <x v="0"/>
    <m/>
    <s v="RS"/>
    <s v="0908"/>
    <s v="Aire puro, ríos sin contaminación y procesamiento de residuos sólidos y líquidos"/>
    <s v="0908.RS.9.8.274."/>
    <m/>
    <m/>
    <m/>
    <m/>
    <e v="#DIV/0!"/>
    <m/>
    <m/>
    <x v="0"/>
    <x v="1"/>
    <x v="9"/>
    <m/>
    <m/>
    <m/>
    <m/>
    <m/>
    <m/>
    <m/>
    <m/>
    <n v="16.666666666666668"/>
    <x v="0"/>
    <x v="0"/>
    <x v="0"/>
    <x v="0"/>
    <x v="0"/>
    <x v="0"/>
    <x v="0"/>
    <x v="0"/>
    <x v="0"/>
    <x v="0"/>
    <x v="1"/>
    <x v="1"/>
    <x v="0"/>
    <x v="1"/>
    <x v="274"/>
    <x v="4"/>
    <x v="3"/>
    <x v="3"/>
    <m/>
    <m/>
    <m/>
    <s v="0908274"/>
    <m/>
    <m/>
    <m/>
    <m/>
    <m/>
    <m/>
    <m/>
    <m/>
    <m/>
    <m/>
    <m/>
    <m/>
    <m/>
    <m/>
    <m/>
    <n v="0"/>
    <n v="0"/>
    <n v="5"/>
    <n v="0"/>
    <m/>
    <n v="0"/>
    <e v="#DIV/0!"/>
    <n v="0"/>
    <m/>
    <n v="0"/>
    <e v="#DIV/0!"/>
    <n v="0"/>
    <m/>
    <n v="0"/>
    <e v="#DIV/0!"/>
    <n v="0"/>
    <m/>
    <n v="0"/>
    <e v="#DIV/0!"/>
    <n v="0"/>
    <m/>
    <n v="0"/>
    <e v="#DIV/0!"/>
  </r>
  <r>
    <x v="8"/>
    <x v="8"/>
    <x v="8"/>
    <x v="54"/>
    <x v="3"/>
    <x v="275"/>
    <x v="275"/>
    <x v="275"/>
    <x v="275"/>
    <x v="275"/>
    <x v="11"/>
    <x v="33"/>
    <x v="1"/>
    <x v="4"/>
    <x v="29"/>
    <x v="1"/>
    <n v="1"/>
    <s v="PC"/>
    <s v="0908"/>
    <s v="Aire puro, ríos sin contaminación y procesamiento de residuos sólidos y líquidos"/>
    <s v="0908.PC.9.8.275."/>
    <m/>
    <m/>
    <m/>
    <m/>
    <e v="#DIV/0!"/>
    <m/>
    <m/>
    <x v="0"/>
    <x v="1"/>
    <x v="2"/>
    <m/>
    <m/>
    <m/>
    <m/>
    <m/>
    <m/>
    <m/>
    <m/>
    <n v="16.666666666666668"/>
    <x v="1"/>
    <x v="1"/>
    <x v="1"/>
    <x v="0"/>
    <x v="0"/>
    <x v="0"/>
    <x v="1"/>
    <x v="0"/>
    <x v="0"/>
    <x v="0"/>
    <x v="1"/>
    <x v="1"/>
    <x v="1"/>
    <x v="1"/>
    <x v="275"/>
    <x v="4"/>
    <x v="3"/>
    <x v="3"/>
    <m/>
    <m/>
    <m/>
    <s v="0908275"/>
    <m/>
    <m/>
    <m/>
    <m/>
    <m/>
    <m/>
    <m/>
    <m/>
    <m/>
    <m/>
    <m/>
    <m/>
    <m/>
    <m/>
    <m/>
    <n v="0"/>
    <n v="0"/>
    <n v="5"/>
    <n v="0"/>
    <m/>
    <n v="0"/>
    <e v="#DIV/0!"/>
    <n v="0"/>
    <m/>
    <n v="0"/>
    <e v="#DIV/0!"/>
    <n v="0"/>
    <m/>
    <n v="0"/>
    <e v="#DIV/0!"/>
    <n v="0"/>
    <m/>
    <n v="0"/>
    <e v="#DIV/0!"/>
    <n v="0"/>
    <m/>
    <n v="0"/>
    <e v="#DIV/0!"/>
  </r>
  <r>
    <x v="8"/>
    <x v="8"/>
    <x v="8"/>
    <x v="54"/>
    <x v="4"/>
    <x v="276"/>
    <x v="276"/>
    <x v="276"/>
    <x v="276"/>
    <x v="276"/>
    <x v="11"/>
    <x v="33"/>
    <x v="1"/>
    <x v="4"/>
    <x v="29"/>
    <x v="1"/>
    <m/>
    <s v="PC"/>
    <s v="0908"/>
    <s v="Aire puro, ríos sin contaminación y procesamiento de residuos sólidos y líquidos"/>
    <s v="0908.PC.9.8.276."/>
    <m/>
    <m/>
    <m/>
    <m/>
    <e v="#DIV/0!"/>
    <m/>
    <m/>
    <x v="0"/>
    <x v="1"/>
    <x v="2"/>
    <m/>
    <m/>
    <m/>
    <m/>
    <m/>
    <m/>
    <m/>
    <m/>
    <n v="16.666666666666668"/>
    <x v="1"/>
    <x v="1"/>
    <x v="1"/>
    <x v="0"/>
    <x v="0"/>
    <x v="0"/>
    <x v="1"/>
    <x v="0"/>
    <x v="0"/>
    <x v="0"/>
    <x v="1"/>
    <x v="1"/>
    <x v="1"/>
    <x v="1"/>
    <x v="276"/>
    <x v="4"/>
    <x v="3"/>
    <x v="3"/>
    <m/>
    <m/>
    <m/>
    <s v="0908276"/>
    <m/>
    <m/>
    <m/>
    <m/>
    <m/>
    <m/>
    <m/>
    <m/>
    <m/>
    <m/>
    <m/>
    <m/>
    <m/>
    <m/>
    <m/>
    <n v="0"/>
    <n v="0"/>
    <n v="5"/>
    <n v="0"/>
    <m/>
    <n v="0"/>
    <e v="#DIV/0!"/>
    <n v="0"/>
    <m/>
    <n v="0"/>
    <e v="#DIV/0!"/>
    <n v="0"/>
    <m/>
    <n v="0"/>
    <e v="#DIV/0!"/>
    <n v="0"/>
    <m/>
    <n v="0"/>
    <e v="#DIV/0!"/>
    <n v="0"/>
    <m/>
    <n v="0"/>
    <e v="#DIV/0!"/>
  </r>
  <r>
    <x v="8"/>
    <x v="8"/>
    <x v="8"/>
    <x v="54"/>
    <x v="5"/>
    <x v="277"/>
    <x v="277"/>
    <x v="277"/>
    <x v="277"/>
    <x v="277"/>
    <x v="11"/>
    <x v="33"/>
    <x v="2"/>
    <x v="4"/>
    <x v="29"/>
    <x v="1"/>
    <m/>
    <s v="PD"/>
    <s v="0908"/>
    <s v="Aire puro, ríos sin contaminación y procesamiento de residuos sólidos y líquidos"/>
    <s v="0908.PD.9.8.277."/>
    <m/>
    <m/>
    <m/>
    <m/>
    <e v="#DIV/0!"/>
    <m/>
    <m/>
    <x v="0"/>
    <x v="1"/>
    <x v="2"/>
    <m/>
    <m/>
    <m/>
    <m/>
    <m/>
    <m/>
    <m/>
    <m/>
    <n v="16.666666666666668"/>
    <x v="1"/>
    <x v="1"/>
    <x v="1"/>
    <x v="0"/>
    <x v="0"/>
    <x v="1"/>
    <x v="0"/>
    <x v="0"/>
    <x v="0"/>
    <x v="0"/>
    <x v="1"/>
    <x v="1"/>
    <x v="1"/>
    <x v="1"/>
    <x v="277"/>
    <x v="4"/>
    <x v="3"/>
    <x v="3"/>
    <m/>
    <m/>
    <m/>
    <s v="0908277"/>
    <m/>
    <m/>
    <m/>
    <m/>
    <m/>
    <m/>
    <m/>
    <m/>
    <m/>
    <m/>
    <m/>
    <m/>
    <m/>
    <m/>
    <m/>
    <n v="0"/>
    <n v="0"/>
    <n v="5"/>
    <n v="0"/>
    <m/>
    <n v="0"/>
    <e v="#DIV/0!"/>
    <n v="0"/>
    <m/>
    <n v="0"/>
    <e v="#DIV/0!"/>
    <n v="0"/>
    <m/>
    <n v="0"/>
    <e v="#DIV/0!"/>
    <n v="0"/>
    <m/>
    <n v="0"/>
    <e v="#DIV/0!"/>
    <n v="0"/>
    <m/>
    <n v="0"/>
    <e v="#DIV/0!"/>
  </r>
  <r>
    <x v="9"/>
    <x v="9"/>
    <x v="0"/>
    <x v="55"/>
    <x v="0"/>
    <x v="278"/>
    <x v="278"/>
    <x v="278"/>
    <x v="278"/>
    <x v="278"/>
    <x v="12"/>
    <x v="34"/>
    <x v="1"/>
    <x v="2"/>
    <x v="30"/>
    <x v="1"/>
    <m/>
    <s v="PC"/>
    <s v="1001"/>
    <s v="Acuerdos internacionales para el cambio climático"/>
    <s v="1001.PC.10.1.278."/>
    <m/>
    <m/>
    <m/>
    <m/>
    <e v="#DIV/0!"/>
    <m/>
    <m/>
    <x v="0"/>
    <x v="1"/>
    <x v="2"/>
    <m/>
    <m/>
    <m/>
    <m/>
    <m/>
    <m/>
    <m/>
    <m/>
    <n v="100"/>
    <x v="1"/>
    <x v="1"/>
    <x v="1"/>
    <x v="0"/>
    <x v="0"/>
    <x v="0"/>
    <x v="1"/>
    <x v="0"/>
    <x v="0"/>
    <x v="0"/>
    <x v="1"/>
    <x v="1"/>
    <x v="1"/>
    <x v="1"/>
    <x v="278"/>
    <x v="4"/>
    <x v="3"/>
    <x v="3"/>
    <m/>
    <m/>
    <m/>
    <s v="1001278"/>
    <m/>
    <m/>
    <m/>
    <m/>
    <m/>
    <m/>
    <m/>
    <m/>
    <m/>
    <m/>
    <m/>
    <m/>
    <m/>
    <m/>
    <m/>
    <n v="0"/>
    <n v="0"/>
    <n v="5"/>
    <n v="0"/>
    <m/>
    <n v="0"/>
    <e v="#DIV/0!"/>
    <n v="0"/>
    <m/>
    <n v="0"/>
    <e v="#DIV/0!"/>
    <n v="0"/>
    <m/>
    <n v="0"/>
    <e v="#DIV/0!"/>
    <n v="0"/>
    <m/>
    <n v="0"/>
    <e v="#DIV/0!"/>
    <n v="0"/>
    <m/>
    <n v="0"/>
    <e v="#DIV/0!"/>
  </r>
  <r>
    <x v="9"/>
    <x v="9"/>
    <x v="1"/>
    <x v="47"/>
    <x v="0"/>
    <x v="279"/>
    <x v="279"/>
    <x v="279"/>
    <x v="279"/>
    <x v="279"/>
    <x v="12"/>
    <x v="34"/>
    <x v="2"/>
    <x v="2"/>
    <x v="30"/>
    <x v="1"/>
    <m/>
    <s v="PD"/>
    <s v="1002"/>
    <s v="Reconocimiento Internacional de los Derechos de la Madre Tierra"/>
    <s v="1002.PD.10.2.279."/>
    <m/>
    <m/>
    <m/>
    <m/>
    <e v="#DIV/0!"/>
    <m/>
    <m/>
    <x v="0"/>
    <x v="1"/>
    <x v="2"/>
    <m/>
    <m/>
    <m/>
    <m/>
    <m/>
    <m/>
    <m/>
    <m/>
    <n v="50"/>
    <x v="1"/>
    <x v="1"/>
    <x v="1"/>
    <x v="0"/>
    <x v="0"/>
    <x v="0"/>
    <x v="1"/>
    <x v="0"/>
    <x v="0"/>
    <x v="0"/>
    <x v="1"/>
    <x v="1"/>
    <x v="1"/>
    <x v="1"/>
    <x v="279"/>
    <x v="4"/>
    <x v="3"/>
    <x v="3"/>
    <m/>
    <m/>
    <m/>
    <s v="1002279"/>
    <m/>
    <m/>
    <m/>
    <m/>
    <m/>
    <m/>
    <m/>
    <m/>
    <m/>
    <m/>
    <m/>
    <m/>
    <m/>
    <m/>
    <m/>
    <n v="0"/>
    <n v="0"/>
    <n v="5"/>
    <n v="0"/>
    <m/>
    <n v="0"/>
    <e v="#DIV/0!"/>
    <n v="0"/>
    <m/>
    <n v="0"/>
    <e v="#DIV/0!"/>
    <n v="0"/>
    <m/>
    <n v="0"/>
    <e v="#DIV/0!"/>
    <n v="0"/>
    <m/>
    <n v="0"/>
    <e v="#DIV/0!"/>
    <n v="0"/>
    <m/>
    <n v="0"/>
    <e v="#DIV/0!"/>
  </r>
  <r>
    <x v="9"/>
    <x v="9"/>
    <x v="1"/>
    <x v="47"/>
    <x v="1"/>
    <x v="280"/>
    <x v="280"/>
    <x v="280"/>
    <x v="280"/>
    <x v="280"/>
    <x v="12"/>
    <x v="34"/>
    <x v="2"/>
    <x v="2"/>
    <x v="30"/>
    <x v="1"/>
    <m/>
    <s v="PD"/>
    <s v="1002"/>
    <s v="Reconocimiento Internacional de los Derechos de la Madre Tierra"/>
    <s v="1002.PD.10.2.280."/>
    <m/>
    <m/>
    <m/>
    <m/>
    <e v="#DIV/0!"/>
    <m/>
    <m/>
    <x v="0"/>
    <x v="1"/>
    <x v="2"/>
    <m/>
    <m/>
    <m/>
    <m/>
    <m/>
    <m/>
    <m/>
    <m/>
    <n v="50"/>
    <x v="1"/>
    <x v="1"/>
    <x v="1"/>
    <x v="0"/>
    <x v="0"/>
    <x v="0"/>
    <x v="1"/>
    <x v="0"/>
    <x v="0"/>
    <x v="0"/>
    <x v="1"/>
    <x v="1"/>
    <x v="1"/>
    <x v="1"/>
    <x v="280"/>
    <x v="4"/>
    <x v="3"/>
    <x v="3"/>
    <m/>
    <m/>
    <m/>
    <s v="1002280"/>
    <m/>
    <m/>
    <m/>
    <m/>
    <m/>
    <m/>
    <m/>
    <m/>
    <m/>
    <m/>
    <m/>
    <m/>
    <m/>
    <m/>
    <m/>
    <n v="0"/>
    <n v="0"/>
    <n v="5"/>
    <n v="0"/>
    <m/>
    <n v="0"/>
    <e v="#DIV/0!"/>
    <n v="0"/>
    <m/>
    <n v="0"/>
    <e v="#DIV/0!"/>
    <n v="0"/>
    <m/>
    <n v="0"/>
    <e v="#DIV/0!"/>
    <n v="0"/>
    <m/>
    <n v="0"/>
    <e v="#DIV/0!"/>
    <n v="0"/>
    <m/>
    <n v="0"/>
    <e v="#DIV/0!"/>
  </r>
  <r>
    <x v="9"/>
    <x v="9"/>
    <x v="6"/>
    <x v="56"/>
    <x v="12"/>
    <x v="281"/>
    <x v="281"/>
    <x v="281"/>
    <x v="281"/>
    <x v="281"/>
    <x v="12"/>
    <x v="34"/>
    <x v="0"/>
    <x v="2"/>
    <x v="30"/>
    <x v="0"/>
    <m/>
    <s v="RS"/>
    <s v="1000"/>
    <s v="Construcción de mecanismos para el Desarrollo e Integración "/>
    <s v="1000.RS.10.3.281r."/>
    <m/>
    <m/>
    <m/>
    <m/>
    <e v="#NAME?"/>
    <m/>
    <m/>
    <x v="0"/>
    <x v="1"/>
    <x v="2"/>
    <m/>
    <m/>
    <m/>
    <m/>
    <m/>
    <m/>
    <m/>
    <m/>
    <n v="100"/>
    <x v="0"/>
    <x v="0"/>
    <x v="0"/>
    <x v="0"/>
    <x v="0"/>
    <x v="0"/>
    <x v="0"/>
    <x v="0"/>
    <x v="0"/>
    <x v="0"/>
    <x v="1"/>
    <x v="1"/>
    <x v="1"/>
    <x v="1"/>
    <x v="281"/>
    <x v="4"/>
    <x v="3"/>
    <x v="3"/>
    <m/>
    <m/>
    <m/>
    <s v="100281r"/>
    <m/>
    <m/>
    <m/>
    <m/>
    <m/>
    <m/>
    <m/>
    <m/>
    <m/>
    <m/>
    <m/>
    <m/>
    <m/>
    <m/>
    <m/>
    <n v="0"/>
    <n v="0"/>
    <n v="5"/>
    <n v="0"/>
    <m/>
    <n v="0"/>
    <e v="#DIV/0!"/>
    <n v="0"/>
    <m/>
    <n v="0"/>
    <e v="#DIV/0!"/>
    <n v="0"/>
    <m/>
    <n v="0"/>
    <e v="#DIV/0!"/>
    <n v="0"/>
    <m/>
    <n v="0"/>
    <e v="#DIV/0!"/>
    <n v="0"/>
    <m/>
    <n v="0"/>
    <e v="#DIV/0!"/>
  </r>
  <r>
    <x v="9"/>
    <x v="9"/>
    <x v="2"/>
    <x v="57"/>
    <x v="0"/>
    <x v="282"/>
    <x v="282"/>
    <x v="282"/>
    <x v="282"/>
    <x v="282"/>
    <x v="12"/>
    <x v="34"/>
    <x v="1"/>
    <x v="2"/>
    <x v="30"/>
    <x v="1"/>
    <m/>
    <s v="PC"/>
    <s v="1003"/>
    <s v="Construcción de mecanismos para el Desarrollo e Integración "/>
    <s v="1003.PC.10.3.281."/>
    <m/>
    <m/>
    <m/>
    <m/>
    <e v="#DIV/0!"/>
    <m/>
    <m/>
    <x v="0"/>
    <x v="1"/>
    <x v="2"/>
    <m/>
    <m/>
    <m/>
    <m/>
    <m/>
    <m/>
    <m/>
    <m/>
    <n v="25"/>
    <x v="1"/>
    <x v="1"/>
    <x v="1"/>
    <x v="0"/>
    <x v="0"/>
    <x v="0"/>
    <x v="1"/>
    <x v="0"/>
    <x v="0"/>
    <x v="0"/>
    <x v="1"/>
    <x v="1"/>
    <x v="1"/>
    <x v="1"/>
    <x v="282"/>
    <x v="4"/>
    <x v="3"/>
    <x v="3"/>
    <m/>
    <m/>
    <m/>
    <s v="1003281"/>
    <m/>
    <m/>
    <m/>
    <m/>
    <m/>
    <m/>
    <m/>
    <m/>
    <m/>
    <m/>
    <m/>
    <m/>
    <m/>
    <m/>
    <m/>
    <n v="0"/>
    <n v="0"/>
    <n v="5"/>
    <n v="0"/>
    <m/>
    <n v="0"/>
    <e v="#DIV/0!"/>
    <n v="0"/>
    <m/>
    <n v="0"/>
    <e v="#DIV/0!"/>
    <n v="0"/>
    <m/>
    <n v="0"/>
    <e v="#DIV/0!"/>
    <n v="0"/>
    <m/>
    <n v="0"/>
    <e v="#DIV/0!"/>
    <n v="0"/>
    <m/>
    <n v="0"/>
    <e v="#DIV/0!"/>
  </r>
  <r>
    <x v="9"/>
    <x v="9"/>
    <x v="2"/>
    <x v="57"/>
    <x v="1"/>
    <x v="283"/>
    <x v="283"/>
    <x v="283"/>
    <x v="283"/>
    <x v="283"/>
    <x v="12"/>
    <x v="34"/>
    <x v="2"/>
    <x v="2"/>
    <x v="30"/>
    <x v="1"/>
    <m/>
    <s v="PD"/>
    <s v="1003"/>
    <s v="Construcción de mecanismos para el Desarrollo e Integración "/>
    <s v="1003.PD.10.3.282."/>
    <m/>
    <m/>
    <m/>
    <m/>
    <e v="#DIV/0!"/>
    <m/>
    <m/>
    <x v="0"/>
    <x v="1"/>
    <x v="2"/>
    <m/>
    <m/>
    <m/>
    <m/>
    <m/>
    <m/>
    <m/>
    <m/>
    <n v="25"/>
    <x v="1"/>
    <x v="1"/>
    <x v="1"/>
    <x v="0"/>
    <x v="0"/>
    <x v="0"/>
    <x v="1"/>
    <x v="0"/>
    <x v="0"/>
    <x v="0"/>
    <x v="1"/>
    <x v="1"/>
    <x v="1"/>
    <x v="1"/>
    <x v="283"/>
    <x v="4"/>
    <x v="3"/>
    <x v="3"/>
    <m/>
    <m/>
    <m/>
    <s v="1003282"/>
    <m/>
    <m/>
    <m/>
    <m/>
    <m/>
    <m/>
    <m/>
    <m/>
    <m/>
    <m/>
    <m/>
    <m/>
    <m/>
    <m/>
    <m/>
    <n v="0"/>
    <n v="0"/>
    <n v="5"/>
    <n v="0"/>
    <m/>
    <n v="0"/>
    <e v="#DIV/0!"/>
    <n v="0"/>
    <m/>
    <n v="0"/>
    <e v="#DIV/0!"/>
    <n v="0"/>
    <m/>
    <n v="0"/>
    <e v="#DIV/0!"/>
    <n v="0"/>
    <m/>
    <n v="0"/>
    <e v="#DIV/0!"/>
    <n v="0"/>
    <m/>
    <n v="0"/>
    <e v="#DIV/0!"/>
  </r>
  <r>
    <x v="9"/>
    <x v="9"/>
    <x v="2"/>
    <x v="57"/>
    <x v="2"/>
    <x v="284"/>
    <x v="284"/>
    <x v="284"/>
    <x v="284"/>
    <x v="284"/>
    <x v="12"/>
    <x v="34"/>
    <x v="1"/>
    <x v="2"/>
    <x v="30"/>
    <x v="1"/>
    <m/>
    <s v="PC"/>
    <s v="1003"/>
    <s v="Construcción de mecanismos para el Desarrollo e Integración "/>
    <s v="1003.PC.10.3.283."/>
    <m/>
    <m/>
    <m/>
    <m/>
    <e v="#DIV/0!"/>
    <m/>
    <m/>
    <x v="0"/>
    <x v="1"/>
    <x v="2"/>
    <m/>
    <m/>
    <m/>
    <m/>
    <m/>
    <m/>
    <m/>
    <m/>
    <n v="25"/>
    <x v="1"/>
    <x v="1"/>
    <x v="1"/>
    <x v="0"/>
    <x v="0"/>
    <x v="0"/>
    <x v="1"/>
    <x v="0"/>
    <x v="0"/>
    <x v="0"/>
    <x v="1"/>
    <x v="1"/>
    <x v="1"/>
    <x v="1"/>
    <x v="284"/>
    <x v="4"/>
    <x v="3"/>
    <x v="3"/>
    <m/>
    <m/>
    <m/>
    <s v="1003283"/>
    <m/>
    <m/>
    <m/>
    <m/>
    <m/>
    <m/>
    <m/>
    <m/>
    <m/>
    <m/>
    <m/>
    <m/>
    <m/>
    <m/>
    <m/>
    <n v="0"/>
    <n v="0"/>
    <n v="5"/>
    <n v="0"/>
    <m/>
    <n v="0"/>
    <e v="#DIV/0!"/>
    <n v="0"/>
    <m/>
    <n v="0"/>
    <e v="#DIV/0!"/>
    <n v="0"/>
    <m/>
    <n v="0"/>
    <e v="#DIV/0!"/>
    <n v="0"/>
    <m/>
    <n v="0"/>
    <e v="#DIV/0!"/>
    <n v="0"/>
    <m/>
    <n v="0"/>
    <e v="#DIV/0!"/>
  </r>
  <r>
    <x v="9"/>
    <x v="9"/>
    <x v="2"/>
    <x v="57"/>
    <x v="3"/>
    <x v="285"/>
    <x v="285"/>
    <x v="285"/>
    <x v="285"/>
    <x v="285"/>
    <x v="12"/>
    <x v="34"/>
    <x v="1"/>
    <x v="2"/>
    <x v="30"/>
    <x v="1"/>
    <m/>
    <s v="PC"/>
    <s v="1003"/>
    <s v="Construcción de mecanismos para el Desarrollo e Integración "/>
    <s v="1003.PC.10.3.284."/>
    <m/>
    <m/>
    <m/>
    <m/>
    <e v="#DIV/0!"/>
    <m/>
    <m/>
    <x v="0"/>
    <x v="1"/>
    <x v="2"/>
    <m/>
    <m/>
    <m/>
    <m/>
    <m/>
    <m/>
    <m/>
    <m/>
    <n v="25"/>
    <x v="1"/>
    <x v="1"/>
    <x v="1"/>
    <x v="0"/>
    <x v="0"/>
    <x v="0"/>
    <x v="1"/>
    <x v="0"/>
    <x v="0"/>
    <x v="0"/>
    <x v="1"/>
    <x v="1"/>
    <x v="1"/>
    <x v="1"/>
    <x v="285"/>
    <x v="4"/>
    <x v="3"/>
    <x v="3"/>
    <m/>
    <m/>
    <m/>
    <s v="1003284"/>
    <m/>
    <m/>
    <m/>
    <m/>
    <m/>
    <m/>
    <m/>
    <m/>
    <m/>
    <m/>
    <m/>
    <m/>
    <m/>
    <m/>
    <m/>
    <n v="0"/>
    <n v="0"/>
    <n v="5"/>
    <n v="0"/>
    <m/>
    <n v="0"/>
    <e v="#DIV/0!"/>
    <n v="0"/>
    <m/>
    <n v="0"/>
    <e v="#DIV/0!"/>
    <n v="0"/>
    <m/>
    <n v="0"/>
    <e v="#DIV/0!"/>
    <n v="0"/>
    <m/>
    <n v="0"/>
    <e v="#DIV/0!"/>
    <n v="0"/>
    <m/>
    <n v="0"/>
    <e v="#DIV/0!"/>
  </r>
  <r>
    <x v="9"/>
    <x v="9"/>
    <x v="3"/>
    <x v="58"/>
    <x v="0"/>
    <x v="286"/>
    <x v="286"/>
    <x v="286"/>
    <x v="286"/>
    <x v="286"/>
    <x v="12"/>
    <x v="34"/>
    <x v="1"/>
    <x v="2"/>
    <x v="30"/>
    <x v="1"/>
    <m/>
    <s v="PC"/>
    <s v="1004"/>
    <s v="Fortalecimiento de los procesos de Integración"/>
    <s v="1004.PC.10.4.285."/>
    <m/>
    <m/>
    <m/>
    <m/>
    <e v="#DIV/0!"/>
    <m/>
    <m/>
    <x v="0"/>
    <x v="1"/>
    <x v="2"/>
    <m/>
    <m/>
    <m/>
    <m/>
    <m/>
    <m/>
    <m/>
    <m/>
    <n v="20"/>
    <x v="1"/>
    <x v="1"/>
    <x v="1"/>
    <x v="0"/>
    <x v="0"/>
    <x v="0"/>
    <x v="1"/>
    <x v="0"/>
    <x v="0"/>
    <x v="0"/>
    <x v="1"/>
    <x v="1"/>
    <x v="1"/>
    <x v="1"/>
    <x v="286"/>
    <x v="4"/>
    <x v="3"/>
    <x v="3"/>
    <m/>
    <m/>
    <m/>
    <s v="1004285"/>
    <m/>
    <m/>
    <m/>
    <m/>
    <m/>
    <m/>
    <m/>
    <m/>
    <m/>
    <m/>
    <m/>
    <m/>
    <m/>
    <m/>
    <m/>
    <n v="0"/>
    <n v="0"/>
    <n v="5"/>
    <n v="0"/>
    <m/>
    <n v="0"/>
    <e v="#DIV/0!"/>
    <n v="0"/>
    <m/>
    <n v="0"/>
    <e v="#DIV/0!"/>
    <n v="0"/>
    <m/>
    <n v="0"/>
    <e v="#DIV/0!"/>
    <n v="0"/>
    <m/>
    <n v="0"/>
    <e v="#DIV/0!"/>
    <n v="0"/>
    <m/>
    <n v="0"/>
    <e v="#DIV/0!"/>
  </r>
  <r>
    <x v="9"/>
    <x v="9"/>
    <x v="3"/>
    <x v="58"/>
    <x v="1"/>
    <x v="287"/>
    <x v="287"/>
    <x v="287"/>
    <x v="287"/>
    <x v="287"/>
    <x v="12"/>
    <x v="34"/>
    <x v="1"/>
    <x v="2"/>
    <x v="30"/>
    <x v="1"/>
    <m/>
    <s v="PC"/>
    <s v="1004"/>
    <s v="Fortalecimiento de los procesos de Integración"/>
    <s v="1004.PC.10.4.286."/>
    <m/>
    <m/>
    <m/>
    <m/>
    <e v="#DIV/0!"/>
    <m/>
    <m/>
    <x v="0"/>
    <x v="1"/>
    <x v="2"/>
    <m/>
    <m/>
    <m/>
    <m/>
    <m/>
    <m/>
    <m/>
    <m/>
    <n v="20"/>
    <x v="1"/>
    <x v="1"/>
    <x v="1"/>
    <x v="0"/>
    <x v="0"/>
    <x v="0"/>
    <x v="1"/>
    <x v="0"/>
    <x v="0"/>
    <x v="0"/>
    <x v="1"/>
    <x v="1"/>
    <x v="1"/>
    <x v="1"/>
    <x v="287"/>
    <x v="4"/>
    <x v="3"/>
    <x v="3"/>
    <m/>
    <m/>
    <m/>
    <s v="1004286"/>
    <m/>
    <m/>
    <m/>
    <m/>
    <m/>
    <m/>
    <m/>
    <m/>
    <m/>
    <m/>
    <m/>
    <m/>
    <m/>
    <m/>
    <m/>
    <n v="0"/>
    <n v="0"/>
    <n v="5"/>
    <n v="0"/>
    <m/>
    <n v="0"/>
    <e v="#DIV/0!"/>
    <n v="0"/>
    <m/>
    <n v="0"/>
    <e v="#DIV/0!"/>
    <n v="0"/>
    <m/>
    <n v="0"/>
    <e v="#DIV/0!"/>
    <n v="0"/>
    <m/>
    <n v="0"/>
    <e v="#DIV/0!"/>
    <n v="0"/>
    <m/>
    <n v="0"/>
    <e v="#DIV/0!"/>
  </r>
  <r>
    <x v="9"/>
    <x v="9"/>
    <x v="3"/>
    <x v="58"/>
    <x v="2"/>
    <x v="288"/>
    <x v="288"/>
    <x v="288"/>
    <x v="288"/>
    <x v="288"/>
    <x v="12"/>
    <x v="34"/>
    <x v="1"/>
    <x v="2"/>
    <x v="30"/>
    <x v="1"/>
    <m/>
    <s v="PC"/>
    <s v="1004"/>
    <s v="Fortalecimiento de los procesos de Integración"/>
    <s v="1004.PC.10.4.287."/>
    <m/>
    <m/>
    <m/>
    <m/>
    <e v="#DIV/0!"/>
    <m/>
    <m/>
    <x v="0"/>
    <x v="1"/>
    <x v="2"/>
    <m/>
    <m/>
    <m/>
    <m/>
    <m/>
    <m/>
    <m/>
    <m/>
    <n v="20"/>
    <x v="1"/>
    <x v="1"/>
    <x v="1"/>
    <x v="0"/>
    <x v="0"/>
    <x v="0"/>
    <x v="1"/>
    <x v="0"/>
    <x v="0"/>
    <x v="0"/>
    <x v="1"/>
    <x v="1"/>
    <x v="1"/>
    <x v="1"/>
    <x v="288"/>
    <x v="4"/>
    <x v="3"/>
    <x v="3"/>
    <m/>
    <m/>
    <m/>
    <s v="1004287"/>
    <m/>
    <m/>
    <m/>
    <m/>
    <m/>
    <m/>
    <m/>
    <m/>
    <m/>
    <m/>
    <m/>
    <m/>
    <m/>
    <m/>
    <m/>
    <n v="0"/>
    <n v="0"/>
    <n v="5"/>
    <n v="0"/>
    <m/>
    <n v="0"/>
    <e v="#DIV/0!"/>
    <n v="0"/>
    <m/>
    <n v="0"/>
    <e v="#DIV/0!"/>
    <n v="0"/>
    <m/>
    <n v="0"/>
    <e v="#DIV/0!"/>
    <n v="0"/>
    <m/>
    <n v="0"/>
    <e v="#DIV/0!"/>
    <n v="0"/>
    <m/>
    <n v="0"/>
    <e v="#DIV/0!"/>
  </r>
  <r>
    <x v="9"/>
    <x v="9"/>
    <x v="3"/>
    <x v="58"/>
    <x v="3"/>
    <x v="289"/>
    <x v="289"/>
    <x v="289"/>
    <x v="289"/>
    <x v="289"/>
    <x v="12"/>
    <x v="34"/>
    <x v="1"/>
    <x v="2"/>
    <x v="30"/>
    <x v="1"/>
    <m/>
    <s v="PC"/>
    <s v="1004"/>
    <s v="Fortalecimiento de los procesos de Integración"/>
    <s v="1004.PC.10.4.288."/>
    <m/>
    <m/>
    <m/>
    <m/>
    <e v="#DIV/0!"/>
    <m/>
    <m/>
    <x v="0"/>
    <x v="1"/>
    <x v="2"/>
    <m/>
    <m/>
    <m/>
    <m/>
    <m/>
    <m/>
    <m/>
    <m/>
    <n v="20"/>
    <x v="1"/>
    <x v="1"/>
    <x v="1"/>
    <x v="0"/>
    <x v="0"/>
    <x v="0"/>
    <x v="1"/>
    <x v="0"/>
    <x v="0"/>
    <x v="0"/>
    <x v="1"/>
    <x v="1"/>
    <x v="1"/>
    <x v="1"/>
    <x v="289"/>
    <x v="4"/>
    <x v="3"/>
    <x v="3"/>
    <m/>
    <m/>
    <m/>
    <s v="1004288"/>
    <m/>
    <m/>
    <m/>
    <m/>
    <m/>
    <m/>
    <m/>
    <m/>
    <m/>
    <m/>
    <m/>
    <m/>
    <m/>
    <m/>
    <m/>
    <n v="0"/>
    <n v="0"/>
    <n v="5"/>
    <n v="0"/>
    <m/>
    <n v="0"/>
    <e v="#DIV/0!"/>
    <n v="0"/>
    <m/>
    <n v="0"/>
    <e v="#DIV/0!"/>
    <n v="0"/>
    <m/>
    <n v="0"/>
    <e v="#DIV/0!"/>
    <n v="0"/>
    <m/>
    <n v="0"/>
    <e v="#DIV/0!"/>
    <n v="0"/>
    <m/>
    <n v="0"/>
    <e v="#DIV/0!"/>
  </r>
  <r>
    <x v="9"/>
    <x v="9"/>
    <x v="3"/>
    <x v="58"/>
    <x v="4"/>
    <x v="290"/>
    <x v="290"/>
    <x v="290"/>
    <x v="290"/>
    <x v="290"/>
    <x v="12"/>
    <x v="34"/>
    <x v="1"/>
    <x v="2"/>
    <x v="30"/>
    <x v="1"/>
    <m/>
    <s v="PC"/>
    <s v="1004"/>
    <s v="Fortalecimiento de los procesos de Integración"/>
    <s v="1004.PC.10.4.289."/>
    <m/>
    <s v="Relaciones Exteriores"/>
    <s v="Desarrollo de Mercados Externos"/>
    <m/>
    <e v="#DIV/0!"/>
    <m/>
    <m/>
    <x v="0"/>
    <x v="1"/>
    <x v="2"/>
    <s v="1A"/>
    <m/>
    <m/>
    <m/>
    <m/>
    <m/>
    <m/>
    <m/>
    <n v="20"/>
    <x v="1"/>
    <x v="1"/>
    <x v="1"/>
    <x v="0"/>
    <x v="0"/>
    <x v="0"/>
    <x v="1"/>
    <x v="0"/>
    <x v="0"/>
    <x v="0"/>
    <x v="1"/>
    <x v="1"/>
    <x v="1"/>
    <x v="1"/>
    <x v="290"/>
    <x v="4"/>
    <x v="3"/>
    <x v="3"/>
    <m/>
    <m/>
    <m/>
    <s v="1004289"/>
    <m/>
    <m/>
    <m/>
    <m/>
    <m/>
    <m/>
    <m/>
    <m/>
    <m/>
    <m/>
    <m/>
    <m/>
    <m/>
    <m/>
    <m/>
    <n v="0"/>
    <n v="0"/>
    <n v="5"/>
    <n v="0"/>
    <m/>
    <n v="0"/>
    <e v="#DIV/0!"/>
    <n v="0"/>
    <m/>
    <n v="0"/>
    <e v="#DIV/0!"/>
    <n v="0"/>
    <m/>
    <n v="0"/>
    <e v="#DIV/0!"/>
    <n v="0"/>
    <m/>
    <n v="0"/>
    <e v="#DIV/0!"/>
    <n v="0"/>
    <m/>
    <n v="0"/>
    <e v="#DIV/0!"/>
  </r>
  <r>
    <x v="9"/>
    <x v="9"/>
    <x v="4"/>
    <x v="59"/>
    <x v="0"/>
    <x v="291"/>
    <x v="291"/>
    <x v="291"/>
    <x v="291"/>
    <x v="291"/>
    <x v="12"/>
    <x v="34"/>
    <x v="1"/>
    <x v="2"/>
    <x v="30"/>
    <x v="1"/>
    <m/>
    <s v="PC"/>
    <s v="1005"/>
    <s v="Promoción de una organización mundial de los pueblos y la Madre Tierra"/>
    <s v="1005.PC.10.5.290."/>
    <m/>
    <m/>
    <m/>
    <m/>
    <e v="#DIV/0!"/>
    <m/>
    <m/>
    <x v="0"/>
    <x v="1"/>
    <x v="2"/>
    <m/>
    <m/>
    <m/>
    <m/>
    <m/>
    <m/>
    <m/>
    <m/>
    <n v="33.333333333333336"/>
    <x v="1"/>
    <x v="1"/>
    <x v="1"/>
    <x v="0"/>
    <x v="0"/>
    <x v="0"/>
    <x v="1"/>
    <x v="0"/>
    <x v="0"/>
    <x v="0"/>
    <x v="1"/>
    <x v="1"/>
    <x v="1"/>
    <x v="1"/>
    <x v="291"/>
    <x v="4"/>
    <x v="3"/>
    <x v="3"/>
    <m/>
    <m/>
    <m/>
    <s v="1005290"/>
    <m/>
    <m/>
    <m/>
    <m/>
    <m/>
    <m/>
    <m/>
    <m/>
    <m/>
    <m/>
    <m/>
    <m/>
    <m/>
    <m/>
    <m/>
    <n v="0"/>
    <n v="0"/>
    <n v="5"/>
    <n v="0"/>
    <m/>
    <n v="0"/>
    <e v="#DIV/0!"/>
    <n v="0"/>
    <m/>
    <n v="0"/>
    <e v="#DIV/0!"/>
    <n v="0"/>
    <m/>
    <n v="0"/>
    <e v="#DIV/0!"/>
    <n v="0"/>
    <m/>
    <n v="0"/>
    <e v="#DIV/0!"/>
    <n v="0"/>
    <m/>
    <n v="0"/>
    <e v="#DIV/0!"/>
  </r>
  <r>
    <x v="9"/>
    <x v="9"/>
    <x v="4"/>
    <x v="59"/>
    <x v="1"/>
    <x v="292"/>
    <x v="292"/>
    <x v="292"/>
    <x v="292"/>
    <x v="292"/>
    <x v="12"/>
    <x v="34"/>
    <x v="1"/>
    <x v="2"/>
    <x v="30"/>
    <x v="1"/>
    <m/>
    <s v="PC"/>
    <s v="1005"/>
    <s v="Promoción de una organización mundial de los pueblos y la Madre Tierra"/>
    <s v="1005.PC.10.5.291."/>
    <m/>
    <m/>
    <m/>
    <m/>
    <e v="#DIV/0!"/>
    <m/>
    <m/>
    <x v="0"/>
    <x v="1"/>
    <x v="2"/>
    <m/>
    <m/>
    <m/>
    <m/>
    <m/>
    <m/>
    <m/>
    <m/>
    <n v="33.333333333333336"/>
    <x v="1"/>
    <x v="1"/>
    <x v="1"/>
    <x v="0"/>
    <x v="0"/>
    <x v="0"/>
    <x v="1"/>
    <x v="0"/>
    <x v="0"/>
    <x v="0"/>
    <x v="1"/>
    <x v="1"/>
    <x v="1"/>
    <x v="1"/>
    <x v="292"/>
    <x v="4"/>
    <x v="3"/>
    <x v="3"/>
    <m/>
    <m/>
    <m/>
    <s v="1005291"/>
    <m/>
    <m/>
    <m/>
    <m/>
    <m/>
    <m/>
    <m/>
    <m/>
    <m/>
    <m/>
    <m/>
    <m/>
    <m/>
    <m/>
    <m/>
    <n v="0"/>
    <n v="0"/>
    <n v="5"/>
    <n v="0"/>
    <m/>
    <n v="0"/>
    <e v="#DIV/0!"/>
    <n v="0"/>
    <m/>
    <n v="0"/>
    <e v="#DIV/0!"/>
    <n v="0"/>
    <m/>
    <n v="0"/>
    <e v="#DIV/0!"/>
    <n v="0"/>
    <m/>
    <n v="0"/>
    <e v="#DIV/0!"/>
    <n v="0"/>
    <m/>
    <n v="0"/>
    <e v="#DIV/0!"/>
  </r>
  <r>
    <x v="9"/>
    <x v="9"/>
    <x v="4"/>
    <x v="59"/>
    <x v="2"/>
    <x v="293"/>
    <x v="293"/>
    <x v="293"/>
    <x v="293"/>
    <x v="293"/>
    <x v="12"/>
    <x v="34"/>
    <x v="1"/>
    <x v="2"/>
    <x v="30"/>
    <x v="1"/>
    <m/>
    <s v="PC"/>
    <s v="1005"/>
    <s v="Promoción de una organización mundial de los pueblos y la Madre Tierra"/>
    <s v="1005.PC.10.5.292."/>
    <m/>
    <m/>
    <m/>
    <m/>
    <e v="#DIV/0!"/>
    <m/>
    <m/>
    <x v="0"/>
    <x v="1"/>
    <x v="2"/>
    <m/>
    <m/>
    <m/>
    <m/>
    <m/>
    <m/>
    <m/>
    <m/>
    <n v="33.333333333333336"/>
    <x v="1"/>
    <x v="1"/>
    <x v="1"/>
    <x v="0"/>
    <x v="0"/>
    <x v="0"/>
    <x v="1"/>
    <x v="0"/>
    <x v="0"/>
    <x v="0"/>
    <x v="1"/>
    <x v="1"/>
    <x v="1"/>
    <x v="1"/>
    <x v="293"/>
    <x v="4"/>
    <x v="3"/>
    <x v="3"/>
    <m/>
    <m/>
    <m/>
    <s v="1005292"/>
    <m/>
    <m/>
    <m/>
    <m/>
    <m/>
    <m/>
    <m/>
    <m/>
    <m/>
    <m/>
    <m/>
    <m/>
    <m/>
    <m/>
    <m/>
    <n v="0"/>
    <n v="0"/>
    <n v="5"/>
    <n v="0"/>
    <m/>
    <n v="0"/>
    <e v="#DIV/0!"/>
    <n v="0"/>
    <m/>
    <n v="0"/>
    <e v="#DIV/0!"/>
    <n v="0"/>
    <m/>
    <n v="0"/>
    <e v="#DIV/0!"/>
    <n v="0"/>
    <m/>
    <n v="0"/>
    <e v="#DIV/0!"/>
    <n v="0"/>
    <m/>
    <n v="0"/>
    <e v="#DIV/0!"/>
  </r>
  <r>
    <x v="9"/>
    <x v="9"/>
    <x v="5"/>
    <x v="60"/>
    <x v="0"/>
    <x v="294"/>
    <x v="294"/>
    <x v="294"/>
    <x v="294"/>
    <x v="294"/>
    <x v="12"/>
    <x v="35"/>
    <x v="1"/>
    <x v="2"/>
    <x v="3"/>
    <x v="1"/>
    <m/>
    <s v="PC"/>
    <s v="1006"/>
    <s v="Atención digna para las/os boilvianas/os en el exterior"/>
    <s v="1006.PC.10.6.293."/>
    <m/>
    <m/>
    <m/>
    <m/>
    <e v="#DIV/0!"/>
    <m/>
    <m/>
    <x v="0"/>
    <x v="1"/>
    <x v="2"/>
    <m/>
    <m/>
    <m/>
    <m/>
    <m/>
    <m/>
    <m/>
    <m/>
    <n v="33.333333333333336"/>
    <x v="1"/>
    <x v="1"/>
    <x v="1"/>
    <x v="0"/>
    <x v="0"/>
    <x v="0"/>
    <x v="1"/>
    <x v="0"/>
    <x v="0"/>
    <x v="0"/>
    <x v="1"/>
    <x v="1"/>
    <x v="1"/>
    <x v="1"/>
    <x v="294"/>
    <x v="4"/>
    <x v="3"/>
    <x v="3"/>
    <m/>
    <m/>
    <m/>
    <s v="1006293"/>
    <m/>
    <m/>
    <m/>
    <m/>
    <m/>
    <m/>
    <m/>
    <m/>
    <m/>
    <m/>
    <m/>
    <m/>
    <m/>
    <m/>
    <m/>
    <n v="0"/>
    <n v="0"/>
    <n v="5"/>
    <n v="0"/>
    <m/>
    <n v="0"/>
    <e v="#DIV/0!"/>
    <n v="0"/>
    <m/>
    <n v="0"/>
    <e v="#DIV/0!"/>
    <n v="0"/>
    <m/>
    <n v="0"/>
    <e v="#DIV/0!"/>
    <n v="0"/>
    <m/>
    <n v="0"/>
    <e v="#DIV/0!"/>
    <n v="0"/>
    <m/>
    <n v="0"/>
    <e v="#DIV/0!"/>
  </r>
  <r>
    <x v="9"/>
    <x v="9"/>
    <x v="5"/>
    <x v="60"/>
    <x v="1"/>
    <x v="295"/>
    <x v="295"/>
    <x v="295"/>
    <x v="295"/>
    <x v="295"/>
    <x v="12"/>
    <x v="35"/>
    <x v="1"/>
    <x v="2"/>
    <x v="3"/>
    <x v="1"/>
    <m/>
    <s v="PC"/>
    <s v="1006"/>
    <s v="Atención digna para las/os boilvianas/os en el exterior"/>
    <s v="1006.PC.10.6.294."/>
    <m/>
    <m/>
    <m/>
    <m/>
    <e v="#DIV/0!"/>
    <m/>
    <m/>
    <x v="0"/>
    <x v="1"/>
    <x v="2"/>
    <m/>
    <m/>
    <m/>
    <m/>
    <m/>
    <m/>
    <m/>
    <m/>
    <n v="33.333333333333336"/>
    <x v="1"/>
    <x v="1"/>
    <x v="1"/>
    <x v="0"/>
    <x v="0"/>
    <x v="0"/>
    <x v="1"/>
    <x v="0"/>
    <x v="0"/>
    <x v="0"/>
    <x v="1"/>
    <x v="1"/>
    <x v="1"/>
    <x v="1"/>
    <x v="295"/>
    <x v="4"/>
    <x v="3"/>
    <x v="3"/>
    <m/>
    <m/>
    <m/>
    <s v="1006294"/>
    <m/>
    <m/>
    <m/>
    <m/>
    <m/>
    <m/>
    <m/>
    <m/>
    <m/>
    <m/>
    <m/>
    <m/>
    <m/>
    <m/>
    <m/>
    <n v="0"/>
    <n v="0"/>
    <n v="5"/>
    <n v="0"/>
    <m/>
    <n v="0"/>
    <e v="#DIV/0!"/>
    <n v="0"/>
    <m/>
    <n v="0"/>
    <e v="#DIV/0!"/>
    <n v="0"/>
    <m/>
    <n v="0"/>
    <e v="#DIV/0!"/>
    <n v="0"/>
    <m/>
    <n v="0"/>
    <e v="#DIV/0!"/>
    <n v="0"/>
    <m/>
    <n v="0"/>
    <e v="#DIV/0!"/>
  </r>
  <r>
    <x v="9"/>
    <x v="9"/>
    <x v="5"/>
    <x v="60"/>
    <x v="2"/>
    <x v="296"/>
    <x v="296"/>
    <x v="296"/>
    <x v="296"/>
    <x v="296"/>
    <x v="12"/>
    <x v="35"/>
    <x v="1"/>
    <x v="2"/>
    <x v="3"/>
    <x v="1"/>
    <m/>
    <s v="PC"/>
    <s v="1006"/>
    <s v="Atención digna para las/os boilvianas/os en el exterior"/>
    <s v="1006.PC.10.6.295."/>
    <m/>
    <m/>
    <m/>
    <m/>
    <e v="#DIV/0!"/>
    <m/>
    <m/>
    <x v="0"/>
    <x v="1"/>
    <x v="2"/>
    <m/>
    <m/>
    <m/>
    <m/>
    <m/>
    <m/>
    <m/>
    <m/>
    <n v="33.333333333333336"/>
    <x v="1"/>
    <x v="1"/>
    <x v="1"/>
    <x v="0"/>
    <x v="0"/>
    <x v="0"/>
    <x v="1"/>
    <x v="0"/>
    <x v="0"/>
    <x v="0"/>
    <x v="1"/>
    <x v="1"/>
    <x v="1"/>
    <x v="1"/>
    <x v="296"/>
    <x v="4"/>
    <x v="3"/>
    <x v="3"/>
    <m/>
    <m/>
    <m/>
    <s v="1006295"/>
    <m/>
    <m/>
    <m/>
    <m/>
    <m/>
    <m/>
    <m/>
    <m/>
    <m/>
    <m/>
    <m/>
    <m/>
    <m/>
    <m/>
    <m/>
    <n v="0"/>
    <n v="0"/>
    <n v="5"/>
    <n v="0"/>
    <m/>
    <n v="0"/>
    <e v="#DIV/0!"/>
    <n v="0"/>
    <m/>
    <n v="0"/>
    <e v="#DIV/0!"/>
    <n v="0"/>
    <m/>
    <n v="0"/>
    <e v="#DIV/0!"/>
    <n v="0"/>
    <m/>
    <n v="0"/>
    <e v="#DIV/0!"/>
    <n v="0"/>
    <m/>
    <n v="0"/>
    <e v="#DIV/0!"/>
  </r>
  <r>
    <x v="10"/>
    <x v="10"/>
    <x v="0"/>
    <x v="61"/>
    <x v="0"/>
    <x v="297"/>
    <x v="297"/>
    <x v="297"/>
    <x v="297"/>
    <x v="297"/>
    <x v="13"/>
    <x v="36"/>
    <x v="1"/>
    <x v="2"/>
    <x v="4"/>
    <x v="1"/>
    <m/>
    <s v="PC"/>
    <s v="1101"/>
    <s v="Gestión pública tansparente"/>
    <s v="1101.PC.11.1.296."/>
    <m/>
    <m/>
    <m/>
    <m/>
    <e v="#DIV/0!"/>
    <m/>
    <m/>
    <x v="0"/>
    <x v="1"/>
    <x v="2"/>
    <m/>
    <m/>
    <m/>
    <m/>
    <m/>
    <m/>
    <m/>
    <m/>
    <n v="14.285714285714286"/>
    <x v="1"/>
    <x v="1"/>
    <x v="1"/>
    <x v="0"/>
    <x v="0"/>
    <x v="1"/>
    <x v="0"/>
    <x v="0"/>
    <x v="0"/>
    <x v="0"/>
    <x v="1"/>
    <x v="1"/>
    <x v="1"/>
    <x v="1"/>
    <x v="297"/>
    <x v="4"/>
    <x v="3"/>
    <x v="3"/>
    <m/>
    <m/>
    <m/>
    <s v="1101296"/>
    <m/>
    <m/>
    <m/>
    <m/>
    <m/>
    <m/>
    <m/>
    <m/>
    <m/>
    <m/>
    <m/>
    <m/>
    <m/>
    <m/>
    <m/>
    <n v="0"/>
    <n v="0"/>
    <n v="5"/>
    <n v="0"/>
    <m/>
    <n v="0"/>
    <e v="#DIV/0!"/>
    <n v="0"/>
    <m/>
    <n v="0"/>
    <e v="#DIV/0!"/>
    <n v="0"/>
    <m/>
    <n v="0"/>
    <e v="#DIV/0!"/>
    <n v="0"/>
    <m/>
    <n v="0"/>
    <e v="#DIV/0!"/>
    <n v="0"/>
    <m/>
    <n v="0"/>
    <e v="#DIV/0!"/>
  </r>
  <r>
    <x v="10"/>
    <x v="10"/>
    <x v="0"/>
    <x v="61"/>
    <x v="1"/>
    <x v="298"/>
    <x v="298"/>
    <x v="298"/>
    <x v="298"/>
    <x v="298"/>
    <x v="13"/>
    <x v="36"/>
    <x v="0"/>
    <x v="2"/>
    <x v="4"/>
    <x v="0"/>
    <m/>
    <s v="RS"/>
    <s v="1101"/>
    <s v="Gestión pública tansparente"/>
    <s v="1101.RS.11.1.297."/>
    <m/>
    <m/>
    <m/>
    <m/>
    <e v="#DIV/0!"/>
    <m/>
    <m/>
    <x v="0"/>
    <x v="1"/>
    <x v="24"/>
    <m/>
    <m/>
    <m/>
    <m/>
    <m/>
    <m/>
    <m/>
    <m/>
    <n v="14.285714285714286"/>
    <x v="0"/>
    <x v="0"/>
    <x v="0"/>
    <x v="0"/>
    <x v="0"/>
    <x v="0"/>
    <x v="0"/>
    <x v="0"/>
    <x v="0"/>
    <x v="0"/>
    <x v="1"/>
    <x v="1"/>
    <x v="1"/>
    <x v="1"/>
    <x v="298"/>
    <x v="4"/>
    <x v="3"/>
    <x v="3"/>
    <m/>
    <m/>
    <m/>
    <s v="1101297"/>
    <m/>
    <m/>
    <m/>
    <m/>
    <m/>
    <m/>
    <m/>
    <m/>
    <m/>
    <m/>
    <m/>
    <m/>
    <m/>
    <m/>
    <m/>
    <n v="0"/>
    <n v="0"/>
    <n v="5"/>
    <n v="0"/>
    <m/>
    <n v="0"/>
    <e v="#DIV/0!"/>
    <n v="0"/>
    <m/>
    <n v="0"/>
    <e v="#DIV/0!"/>
    <n v="0"/>
    <m/>
    <n v="0"/>
    <e v="#DIV/0!"/>
    <n v="0"/>
    <m/>
    <n v="0"/>
    <e v="#DIV/0!"/>
    <n v="0"/>
    <m/>
    <n v="0"/>
    <e v="#DIV/0!"/>
  </r>
  <r>
    <x v="10"/>
    <x v="10"/>
    <x v="0"/>
    <x v="61"/>
    <x v="2"/>
    <x v="299"/>
    <x v="299"/>
    <x v="299"/>
    <x v="299"/>
    <x v="299"/>
    <x v="13"/>
    <x v="36"/>
    <x v="1"/>
    <x v="2"/>
    <x v="4"/>
    <x v="1"/>
    <n v="1"/>
    <s v="PC"/>
    <s v="1101"/>
    <s v="Gestión pública tansparente"/>
    <s v="1101.PC.11.1.298."/>
    <m/>
    <m/>
    <m/>
    <m/>
    <e v="#DIV/0!"/>
    <m/>
    <m/>
    <x v="0"/>
    <x v="1"/>
    <x v="2"/>
    <m/>
    <m/>
    <m/>
    <m/>
    <m/>
    <m/>
    <m/>
    <m/>
    <n v="14.285714285714286"/>
    <x v="1"/>
    <x v="1"/>
    <x v="1"/>
    <x v="0"/>
    <x v="0"/>
    <x v="0"/>
    <x v="1"/>
    <x v="0"/>
    <x v="0"/>
    <x v="0"/>
    <x v="1"/>
    <x v="1"/>
    <x v="1"/>
    <x v="1"/>
    <x v="299"/>
    <x v="4"/>
    <x v="3"/>
    <x v="3"/>
    <m/>
    <m/>
    <m/>
    <s v="1101298"/>
    <m/>
    <m/>
    <m/>
    <m/>
    <m/>
    <m/>
    <m/>
    <m/>
    <m/>
    <m/>
    <m/>
    <m/>
    <m/>
    <m/>
    <m/>
    <n v="0"/>
    <n v="0"/>
    <n v="5"/>
    <n v="0"/>
    <m/>
    <n v="0"/>
    <e v="#DIV/0!"/>
    <n v="0"/>
    <m/>
    <n v="0"/>
    <e v="#DIV/0!"/>
    <n v="0"/>
    <m/>
    <n v="0"/>
    <e v="#DIV/0!"/>
    <n v="0"/>
    <m/>
    <n v="0"/>
    <e v="#DIV/0!"/>
    <n v="0"/>
    <m/>
    <n v="0"/>
    <e v="#DIV/0!"/>
  </r>
  <r>
    <x v="10"/>
    <x v="10"/>
    <x v="0"/>
    <x v="61"/>
    <x v="3"/>
    <x v="300"/>
    <x v="300"/>
    <x v="300"/>
    <x v="300"/>
    <x v="300"/>
    <x v="13"/>
    <x v="36"/>
    <x v="1"/>
    <x v="2"/>
    <x v="12"/>
    <x v="1"/>
    <m/>
    <s v="PC"/>
    <s v="1101"/>
    <s v="Gestión pública tansparente"/>
    <s v="1101.PC.11.1.299."/>
    <m/>
    <m/>
    <m/>
    <m/>
    <e v="#DIV/0!"/>
    <m/>
    <m/>
    <x v="0"/>
    <x v="1"/>
    <x v="2"/>
    <m/>
    <m/>
    <m/>
    <m/>
    <m/>
    <m/>
    <m/>
    <m/>
    <n v="14.285714285714286"/>
    <x v="1"/>
    <x v="1"/>
    <x v="1"/>
    <x v="0"/>
    <x v="0"/>
    <x v="0"/>
    <x v="1"/>
    <x v="0"/>
    <x v="0"/>
    <x v="0"/>
    <x v="1"/>
    <x v="1"/>
    <x v="1"/>
    <x v="1"/>
    <x v="300"/>
    <x v="4"/>
    <x v="3"/>
    <x v="3"/>
    <m/>
    <m/>
    <m/>
    <s v="1101299"/>
    <m/>
    <m/>
    <m/>
    <m/>
    <m/>
    <m/>
    <m/>
    <m/>
    <m/>
    <m/>
    <m/>
    <m/>
    <m/>
    <m/>
    <m/>
    <n v="0"/>
    <n v="0"/>
    <n v="5"/>
    <n v="0"/>
    <m/>
    <n v="0"/>
    <e v="#DIV/0!"/>
    <n v="0"/>
    <m/>
    <n v="0"/>
    <e v="#DIV/0!"/>
    <n v="0"/>
    <m/>
    <n v="0"/>
    <e v="#DIV/0!"/>
    <n v="0"/>
    <m/>
    <n v="0"/>
    <e v="#DIV/0!"/>
    <n v="0"/>
    <m/>
    <n v="0"/>
    <e v="#DIV/0!"/>
  </r>
  <r>
    <x v="10"/>
    <x v="10"/>
    <x v="0"/>
    <x v="61"/>
    <x v="4"/>
    <x v="301"/>
    <x v="301"/>
    <x v="301"/>
    <x v="301"/>
    <x v="301"/>
    <x v="13"/>
    <x v="36"/>
    <x v="1"/>
    <x v="2"/>
    <x v="12"/>
    <x v="1"/>
    <m/>
    <s v="PC"/>
    <s v="1101"/>
    <s v="Gestión pública tansparente"/>
    <s v="1101.PC.11.1.300."/>
    <m/>
    <m/>
    <m/>
    <m/>
    <e v="#DIV/0!"/>
    <m/>
    <m/>
    <x v="0"/>
    <x v="1"/>
    <x v="2"/>
    <m/>
    <m/>
    <m/>
    <m/>
    <m/>
    <m/>
    <m/>
    <m/>
    <n v="14.285714285714286"/>
    <x v="1"/>
    <x v="1"/>
    <x v="1"/>
    <x v="0"/>
    <x v="0"/>
    <x v="0"/>
    <x v="1"/>
    <x v="0"/>
    <x v="0"/>
    <x v="0"/>
    <x v="1"/>
    <x v="1"/>
    <x v="1"/>
    <x v="1"/>
    <x v="301"/>
    <x v="4"/>
    <x v="3"/>
    <x v="3"/>
    <m/>
    <m/>
    <m/>
    <s v="1101300"/>
    <m/>
    <m/>
    <m/>
    <m/>
    <m/>
    <m/>
    <m/>
    <m/>
    <m/>
    <m/>
    <m/>
    <m/>
    <m/>
    <m/>
    <m/>
    <n v="0"/>
    <n v="0"/>
    <n v="5"/>
    <n v="0"/>
    <m/>
    <n v="0"/>
    <e v="#DIV/0!"/>
    <n v="0"/>
    <m/>
    <n v="0"/>
    <e v="#DIV/0!"/>
    <n v="0"/>
    <m/>
    <n v="0"/>
    <e v="#DIV/0!"/>
    <n v="0"/>
    <m/>
    <n v="0"/>
    <e v="#DIV/0!"/>
    <n v="0"/>
    <m/>
    <n v="0"/>
    <e v="#DIV/0!"/>
  </r>
  <r>
    <x v="10"/>
    <x v="10"/>
    <x v="0"/>
    <x v="61"/>
    <x v="5"/>
    <x v="302"/>
    <x v="302"/>
    <x v="302"/>
    <x v="302"/>
    <x v="302"/>
    <x v="13"/>
    <x v="36"/>
    <x v="1"/>
    <x v="2"/>
    <x v="12"/>
    <x v="1"/>
    <m/>
    <s v="PC"/>
    <s v="1101"/>
    <s v="Gestión pública tansparente"/>
    <s v="1101.PC.11.1.301."/>
    <m/>
    <m/>
    <m/>
    <m/>
    <e v="#DIV/0!"/>
    <m/>
    <m/>
    <x v="0"/>
    <x v="1"/>
    <x v="2"/>
    <m/>
    <m/>
    <m/>
    <m/>
    <m/>
    <m/>
    <m/>
    <m/>
    <n v="14.285714285714286"/>
    <x v="1"/>
    <x v="1"/>
    <x v="1"/>
    <x v="0"/>
    <x v="0"/>
    <x v="0"/>
    <x v="1"/>
    <x v="0"/>
    <x v="0"/>
    <x v="0"/>
    <x v="1"/>
    <x v="1"/>
    <x v="1"/>
    <x v="1"/>
    <x v="302"/>
    <x v="4"/>
    <x v="3"/>
    <x v="3"/>
    <m/>
    <m/>
    <m/>
    <s v="1101301"/>
    <m/>
    <m/>
    <m/>
    <m/>
    <m/>
    <m/>
    <m/>
    <m/>
    <m/>
    <m/>
    <m/>
    <m/>
    <m/>
    <m/>
    <m/>
    <n v="0"/>
    <n v="0"/>
    <n v="5"/>
    <n v="0"/>
    <m/>
    <n v="0"/>
    <e v="#DIV/0!"/>
    <n v="0"/>
    <m/>
    <n v="0"/>
    <e v="#DIV/0!"/>
    <n v="0"/>
    <m/>
    <n v="0"/>
    <e v="#DIV/0!"/>
    <n v="0"/>
    <m/>
    <n v="0"/>
    <e v="#DIV/0!"/>
    <n v="0"/>
    <m/>
    <n v="0"/>
    <e v="#DIV/0!"/>
  </r>
  <r>
    <x v="10"/>
    <x v="10"/>
    <x v="0"/>
    <x v="61"/>
    <x v="6"/>
    <x v="303"/>
    <x v="303"/>
    <x v="303"/>
    <x v="303"/>
    <x v="303"/>
    <x v="13"/>
    <x v="36"/>
    <x v="0"/>
    <x v="2"/>
    <x v="12"/>
    <x v="0"/>
    <m/>
    <s v="RS"/>
    <s v="1101"/>
    <s v="Gestión pública tansparente"/>
    <s v="1101.RS.11.1.302."/>
    <m/>
    <m/>
    <m/>
    <m/>
    <e v="#DIV/0!"/>
    <m/>
    <m/>
    <x v="0"/>
    <x v="0"/>
    <x v="2"/>
    <m/>
    <m/>
    <m/>
    <m/>
    <m/>
    <m/>
    <m/>
    <m/>
    <n v="14.285714285714286"/>
    <x v="0"/>
    <x v="0"/>
    <x v="0"/>
    <x v="0"/>
    <x v="0"/>
    <x v="0"/>
    <x v="0"/>
    <x v="0"/>
    <x v="0"/>
    <x v="0"/>
    <x v="1"/>
    <x v="1"/>
    <x v="1"/>
    <x v="1"/>
    <x v="303"/>
    <x v="4"/>
    <x v="3"/>
    <x v="3"/>
    <m/>
    <m/>
    <m/>
    <s v="1101302"/>
    <m/>
    <m/>
    <m/>
    <m/>
    <m/>
    <m/>
    <m/>
    <m/>
    <m/>
    <m/>
    <m/>
    <m/>
    <m/>
    <m/>
    <m/>
    <n v="0"/>
    <n v="0"/>
    <n v="5"/>
    <n v="0"/>
    <m/>
    <n v="0"/>
    <e v="#DIV/0!"/>
    <n v="0"/>
    <m/>
    <n v="0"/>
    <e v="#DIV/0!"/>
    <n v="0"/>
    <m/>
    <n v="0"/>
    <e v="#DIV/0!"/>
    <n v="0"/>
    <m/>
    <n v="0"/>
    <e v="#DIV/0!"/>
    <n v="0"/>
    <m/>
    <n v="0"/>
    <e v="#DIV/0!"/>
  </r>
  <r>
    <x v="10"/>
    <x v="10"/>
    <x v="1"/>
    <x v="62"/>
    <x v="0"/>
    <x v="304"/>
    <x v="304"/>
    <x v="304"/>
    <x v="304"/>
    <x v="304"/>
    <x v="13"/>
    <x v="37"/>
    <x v="0"/>
    <x v="2"/>
    <x v="3"/>
    <x v="1"/>
    <m/>
    <s v="RS"/>
    <s v="1102"/>
    <s v="Sistema judicial transparente"/>
    <s v="1102.RS.11.2.303."/>
    <m/>
    <m/>
    <m/>
    <m/>
    <e v="#DIV/0!"/>
    <m/>
    <m/>
    <x v="0"/>
    <x v="1"/>
    <x v="25"/>
    <m/>
    <m/>
    <m/>
    <m/>
    <m/>
    <m/>
    <m/>
    <m/>
    <n v="20"/>
    <x v="0"/>
    <x v="0"/>
    <x v="1"/>
    <x v="0"/>
    <x v="1"/>
    <x v="0"/>
    <x v="0"/>
    <x v="0"/>
    <x v="0"/>
    <x v="0"/>
    <x v="1"/>
    <x v="1"/>
    <x v="1"/>
    <x v="1"/>
    <x v="304"/>
    <x v="4"/>
    <x v="3"/>
    <x v="3"/>
    <m/>
    <m/>
    <m/>
    <s v="1102303"/>
    <m/>
    <m/>
    <m/>
    <m/>
    <m/>
    <m/>
    <m/>
    <m/>
    <m/>
    <m/>
    <m/>
    <m/>
    <m/>
    <m/>
    <m/>
    <n v="0"/>
    <n v="0"/>
    <n v="5"/>
    <n v="0"/>
    <m/>
    <n v="0"/>
    <e v="#DIV/0!"/>
    <n v="0"/>
    <m/>
    <n v="0"/>
    <e v="#DIV/0!"/>
    <n v="0"/>
    <m/>
    <n v="0"/>
    <e v="#DIV/0!"/>
    <n v="0"/>
    <m/>
    <n v="0"/>
    <e v="#DIV/0!"/>
    <n v="0"/>
    <m/>
    <n v="0"/>
    <e v="#DIV/0!"/>
  </r>
  <r>
    <x v="10"/>
    <x v="10"/>
    <x v="1"/>
    <x v="62"/>
    <x v="1"/>
    <x v="305"/>
    <x v="305"/>
    <x v="305"/>
    <x v="305"/>
    <x v="305"/>
    <x v="13"/>
    <x v="37"/>
    <x v="2"/>
    <x v="2"/>
    <x v="3"/>
    <x v="1"/>
    <m/>
    <s v="PD"/>
    <s v="1102"/>
    <s v="Sistema judicial transparente"/>
    <s v="1102.PD.11.2.304."/>
    <m/>
    <m/>
    <m/>
    <m/>
    <e v="#DIV/0!"/>
    <m/>
    <m/>
    <x v="0"/>
    <x v="1"/>
    <x v="2"/>
    <m/>
    <m/>
    <m/>
    <m/>
    <m/>
    <m/>
    <m/>
    <m/>
    <n v="20"/>
    <x v="1"/>
    <x v="1"/>
    <x v="1"/>
    <x v="0"/>
    <x v="0"/>
    <x v="0"/>
    <x v="1"/>
    <x v="0"/>
    <x v="0"/>
    <x v="0"/>
    <x v="1"/>
    <x v="1"/>
    <x v="1"/>
    <x v="1"/>
    <x v="305"/>
    <x v="4"/>
    <x v="3"/>
    <x v="3"/>
    <m/>
    <m/>
    <m/>
    <s v="1102304"/>
    <m/>
    <m/>
    <m/>
    <m/>
    <m/>
    <m/>
    <m/>
    <m/>
    <m/>
    <m/>
    <m/>
    <m/>
    <m/>
    <m/>
    <m/>
    <n v="0"/>
    <n v="0"/>
    <n v="5"/>
    <n v="0"/>
    <m/>
    <n v="0"/>
    <e v="#DIV/0!"/>
    <n v="0"/>
    <m/>
    <n v="0"/>
    <e v="#DIV/0!"/>
    <n v="0"/>
    <m/>
    <n v="0"/>
    <e v="#DIV/0!"/>
    <n v="0"/>
    <m/>
    <n v="0"/>
    <e v="#DIV/0!"/>
    <n v="0"/>
    <m/>
    <n v="0"/>
    <e v="#DIV/0!"/>
  </r>
  <r>
    <x v="10"/>
    <x v="10"/>
    <x v="1"/>
    <x v="62"/>
    <x v="2"/>
    <x v="306"/>
    <x v="306"/>
    <x v="306"/>
    <x v="306"/>
    <x v="306"/>
    <x v="13"/>
    <x v="37"/>
    <x v="0"/>
    <x v="2"/>
    <x v="3"/>
    <x v="0"/>
    <m/>
    <s v="RS"/>
    <s v="1102"/>
    <s v="Sistema judicial transparente"/>
    <s v="1102.RS.11.2.305."/>
    <m/>
    <m/>
    <m/>
    <m/>
    <e v="#DIV/0!"/>
    <m/>
    <m/>
    <x v="0"/>
    <x v="1"/>
    <x v="25"/>
    <m/>
    <m/>
    <m/>
    <m/>
    <m/>
    <m/>
    <m/>
    <m/>
    <n v="20"/>
    <x v="0"/>
    <x v="0"/>
    <x v="0"/>
    <x v="0"/>
    <x v="0"/>
    <x v="0"/>
    <x v="0"/>
    <x v="0"/>
    <x v="0"/>
    <x v="0"/>
    <x v="1"/>
    <x v="1"/>
    <x v="1"/>
    <x v="1"/>
    <x v="306"/>
    <x v="4"/>
    <x v="3"/>
    <x v="3"/>
    <m/>
    <m/>
    <m/>
    <s v="1102305"/>
    <m/>
    <m/>
    <m/>
    <m/>
    <m/>
    <m/>
    <m/>
    <m/>
    <m/>
    <m/>
    <m/>
    <m/>
    <m/>
    <m/>
    <m/>
    <n v="0"/>
    <n v="0"/>
    <n v="5"/>
    <n v="0"/>
    <m/>
    <n v="0"/>
    <e v="#DIV/0!"/>
    <n v="0"/>
    <m/>
    <n v="0"/>
    <e v="#DIV/0!"/>
    <n v="0"/>
    <m/>
    <n v="0"/>
    <e v="#DIV/0!"/>
    <n v="0"/>
    <m/>
    <n v="0"/>
    <e v="#DIV/0!"/>
    <n v="0"/>
    <m/>
    <n v="0"/>
    <e v="#DIV/0!"/>
  </r>
  <r>
    <x v="10"/>
    <x v="10"/>
    <x v="1"/>
    <x v="62"/>
    <x v="3"/>
    <x v="307"/>
    <x v="307"/>
    <x v="307"/>
    <x v="307"/>
    <x v="307"/>
    <x v="13"/>
    <x v="37"/>
    <x v="0"/>
    <x v="2"/>
    <x v="3"/>
    <x v="0"/>
    <m/>
    <s v="RS"/>
    <s v="1102"/>
    <s v="Sistema judicial transparente"/>
    <s v="1102.RS.11.2.306."/>
    <m/>
    <m/>
    <m/>
    <m/>
    <e v="#DIV/0!"/>
    <m/>
    <m/>
    <x v="0"/>
    <x v="1"/>
    <x v="25"/>
    <m/>
    <m/>
    <m/>
    <m/>
    <m/>
    <m/>
    <m/>
    <m/>
    <n v="20"/>
    <x v="0"/>
    <x v="0"/>
    <x v="0"/>
    <x v="0"/>
    <x v="0"/>
    <x v="0"/>
    <x v="0"/>
    <x v="0"/>
    <x v="0"/>
    <x v="0"/>
    <x v="1"/>
    <x v="1"/>
    <x v="1"/>
    <x v="1"/>
    <x v="307"/>
    <x v="4"/>
    <x v="3"/>
    <x v="3"/>
    <m/>
    <m/>
    <m/>
    <s v="1102306"/>
    <m/>
    <m/>
    <m/>
    <m/>
    <m/>
    <m/>
    <m/>
    <m/>
    <m/>
    <m/>
    <m/>
    <m/>
    <m/>
    <m/>
    <m/>
    <n v="0"/>
    <n v="0"/>
    <n v="5"/>
    <n v="0"/>
    <m/>
    <n v="0"/>
    <e v="#DIV/0!"/>
    <n v="0"/>
    <m/>
    <n v="0"/>
    <e v="#DIV/0!"/>
    <n v="0"/>
    <m/>
    <n v="0"/>
    <e v="#DIV/0!"/>
    <n v="0"/>
    <m/>
    <n v="0"/>
    <e v="#DIV/0!"/>
    <n v="0"/>
    <m/>
    <n v="0"/>
    <e v="#DIV/0!"/>
  </r>
  <r>
    <x v="10"/>
    <x v="10"/>
    <x v="1"/>
    <x v="62"/>
    <x v="4"/>
    <x v="308"/>
    <x v="308"/>
    <x v="308"/>
    <x v="308"/>
    <x v="308"/>
    <x v="13"/>
    <x v="37"/>
    <x v="0"/>
    <x v="2"/>
    <x v="3"/>
    <x v="1"/>
    <m/>
    <s v="RS"/>
    <s v="1102"/>
    <s v="Sistema judicial transparente"/>
    <s v="1102.RS.11.2.307."/>
    <m/>
    <m/>
    <m/>
    <m/>
    <e v="#DIV/0!"/>
    <m/>
    <m/>
    <x v="0"/>
    <x v="1"/>
    <x v="25"/>
    <m/>
    <m/>
    <m/>
    <m/>
    <m/>
    <m/>
    <m/>
    <m/>
    <n v="20"/>
    <x v="0"/>
    <x v="0"/>
    <x v="1"/>
    <x v="0"/>
    <x v="1"/>
    <x v="0"/>
    <x v="0"/>
    <x v="0"/>
    <x v="0"/>
    <x v="0"/>
    <x v="1"/>
    <x v="1"/>
    <x v="1"/>
    <x v="1"/>
    <x v="308"/>
    <x v="4"/>
    <x v="3"/>
    <x v="3"/>
    <m/>
    <m/>
    <m/>
    <s v="1102307"/>
    <m/>
    <m/>
    <m/>
    <m/>
    <m/>
    <m/>
    <m/>
    <m/>
    <m/>
    <m/>
    <m/>
    <m/>
    <m/>
    <m/>
    <m/>
    <n v="0"/>
    <n v="0"/>
    <n v="5"/>
    <n v="0"/>
    <m/>
    <n v="0"/>
    <e v="#DIV/0!"/>
    <n v="0"/>
    <m/>
    <n v="0"/>
    <e v="#DIV/0!"/>
    <n v="0"/>
    <m/>
    <n v="0"/>
    <e v="#DIV/0!"/>
    <n v="0"/>
    <m/>
    <n v="0"/>
    <e v="#DIV/0!"/>
    <n v="0"/>
    <m/>
    <n v="0"/>
    <e v="#DIV/0!"/>
  </r>
  <r>
    <x v="10"/>
    <x v="10"/>
    <x v="2"/>
    <x v="63"/>
    <x v="0"/>
    <x v="309"/>
    <x v="309"/>
    <x v="309"/>
    <x v="309"/>
    <x v="309"/>
    <x v="13"/>
    <x v="38"/>
    <x v="0"/>
    <x v="2"/>
    <x v="3"/>
    <x v="1"/>
    <m/>
    <s v="RS"/>
    <s v="1103"/>
    <s v="Seguridad Ciudadana para una Vida sin Violencia"/>
    <s v="1103.RS.11.3.308."/>
    <m/>
    <m/>
    <m/>
    <m/>
    <e v="#DIV/0!"/>
    <m/>
    <m/>
    <x v="0"/>
    <x v="1"/>
    <x v="25"/>
    <m/>
    <m/>
    <m/>
    <m/>
    <m/>
    <m/>
    <m/>
    <m/>
    <n v="11.111111111111111"/>
    <x v="0"/>
    <x v="0"/>
    <x v="1"/>
    <x v="0"/>
    <x v="1"/>
    <x v="0"/>
    <x v="0"/>
    <x v="0"/>
    <x v="0"/>
    <x v="0"/>
    <x v="1"/>
    <x v="1"/>
    <x v="0"/>
    <x v="1"/>
    <x v="309"/>
    <x v="4"/>
    <x v="3"/>
    <x v="3"/>
    <m/>
    <m/>
    <m/>
    <s v="1103308"/>
    <m/>
    <m/>
    <m/>
    <m/>
    <m/>
    <m/>
    <m/>
    <m/>
    <m/>
    <m/>
    <m/>
    <m/>
    <m/>
    <m/>
    <m/>
    <n v="0"/>
    <n v="0"/>
    <n v="5"/>
    <n v="0"/>
    <m/>
    <n v="0"/>
    <e v="#DIV/0!"/>
    <n v="0"/>
    <m/>
    <n v="0"/>
    <e v="#DIV/0!"/>
    <n v="0"/>
    <m/>
    <n v="0"/>
    <e v="#DIV/0!"/>
    <n v="0"/>
    <m/>
    <n v="0"/>
    <e v="#DIV/0!"/>
    <n v="0"/>
    <m/>
    <n v="0"/>
    <e v="#DIV/0!"/>
  </r>
  <r>
    <x v="10"/>
    <x v="10"/>
    <x v="2"/>
    <x v="63"/>
    <x v="1"/>
    <x v="310"/>
    <x v="310"/>
    <x v="310"/>
    <x v="310"/>
    <x v="310"/>
    <x v="13"/>
    <x v="38"/>
    <x v="1"/>
    <x v="2"/>
    <x v="3"/>
    <x v="1"/>
    <m/>
    <s v="PC"/>
    <s v="1103"/>
    <s v="Seguridad Ciudadana para una Vida sin Violencia"/>
    <s v="1103.PC.11.3.309."/>
    <m/>
    <m/>
    <m/>
    <m/>
    <e v="#DIV/0!"/>
    <m/>
    <m/>
    <x v="0"/>
    <x v="1"/>
    <x v="2"/>
    <m/>
    <m/>
    <m/>
    <m/>
    <m/>
    <m/>
    <m/>
    <m/>
    <n v="11.111111111111111"/>
    <x v="1"/>
    <x v="1"/>
    <x v="1"/>
    <x v="0"/>
    <x v="0"/>
    <x v="0"/>
    <x v="1"/>
    <x v="0"/>
    <x v="0"/>
    <x v="0"/>
    <x v="1"/>
    <x v="1"/>
    <x v="1"/>
    <x v="1"/>
    <x v="310"/>
    <x v="4"/>
    <x v="3"/>
    <x v="3"/>
    <m/>
    <m/>
    <m/>
    <s v="1103309"/>
    <m/>
    <m/>
    <m/>
    <m/>
    <m/>
    <m/>
    <m/>
    <m/>
    <m/>
    <m/>
    <m/>
    <m/>
    <m/>
    <m/>
    <m/>
    <n v="0"/>
    <n v="0"/>
    <n v="5"/>
    <n v="0"/>
    <m/>
    <n v="0"/>
    <e v="#DIV/0!"/>
    <n v="0"/>
    <m/>
    <n v="0"/>
    <e v="#DIV/0!"/>
    <n v="0"/>
    <m/>
    <n v="0"/>
    <e v="#DIV/0!"/>
    <n v="0"/>
    <m/>
    <n v="0"/>
    <e v="#DIV/0!"/>
    <n v="0"/>
    <m/>
    <n v="0"/>
    <e v="#DIV/0!"/>
  </r>
  <r>
    <x v="10"/>
    <x v="10"/>
    <x v="2"/>
    <x v="63"/>
    <x v="2"/>
    <x v="311"/>
    <x v="311"/>
    <x v="311"/>
    <x v="311"/>
    <x v="311"/>
    <x v="13"/>
    <x v="38"/>
    <x v="2"/>
    <x v="2"/>
    <x v="3"/>
    <x v="1"/>
    <m/>
    <s v="PD"/>
    <s v="1103"/>
    <s v="Seguridad Ciudadana para una Vida sin Violencia"/>
    <s v="1103.PD.11.3.310."/>
    <m/>
    <m/>
    <m/>
    <m/>
    <e v="#DIV/0!"/>
    <m/>
    <m/>
    <x v="0"/>
    <x v="1"/>
    <x v="2"/>
    <m/>
    <m/>
    <m/>
    <m/>
    <m/>
    <m/>
    <m/>
    <m/>
    <n v="11.111111111111111"/>
    <x v="1"/>
    <x v="1"/>
    <x v="1"/>
    <x v="0"/>
    <x v="0"/>
    <x v="0"/>
    <x v="1"/>
    <x v="0"/>
    <x v="0"/>
    <x v="0"/>
    <x v="1"/>
    <x v="1"/>
    <x v="1"/>
    <x v="1"/>
    <x v="311"/>
    <x v="4"/>
    <x v="3"/>
    <x v="3"/>
    <m/>
    <m/>
    <m/>
    <s v="1103310"/>
    <m/>
    <m/>
    <m/>
    <m/>
    <m/>
    <m/>
    <m/>
    <m/>
    <m/>
    <m/>
    <m/>
    <m/>
    <m/>
    <m/>
    <m/>
    <n v="0"/>
    <n v="0"/>
    <n v="5"/>
    <n v="0"/>
    <m/>
    <n v="0"/>
    <e v="#DIV/0!"/>
    <n v="0"/>
    <m/>
    <n v="0"/>
    <e v="#DIV/0!"/>
    <n v="0"/>
    <m/>
    <n v="0"/>
    <e v="#DIV/0!"/>
    <n v="0"/>
    <m/>
    <n v="0"/>
    <e v="#DIV/0!"/>
    <n v="0"/>
    <m/>
    <n v="0"/>
    <e v="#DIV/0!"/>
  </r>
  <r>
    <x v="10"/>
    <x v="10"/>
    <x v="2"/>
    <x v="63"/>
    <x v="3"/>
    <x v="312"/>
    <x v="312"/>
    <x v="312"/>
    <x v="312"/>
    <x v="312"/>
    <x v="13"/>
    <x v="38"/>
    <x v="0"/>
    <x v="2"/>
    <x v="3"/>
    <x v="1"/>
    <m/>
    <s v="RS"/>
    <s v="1103"/>
    <s v="Seguridad Ciudadana para una Vida sin Violencia"/>
    <s v="1103.RS.11.3.311."/>
    <m/>
    <m/>
    <m/>
    <m/>
    <e v="#DIV/0!"/>
    <m/>
    <m/>
    <x v="0"/>
    <x v="1"/>
    <x v="5"/>
    <m/>
    <m/>
    <m/>
    <m/>
    <m/>
    <m/>
    <m/>
    <m/>
    <n v="11.111111111111111"/>
    <x v="0"/>
    <x v="0"/>
    <x v="1"/>
    <x v="0"/>
    <x v="1"/>
    <x v="0"/>
    <x v="0"/>
    <x v="0"/>
    <x v="0"/>
    <x v="0"/>
    <x v="1"/>
    <x v="1"/>
    <x v="0"/>
    <x v="1"/>
    <x v="312"/>
    <x v="4"/>
    <x v="3"/>
    <x v="3"/>
    <m/>
    <m/>
    <m/>
    <s v="1103311"/>
    <m/>
    <m/>
    <m/>
    <m/>
    <m/>
    <m/>
    <m/>
    <m/>
    <m/>
    <m/>
    <m/>
    <m/>
    <m/>
    <m/>
    <m/>
    <n v="0"/>
    <n v="0"/>
    <n v="5"/>
    <n v="0"/>
    <m/>
    <n v="0"/>
    <e v="#DIV/0!"/>
    <n v="0"/>
    <m/>
    <n v="0"/>
    <e v="#DIV/0!"/>
    <n v="0"/>
    <m/>
    <n v="0"/>
    <e v="#DIV/0!"/>
    <n v="0"/>
    <m/>
    <n v="0"/>
    <e v="#DIV/0!"/>
    <n v="0"/>
    <m/>
    <n v="0"/>
    <e v="#DIV/0!"/>
  </r>
  <r>
    <x v="10"/>
    <x v="10"/>
    <x v="2"/>
    <x v="63"/>
    <x v="4"/>
    <x v="313"/>
    <x v="313"/>
    <x v="313"/>
    <x v="313"/>
    <x v="313"/>
    <x v="13"/>
    <x v="38"/>
    <x v="1"/>
    <x v="2"/>
    <x v="3"/>
    <x v="1"/>
    <m/>
    <s v="PC"/>
    <s v="1103"/>
    <s v="Seguridad Ciudadana para una Vida sin Violencia"/>
    <s v="1103.PC.11.3.312."/>
    <m/>
    <m/>
    <m/>
    <m/>
    <e v="#DIV/0!"/>
    <m/>
    <m/>
    <x v="0"/>
    <x v="1"/>
    <x v="2"/>
    <m/>
    <m/>
    <m/>
    <m/>
    <m/>
    <m/>
    <m/>
    <m/>
    <n v="11.111111111111111"/>
    <x v="1"/>
    <x v="1"/>
    <x v="1"/>
    <x v="0"/>
    <x v="0"/>
    <x v="0"/>
    <x v="1"/>
    <x v="0"/>
    <x v="0"/>
    <x v="0"/>
    <x v="1"/>
    <x v="1"/>
    <x v="1"/>
    <x v="1"/>
    <x v="313"/>
    <x v="4"/>
    <x v="3"/>
    <x v="3"/>
    <m/>
    <m/>
    <m/>
    <s v="1103312"/>
    <m/>
    <m/>
    <m/>
    <m/>
    <m/>
    <m/>
    <m/>
    <m/>
    <m/>
    <m/>
    <m/>
    <m/>
    <m/>
    <m/>
    <m/>
    <n v="0"/>
    <n v="0"/>
    <n v="5"/>
    <n v="0"/>
    <m/>
    <n v="0"/>
    <e v="#DIV/0!"/>
    <n v="0"/>
    <m/>
    <n v="0"/>
    <e v="#DIV/0!"/>
    <n v="0"/>
    <m/>
    <n v="0"/>
    <e v="#DIV/0!"/>
    <n v="0"/>
    <m/>
    <n v="0"/>
    <e v="#DIV/0!"/>
    <n v="0"/>
    <m/>
    <n v="0"/>
    <e v="#DIV/0!"/>
  </r>
  <r>
    <x v="10"/>
    <x v="10"/>
    <x v="2"/>
    <x v="63"/>
    <x v="5"/>
    <x v="314"/>
    <x v="314"/>
    <x v="314"/>
    <x v="314"/>
    <x v="314"/>
    <x v="13"/>
    <x v="38"/>
    <x v="0"/>
    <x v="2"/>
    <x v="3"/>
    <x v="0"/>
    <m/>
    <s v="RS"/>
    <s v="1103"/>
    <s v="Seguridad Ciudadana para una Vida sin Violencia"/>
    <s v="1103.RS.11.3.313."/>
    <m/>
    <m/>
    <m/>
    <m/>
    <e v="#DIV/0!"/>
    <m/>
    <m/>
    <x v="0"/>
    <x v="1"/>
    <x v="5"/>
    <m/>
    <m/>
    <m/>
    <m/>
    <m/>
    <m/>
    <m/>
    <m/>
    <n v="11.111111111111111"/>
    <x v="0"/>
    <x v="0"/>
    <x v="0"/>
    <x v="0"/>
    <x v="0"/>
    <x v="0"/>
    <x v="0"/>
    <x v="0"/>
    <x v="0"/>
    <x v="0"/>
    <x v="0"/>
    <x v="0"/>
    <x v="0"/>
    <x v="1"/>
    <x v="314"/>
    <x v="4"/>
    <x v="3"/>
    <x v="3"/>
    <m/>
    <m/>
    <m/>
    <s v="1103313"/>
    <m/>
    <m/>
    <m/>
    <m/>
    <m/>
    <m/>
    <m/>
    <m/>
    <m/>
    <m/>
    <m/>
    <m/>
    <m/>
    <m/>
    <m/>
    <n v="0"/>
    <n v="0"/>
    <n v="5"/>
    <n v="0"/>
    <m/>
    <n v="0"/>
    <e v="#DIV/0!"/>
    <n v="0"/>
    <m/>
    <n v="0"/>
    <e v="#DIV/0!"/>
    <n v="0"/>
    <m/>
    <n v="0"/>
    <e v="#DIV/0!"/>
    <n v="0"/>
    <m/>
    <n v="0"/>
    <e v="#DIV/0!"/>
    <n v="0"/>
    <m/>
    <n v="0"/>
    <e v="#DIV/0!"/>
  </r>
  <r>
    <x v="10"/>
    <x v="10"/>
    <x v="2"/>
    <x v="63"/>
    <x v="6"/>
    <x v="315"/>
    <x v="315"/>
    <x v="315"/>
    <x v="315"/>
    <x v="315"/>
    <x v="13"/>
    <x v="38"/>
    <x v="0"/>
    <x v="2"/>
    <x v="3"/>
    <x v="0"/>
    <m/>
    <s v="RS"/>
    <s v="1103"/>
    <s v="Seguridad Ciudadana para una Vida sin Violencia"/>
    <s v="1103.RS.11.3.314."/>
    <m/>
    <m/>
    <m/>
    <m/>
    <e v="#DIV/0!"/>
    <m/>
    <m/>
    <x v="0"/>
    <x v="1"/>
    <x v="5"/>
    <m/>
    <m/>
    <m/>
    <m/>
    <m/>
    <m/>
    <m/>
    <m/>
    <n v="11.111111111111111"/>
    <x v="0"/>
    <x v="0"/>
    <x v="1"/>
    <x v="0"/>
    <x v="1"/>
    <x v="0"/>
    <x v="0"/>
    <x v="0"/>
    <x v="0"/>
    <x v="1"/>
    <x v="1"/>
    <x v="0"/>
    <x v="0"/>
    <x v="1"/>
    <x v="315"/>
    <x v="4"/>
    <x v="3"/>
    <x v="3"/>
    <m/>
    <m/>
    <m/>
    <s v="1103314"/>
    <m/>
    <m/>
    <m/>
    <m/>
    <m/>
    <m/>
    <m/>
    <m/>
    <m/>
    <m/>
    <m/>
    <m/>
    <m/>
    <m/>
    <m/>
    <n v="0"/>
    <n v="0"/>
    <n v="5"/>
    <n v="0"/>
    <m/>
    <n v="0"/>
    <e v="#DIV/0!"/>
    <n v="0"/>
    <m/>
    <n v="0"/>
    <e v="#DIV/0!"/>
    <n v="0"/>
    <m/>
    <n v="0"/>
    <e v="#DIV/0!"/>
    <n v="0"/>
    <m/>
    <n v="0"/>
    <e v="#DIV/0!"/>
    <n v="0"/>
    <m/>
    <n v="0"/>
    <e v="#DIV/0!"/>
  </r>
  <r>
    <x v="10"/>
    <x v="10"/>
    <x v="2"/>
    <x v="63"/>
    <x v="7"/>
    <x v="316"/>
    <x v="316"/>
    <x v="316"/>
    <x v="316"/>
    <x v="316"/>
    <x v="13"/>
    <x v="38"/>
    <x v="0"/>
    <x v="2"/>
    <x v="3"/>
    <x v="1"/>
    <m/>
    <s v="RS"/>
    <s v="1103"/>
    <s v="Seguridad Ciudadana para una Vida sin Violencia"/>
    <s v="1103.RS.11.3.315."/>
    <m/>
    <m/>
    <m/>
    <m/>
    <e v="#DIV/0!"/>
    <m/>
    <m/>
    <x v="0"/>
    <x v="1"/>
    <x v="5"/>
    <m/>
    <m/>
    <m/>
    <m/>
    <m/>
    <m/>
    <m/>
    <m/>
    <n v="11.111111111111111"/>
    <x v="0"/>
    <x v="0"/>
    <x v="1"/>
    <x v="0"/>
    <x v="1"/>
    <x v="0"/>
    <x v="0"/>
    <x v="0"/>
    <x v="0"/>
    <x v="0"/>
    <x v="1"/>
    <x v="1"/>
    <x v="0"/>
    <x v="1"/>
    <x v="316"/>
    <x v="4"/>
    <x v="3"/>
    <x v="3"/>
    <m/>
    <m/>
    <m/>
    <s v="1103315"/>
    <m/>
    <m/>
    <m/>
    <m/>
    <m/>
    <m/>
    <m/>
    <m/>
    <m/>
    <m/>
    <m/>
    <m/>
    <m/>
    <m/>
    <m/>
    <n v="0"/>
    <n v="0"/>
    <n v="5"/>
    <n v="0"/>
    <m/>
    <n v="0"/>
    <e v="#DIV/0!"/>
    <n v="0"/>
    <m/>
    <n v="0"/>
    <e v="#DIV/0!"/>
    <n v="0"/>
    <m/>
    <n v="0"/>
    <e v="#DIV/0!"/>
    <n v="0"/>
    <m/>
    <n v="0"/>
    <e v="#DIV/0!"/>
    <n v="0"/>
    <m/>
    <n v="0"/>
    <e v="#DIV/0!"/>
  </r>
  <r>
    <x v="10"/>
    <x v="10"/>
    <x v="2"/>
    <x v="63"/>
    <x v="8"/>
    <x v="317"/>
    <x v="317"/>
    <x v="317"/>
    <x v="317"/>
    <x v="317"/>
    <x v="13"/>
    <x v="38"/>
    <x v="1"/>
    <x v="2"/>
    <x v="4"/>
    <x v="1"/>
    <m/>
    <s v="PC"/>
    <s v="1103"/>
    <s v="Seguridad Ciudadana para una Vida sin Violencia"/>
    <s v="1103.PC.11.3.316."/>
    <m/>
    <m/>
    <m/>
    <m/>
    <e v="#DIV/0!"/>
    <m/>
    <m/>
    <x v="0"/>
    <x v="1"/>
    <x v="2"/>
    <m/>
    <m/>
    <m/>
    <m/>
    <m/>
    <m/>
    <m/>
    <m/>
    <n v="11.111111111111111"/>
    <x v="1"/>
    <x v="1"/>
    <x v="1"/>
    <x v="0"/>
    <x v="0"/>
    <x v="0"/>
    <x v="1"/>
    <x v="0"/>
    <x v="0"/>
    <x v="0"/>
    <x v="1"/>
    <x v="1"/>
    <x v="1"/>
    <x v="1"/>
    <x v="317"/>
    <x v="4"/>
    <x v="3"/>
    <x v="3"/>
    <m/>
    <m/>
    <m/>
    <s v="1103316"/>
    <m/>
    <m/>
    <m/>
    <m/>
    <m/>
    <m/>
    <m/>
    <m/>
    <m/>
    <m/>
    <m/>
    <m/>
    <m/>
    <m/>
    <m/>
    <n v="0"/>
    <n v="0"/>
    <n v="5"/>
    <n v="0"/>
    <m/>
    <n v="0"/>
    <e v="#DIV/0!"/>
    <n v="0"/>
    <m/>
    <n v="0"/>
    <e v="#DIV/0!"/>
    <n v="0"/>
    <m/>
    <n v="0"/>
    <e v="#DIV/0!"/>
    <n v="0"/>
    <m/>
    <n v="0"/>
    <e v="#DIV/0!"/>
    <n v="0"/>
    <m/>
    <n v="0"/>
    <e v="#DIV/0!"/>
  </r>
  <r>
    <x v="10"/>
    <x v="10"/>
    <x v="3"/>
    <x v="64"/>
    <x v="0"/>
    <x v="318"/>
    <x v="318"/>
    <x v="318"/>
    <x v="318"/>
    <x v="318"/>
    <x v="13"/>
    <x v="39"/>
    <x v="0"/>
    <x v="2"/>
    <x v="4"/>
    <x v="1"/>
    <m/>
    <s v="RS"/>
    <s v="1104"/>
    <s v="Defensa integral del Estado"/>
    <s v="1104.RS.11.4.317."/>
    <m/>
    <m/>
    <m/>
    <m/>
    <e v="#DIV/0!"/>
    <m/>
    <m/>
    <x v="0"/>
    <x v="1"/>
    <x v="26"/>
    <m/>
    <m/>
    <m/>
    <m/>
    <m/>
    <m/>
    <m/>
    <m/>
    <n v="16.666666666666668"/>
    <x v="0"/>
    <x v="0"/>
    <x v="1"/>
    <x v="0"/>
    <x v="1"/>
    <x v="0"/>
    <x v="0"/>
    <x v="0"/>
    <x v="0"/>
    <x v="0"/>
    <x v="1"/>
    <x v="1"/>
    <x v="1"/>
    <x v="1"/>
    <x v="318"/>
    <x v="4"/>
    <x v="3"/>
    <x v="3"/>
    <m/>
    <m/>
    <m/>
    <s v="1104317"/>
    <m/>
    <m/>
    <m/>
    <m/>
    <m/>
    <m/>
    <m/>
    <m/>
    <m/>
    <m/>
    <m/>
    <m/>
    <m/>
    <m/>
    <m/>
    <n v="0"/>
    <n v="0"/>
    <n v="5"/>
    <n v="0"/>
    <m/>
    <n v="0"/>
    <e v="#DIV/0!"/>
    <n v="0"/>
    <m/>
    <n v="0"/>
    <e v="#DIV/0!"/>
    <n v="0"/>
    <m/>
    <n v="0"/>
    <e v="#DIV/0!"/>
    <n v="0"/>
    <m/>
    <n v="0"/>
    <e v="#DIV/0!"/>
    <n v="0"/>
    <m/>
    <n v="0"/>
    <e v="#DIV/0!"/>
  </r>
  <r>
    <x v="10"/>
    <x v="10"/>
    <x v="3"/>
    <x v="64"/>
    <x v="1"/>
    <x v="319"/>
    <x v="319"/>
    <x v="319"/>
    <x v="319"/>
    <x v="319"/>
    <x v="13"/>
    <x v="39"/>
    <x v="1"/>
    <x v="2"/>
    <x v="4"/>
    <x v="1"/>
    <m/>
    <s v="PC"/>
    <s v="1104"/>
    <s v="Defensa integral del Estado"/>
    <s v="1104.PC.11.4.318."/>
    <m/>
    <m/>
    <m/>
    <m/>
    <e v="#DIV/0!"/>
    <m/>
    <m/>
    <x v="0"/>
    <x v="1"/>
    <x v="2"/>
    <m/>
    <m/>
    <m/>
    <m/>
    <m/>
    <m/>
    <m/>
    <m/>
    <n v="16.666666666666668"/>
    <x v="1"/>
    <x v="1"/>
    <x v="1"/>
    <x v="0"/>
    <x v="0"/>
    <x v="0"/>
    <x v="1"/>
    <x v="0"/>
    <x v="0"/>
    <x v="0"/>
    <x v="1"/>
    <x v="1"/>
    <x v="1"/>
    <x v="1"/>
    <x v="319"/>
    <x v="4"/>
    <x v="3"/>
    <x v="3"/>
    <m/>
    <m/>
    <m/>
    <s v="1104318"/>
    <m/>
    <m/>
    <m/>
    <m/>
    <m/>
    <m/>
    <m/>
    <m/>
    <m/>
    <m/>
    <m/>
    <m/>
    <m/>
    <m/>
    <m/>
    <n v="0"/>
    <n v="0"/>
    <n v="5"/>
    <n v="0"/>
    <m/>
    <n v="0"/>
    <e v="#DIV/0!"/>
    <n v="0"/>
    <m/>
    <n v="0"/>
    <e v="#DIV/0!"/>
    <n v="0"/>
    <m/>
    <n v="0"/>
    <e v="#DIV/0!"/>
    <n v="0"/>
    <m/>
    <n v="0"/>
    <e v="#DIV/0!"/>
    <n v="0"/>
    <m/>
    <n v="0"/>
    <e v="#DIV/0!"/>
  </r>
  <r>
    <x v="10"/>
    <x v="10"/>
    <x v="3"/>
    <x v="64"/>
    <x v="2"/>
    <x v="320"/>
    <x v="320"/>
    <x v="320"/>
    <x v="320"/>
    <x v="320"/>
    <x v="13"/>
    <x v="39"/>
    <x v="1"/>
    <x v="2"/>
    <x v="4"/>
    <x v="1"/>
    <m/>
    <s v="PC"/>
    <s v="1104"/>
    <s v="Defensa integral del Estado"/>
    <s v="1104.PC.11.4.319."/>
    <m/>
    <m/>
    <m/>
    <m/>
    <e v="#DIV/0!"/>
    <m/>
    <m/>
    <x v="0"/>
    <x v="1"/>
    <x v="2"/>
    <m/>
    <m/>
    <m/>
    <m/>
    <m/>
    <m/>
    <m/>
    <m/>
    <n v="16.666666666666668"/>
    <x v="1"/>
    <x v="1"/>
    <x v="1"/>
    <x v="0"/>
    <x v="0"/>
    <x v="0"/>
    <x v="1"/>
    <x v="0"/>
    <x v="0"/>
    <x v="0"/>
    <x v="1"/>
    <x v="1"/>
    <x v="1"/>
    <x v="1"/>
    <x v="320"/>
    <x v="4"/>
    <x v="3"/>
    <x v="3"/>
    <m/>
    <m/>
    <m/>
    <s v="1104319"/>
    <m/>
    <m/>
    <m/>
    <m/>
    <m/>
    <m/>
    <m/>
    <m/>
    <m/>
    <m/>
    <m/>
    <m/>
    <m/>
    <m/>
    <m/>
    <n v="0"/>
    <n v="0"/>
    <n v="5"/>
    <n v="0"/>
    <m/>
    <n v="0"/>
    <e v="#DIV/0!"/>
    <n v="0"/>
    <m/>
    <n v="0"/>
    <e v="#DIV/0!"/>
    <n v="0"/>
    <m/>
    <n v="0"/>
    <e v="#DIV/0!"/>
    <n v="0"/>
    <m/>
    <n v="0"/>
    <e v="#DIV/0!"/>
    <n v="0"/>
    <m/>
    <n v="0"/>
    <e v="#DIV/0!"/>
  </r>
  <r>
    <x v="10"/>
    <x v="10"/>
    <x v="3"/>
    <x v="64"/>
    <x v="3"/>
    <x v="321"/>
    <x v="321"/>
    <x v="321"/>
    <x v="321"/>
    <x v="321"/>
    <x v="13"/>
    <x v="39"/>
    <x v="1"/>
    <x v="2"/>
    <x v="4"/>
    <x v="1"/>
    <m/>
    <s v="PC"/>
    <s v="1104"/>
    <s v="Defensa integral del Estado"/>
    <s v="1104.PC.11.4.320."/>
    <m/>
    <m/>
    <m/>
    <m/>
    <e v="#DIV/0!"/>
    <m/>
    <m/>
    <x v="0"/>
    <x v="1"/>
    <x v="2"/>
    <m/>
    <m/>
    <m/>
    <m/>
    <m/>
    <m/>
    <m/>
    <m/>
    <n v="16.666666666666668"/>
    <x v="1"/>
    <x v="1"/>
    <x v="1"/>
    <x v="0"/>
    <x v="0"/>
    <x v="0"/>
    <x v="1"/>
    <x v="0"/>
    <x v="0"/>
    <x v="0"/>
    <x v="1"/>
    <x v="1"/>
    <x v="1"/>
    <x v="1"/>
    <x v="321"/>
    <x v="4"/>
    <x v="3"/>
    <x v="3"/>
    <m/>
    <m/>
    <m/>
    <s v="1104320"/>
    <m/>
    <m/>
    <m/>
    <m/>
    <m/>
    <m/>
    <m/>
    <m/>
    <m/>
    <m/>
    <m/>
    <m/>
    <m/>
    <m/>
    <m/>
    <n v="0"/>
    <n v="0"/>
    <n v="5"/>
    <n v="0"/>
    <m/>
    <n v="0"/>
    <e v="#DIV/0!"/>
    <n v="0"/>
    <m/>
    <n v="0"/>
    <e v="#DIV/0!"/>
    <n v="0"/>
    <m/>
    <n v="0"/>
    <e v="#DIV/0!"/>
    <n v="0"/>
    <m/>
    <n v="0"/>
    <e v="#DIV/0!"/>
    <n v="0"/>
    <m/>
    <n v="0"/>
    <e v="#DIV/0!"/>
  </r>
  <r>
    <x v="10"/>
    <x v="10"/>
    <x v="3"/>
    <x v="64"/>
    <x v="4"/>
    <x v="322"/>
    <x v="322"/>
    <x v="322"/>
    <x v="322"/>
    <x v="322"/>
    <x v="13"/>
    <x v="39"/>
    <x v="1"/>
    <x v="2"/>
    <x v="4"/>
    <x v="1"/>
    <m/>
    <s v="PC"/>
    <s v="1104"/>
    <s v="Defensa integral del Estado"/>
    <s v="1104.PC.11.4.321."/>
    <m/>
    <m/>
    <m/>
    <m/>
    <e v="#DIV/0!"/>
    <m/>
    <m/>
    <x v="0"/>
    <x v="1"/>
    <x v="2"/>
    <m/>
    <m/>
    <m/>
    <m/>
    <m/>
    <m/>
    <m/>
    <m/>
    <n v="16.666666666666668"/>
    <x v="1"/>
    <x v="1"/>
    <x v="1"/>
    <x v="0"/>
    <x v="0"/>
    <x v="1"/>
    <x v="0"/>
    <x v="0"/>
    <x v="0"/>
    <x v="0"/>
    <x v="1"/>
    <x v="1"/>
    <x v="1"/>
    <x v="1"/>
    <x v="322"/>
    <x v="4"/>
    <x v="3"/>
    <x v="3"/>
    <m/>
    <m/>
    <m/>
    <s v="1104321"/>
    <m/>
    <m/>
    <m/>
    <m/>
    <m/>
    <m/>
    <m/>
    <m/>
    <m/>
    <m/>
    <m/>
    <m/>
    <m/>
    <m/>
    <m/>
    <n v="0"/>
    <n v="0"/>
    <n v="5"/>
    <n v="0"/>
    <m/>
    <n v="0"/>
    <e v="#DIV/0!"/>
    <n v="0"/>
    <m/>
    <n v="0"/>
    <e v="#DIV/0!"/>
    <n v="0"/>
    <m/>
    <n v="0"/>
    <e v="#DIV/0!"/>
    <n v="0"/>
    <m/>
    <n v="0"/>
    <e v="#DIV/0!"/>
    <n v="0"/>
    <m/>
    <n v="0"/>
    <e v="#DIV/0!"/>
  </r>
  <r>
    <x v="10"/>
    <x v="10"/>
    <x v="3"/>
    <x v="64"/>
    <x v="5"/>
    <x v="323"/>
    <x v="323"/>
    <x v="323"/>
    <x v="323"/>
    <x v="323"/>
    <x v="13"/>
    <x v="39"/>
    <x v="1"/>
    <x v="2"/>
    <x v="4"/>
    <x v="1"/>
    <m/>
    <s v="PC"/>
    <s v="1104"/>
    <s v="Defensa integral del Estado"/>
    <s v="1104.PC.11.4.322."/>
    <m/>
    <m/>
    <m/>
    <m/>
    <e v="#DIV/0!"/>
    <m/>
    <m/>
    <x v="0"/>
    <x v="1"/>
    <x v="2"/>
    <m/>
    <m/>
    <m/>
    <m/>
    <m/>
    <m/>
    <m/>
    <m/>
    <n v="16.666666666666668"/>
    <x v="1"/>
    <x v="1"/>
    <x v="1"/>
    <x v="0"/>
    <x v="0"/>
    <x v="0"/>
    <x v="1"/>
    <x v="0"/>
    <x v="0"/>
    <x v="0"/>
    <x v="1"/>
    <x v="1"/>
    <x v="1"/>
    <x v="1"/>
    <x v="323"/>
    <x v="4"/>
    <x v="3"/>
    <x v="3"/>
    <m/>
    <m/>
    <m/>
    <s v="1104322"/>
    <m/>
    <m/>
    <m/>
    <m/>
    <m/>
    <m/>
    <m/>
    <m/>
    <m/>
    <m/>
    <m/>
    <m/>
    <m/>
    <m/>
    <m/>
    <n v="0"/>
    <n v="0"/>
    <n v="5"/>
    <n v="0"/>
    <m/>
    <n v="0"/>
    <e v="#DIV/0!"/>
    <n v="0"/>
    <m/>
    <n v="0"/>
    <e v="#DIV/0!"/>
    <n v="0"/>
    <m/>
    <n v="0"/>
    <e v="#DIV/0!"/>
    <n v="0"/>
    <m/>
    <n v="0"/>
    <e v="#DIV/0!"/>
    <n v="0"/>
    <m/>
    <n v="0"/>
    <e v="#DIV/0!"/>
  </r>
  <r>
    <x v="10"/>
    <x v="10"/>
    <x v="4"/>
    <x v="65"/>
    <x v="0"/>
    <x v="324"/>
    <x v="324"/>
    <x v="324"/>
    <x v="324"/>
    <x v="324"/>
    <x v="13"/>
    <x v="40"/>
    <x v="1"/>
    <x v="2"/>
    <x v="31"/>
    <x v="1"/>
    <m/>
    <s v="PC"/>
    <s v="1105"/>
    <s v="Gobierno multinivel fortalecido, articulado, eficiente, participativo y con tecnología"/>
    <s v="1105.PC.11.5.323."/>
    <m/>
    <m/>
    <m/>
    <m/>
    <e v="#DIV/0!"/>
    <m/>
    <m/>
    <x v="0"/>
    <x v="1"/>
    <x v="2"/>
    <m/>
    <m/>
    <m/>
    <m/>
    <m/>
    <m/>
    <m/>
    <m/>
    <n v="25"/>
    <x v="1"/>
    <x v="1"/>
    <x v="1"/>
    <x v="0"/>
    <x v="0"/>
    <x v="0"/>
    <x v="1"/>
    <x v="0"/>
    <x v="0"/>
    <x v="0"/>
    <x v="1"/>
    <x v="1"/>
    <x v="1"/>
    <x v="1"/>
    <x v="324"/>
    <x v="4"/>
    <x v="3"/>
    <x v="3"/>
    <m/>
    <m/>
    <m/>
    <s v="1105323"/>
    <m/>
    <m/>
    <m/>
    <m/>
    <m/>
    <m/>
    <m/>
    <m/>
    <m/>
    <m/>
    <m/>
    <m/>
    <m/>
    <m/>
    <m/>
    <n v="0"/>
    <n v="0"/>
    <n v="5"/>
    <n v="0"/>
    <m/>
    <n v="0"/>
    <e v="#DIV/0!"/>
    <n v="0"/>
    <m/>
    <n v="0"/>
    <e v="#DIV/0!"/>
    <n v="0"/>
    <m/>
    <n v="0"/>
    <e v="#DIV/0!"/>
    <n v="0"/>
    <m/>
    <n v="0"/>
    <e v="#DIV/0!"/>
    <n v="0"/>
    <m/>
    <n v="0"/>
    <e v="#DIV/0!"/>
  </r>
  <r>
    <x v="10"/>
    <x v="10"/>
    <x v="4"/>
    <x v="65"/>
    <x v="1"/>
    <x v="325"/>
    <x v="325"/>
    <x v="325"/>
    <x v="325"/>
    <x v="325"/>
    <x v="13"/>
    <x v="40"/>
    <x v="2"/>
    <x v="2"/>
    <x v="31"/>
    <x v="1"/>
    <m/>
    <s v="PD"/>
    <s v="1105"/>
    <s v="Gobierno multinivel fortalecido, articulado, eficiente, participativo y con tecnología"/>
    <s v="1105.PD.11.5.324."/>
    <m/>
    <m/>
    <m/>
    <m/>
    <e v="#DIV/0!"/>
    <m/>
    <m/>
    <x v="0"/>
    <x v="1"/>
    <x v="2"/>
    <m/>
    <m/>
    <m/>
    <m/>
    <m/>
    <m/>
    <m/>
    <m/>
    <n v="25"/>
    <x v="1"/>
    <x v="1"/>
    <x v="1"/>
    <x v="0"/>
    <x v="0"/>
    <x v="0"/>
    <x v="1"/>
    <x v="0"/>
    <x v="0"/>
    <x v="0"/>
    <x v="1"/>
    <x v="1"/>
    <x v="1"/>
    <x v="1"/>
    <x v="325"/>
    <x v="4"/>
    <x v="3"/>
    <x v="3"/>
    <m/>
    <m/>
    <m/>
    <s v="1105324"/>
    <m/>
    <m/>
    <m/>
    <m/>
    <m/>
    <m/>
    <m/>
    <m/>
    <m/>
    <m/>
    <m/>
    <m/>
    <m/>
    <m/>
    <m/>
    <n v="0"/>
    <n v="0"/>
    <n v="5"/>
    <n v="0"/>
    <m/>
    <n v="0"/>
    <e v="#DIV/0!"/>
    <n v="0"/>
    <m/>
    <n v="0"/>
    <e v="#DIV/0!"/>
    <n v="0"/>
    <m/>
    <n v="0"/>
    <e v="#DIV/0!"/>
    <n v="0"/>
    <m/>
    <n v="0"/>
    <e v="#DIV/0!"/>
    <n v="0"/>
    <m/>
    <n v="0"/>
    <e v="#DIV/0!"/>
  </r>
  <r>
    <x v="10"/>
    <x v="10"/>
    <x v="4"/>
    <x v="65"/>
    <x v="2"/>
    <x v="326"/>
    <x v="326"/>
    <x v="326"/>
    <x v="326"/>
    <x v="326"/>
    <x v="13"/>
    <x v="40"/>
    <x v="1"/>
    <x v="2"/>
    <x v="31"/>
    <x v="1"/>
    <m/>
    <s v="PC"/>
    <s v="1105"/>
    <s v="Gobierno multinivel fortalecido, articulado, eficiente, participativo y con tecnología"/>
    <s v="1105.PC.11.5.325."/>
    <m/>
    <s v="Integración Territorial"/>
    <s v="Articulación Interinstitucional Multinivel"/>
    <m/>
    <e v="#DIV/0!"/>
    <m/>
    <m/>
    <x v="0"/>
    <x v="1"/>
    <x v="2"/>
    <m/>
    <m/>
    <m/>
    <m/>
    <m/>
    <m/>
    <m/>
    <m/>
    <n v="25"/>
    <x v="1"/>
    <x v="1"/>
    <x v="1"/>
    <x v="0"/>
    <x v="0"/>
    <x v="0"/>
    <x v="1"/>
    <x v="0"/>
    <x v="0"/>
    <x v="0"/>
    <x v="1"/>
    <x v="1"/>
    <x v="1"/>
    <x v="1"/>
    <x v="326"/>
    <x v="4"/>
    <x v="3"/>
    <x v="3"/>
    <m/>
    <m/>
    <m/>
    <s v="1105325"/>
    <m/>
    <m/>
    <m/>
    <m/>
    <m/>
    <m/>
    <m/>
    <m/>
    <m/>
    <m/>
    <m/>
    <m/>
    <m/>
    <m/>
    <m/>
    <n v="0"/>
    <n v="0"/>
    <n v="5"/>
    <n v="0"/>
    <m/>
    <n v="0"/>
    <e v="#DIV/0!"/>
    <n v="0"/>
    <m/>
    <n v="0"/>
    <e v="#DIV/0!"/>
    <n v="0"/>
    <m/>
    <n v="0"/>
    <e v="#DIV/0!"/>
    <n v="0"/>
    <m/>
    <n v="0"/>
    <e v="#DIV/0!"/>
    <n v="0"/>
    <m/>
    <n v="0"/>
    <e v="#DIV/0!"/>
  </r>
  <r>
    <x v="10"/>
    <x v="10"/>
    <x v="4"/>
    <x v="65"/>
    <x v="3"/>
    <x v="327"/>
    <x v="327"/>
    <x v="327"/>
    <x v="327"/>
    <x v="327"/>
    <x v="13"/>
    <x v="40"/>
    <x v="1"/>
    <x v="2"/>
    <x v="31"/>
    <x v="1"/>
    <m/>
    <s v="PC"/>
    <s v="1105"/>
    <s v="Gobierno multinivel fortalecido, articulado, eficiente, participativo y con tecnología"/>
    <s v="1105.PC.11.5.326."/>
    <m/>
    <m/>
    <m/>
    <m/>
    <e v="#DIV/0!"/>
    <m/>
    <m/>
    <x v="0"/>
    <x v="1"/>
    <x v="2"/>
    <m/>
    <m/>
    <m/>
    <m/>
    <m/>
    <m/>
    <m/>
    <m/>
    <n v="25"/>
    <x v="1"/>
    <x v="1"/>
    <x v="1"/>
    <x v="0"/>
    <x v="0"/>
    <x v="0"/>
    <x v="1"/>
    <x v="0"/>
    <x v="0"/>
    <x v="0"/>
    <x v="1"/>
    <x v="1"/>
    <x v="1"/>
    <x v="1"/>
    <x v="327"/>
    <x v="4"/>
    <x v="3"/>
    <x v="3"/>
    <m/>
    <m/>
    <m/>
    <s v="1105326"/>
    <m/>
    <m/>
    <m/>
    <m/>
    <m/>
    <m/>
    <m/>
    <m/>
    <m/>
    <m/>
    <m/>
    <m/>
    <m/>
    <m/>
    <m/>
    <n v="0"/>
    <n v="0"/>
    <n v="5"/>
    <n v="0"/>
    <m/>
    <n v="0"/>
    <e v="#DIV/0!"/>
    <n v="0"/>
    <m/>
    <n v="0"/>
    <e v="#DIV/0!"/>
    <n v="0"/>
    <m/>
    <n v="0"/>
    <e v="#DIV/0!"/>
    <n v="0"/>
    <m/>
    <n v="0"/>
    <e v="#DIV/0!"/>
    <n v="0"/>
    <m/>
    <n v="0"/>
    <e v="#DIV/0!"/>
  </r>
  <r>
    <x v="11"/>
    <x v="11"/>
    <x v="0"/>
    <x v="66"/>
    <x v="0"/>
    <x v="328"/>
    <x v="328"/>
    <x v="328"/>
    <x v="328"/>
    <x v="328"/>
    <x v="14"/>
    <x v="37"/>
    <x v="1"/>
    <x v="2"/>
    <x v="32"/>
    <x v="1"/>
    <m/>
    <s v="PC"/>
    <s v="1201"/>
    <s v="Promover los derechos del pueblo boliviano y la Madre Tierra"/>
    <s v="1201.PC.12.1.327."/>
    <m/>
    <m/>
    <m/>
    <m/>
    <e v="#DIV/0!"/>
    <m/>
    <m/>
    <x v="0"/>
    <x v="1"/>
    <x v="2"/>
    <m/>
    <m/>
    <m/>
    <m/>
    <m/>
    <m/>
    <m/>
    <m/>
    <n v="20"/>
    <x v="1"/>
    <x v="1"/>
    <x v="1"/>
    <x v="0"/>
    <x v="0"/>
    <x v="0"/>
    <x v="1"/>
    <x v="0"/>
    <x v="0"/>
    <x v="0"/>
    <x v="1"/>
    <x v="1"/>
    <x v="1"/>
    <x v="1"/>
    <x v="328"/>
    <x v="4"/>
    <x v="3"/>
    <x v="3"/>
    <m/>
    <m/>
    <m/>
    <s v="1201327"/>
    <m/>
    <m/>
    <m/>
    <m/>
    <m/>
    <m/>
    <m/>
    <m/>
    <m/>
    <m/>
    <m/>
    <m/>
    <m/>
    <m/>
    <m/>
    <n v="0"/>
    <n v="0"/>
    <n v="5"/>
    <n v="0"/>
    <m/>
    <n v="0"/>
    <e v="#DIV/0!"/>
    <n v="0"/>
    <m/>
    <n v="0"/>
    <e v="#DIV/0!"/>
    <n v="0"/>
    <m/>
    <n v="0"/>
    <e v="#DIV/0!"/>
    <n v="0"/>
    <m/>
    <n v="0"/>
    <e v="#DIV/0!"/>
    <n v="0"/>
    <m/>
    <n v="0"/>
    <e v="#DIV/0!"/>
  </r>
  <r>
    <x v="11"/>
    <x v="11"/>
    <x v="0"/>
    <x v="66"/>
    <x v="1"/>
    <x v="329"/>
    <x v="329"/>
    <x v="329"/>
    <x v="329"/>
    <x v="329"/>
    <x v="14"/>
    <x v="37"/>
    <x v="0"/>
    <x v="1"/>
    <x v="1"/>
    <x v="1"/>
    <m/>
    <s v="RS"/>
    <s v="1201"/>
    <s v="Promover los derechos del pueblo boliviano y la Madre Tierra"/>
    <s v="1201.RS.12.1.328."/>
    <m/>
    <m/>
    <m/>
    <m/>
    <e v="#DIV/0!"/>
    <m/>
    <m/>
    <x v="0"/>
    <x v="1"/>
    <x v="2"/>
    <m/>
    <m/>
    <m/>
    <m/>
    <m/>
    <m/>
    <m/>
    <m/>
    <n v="20"/>
    <x v="0"/>
    <x v="0"/>
    <x v="1"/>
    <x v="0"/>
    <x v="1"/>
    <x v="0"/>
    <x v="0"/>
    <x v="0"/>
    <x v="0"/>
    <x v="0"/>
    <x v="1"/>
    <x v="1"/>
    <x v="1"/>
    <x v="1"/>
    <x v="329"/>
    <x v="4"/>
    <x v="3"/>
    <x v="3"/>
    <m/>
    <m/>
    <m/>
    <s v="1201328"/>
    <m/>
    <m/>
    <m/>
    <m/>
    <m/>
    <m/>
    <m/>
    <m/>
    <m/>
    <m/>
    <m/>
    <m/>
    <m/>
    <m/>
    <m/>
    <n v="0"/>
    <n v="0"/>
    <n v="5"/>
    <n v="0"/>
    <m/>
    <n v="0"/>
    <e v="#DIV/0!"/>
    <n v="0"/>
    <m/>
    <n v="0"/>
    <e v="#DIV/0!"/>
    <n v="0"/>
    <m/>
    <n v="0"/>
    <e v="#DIV/0!"/>
    <n v="0"/>
    <m/>
    <n v="0"/>
    <e v="#DIV/0!"/>
    <n v="0"/>
    <m/>
    <n v="0"/>
    <e v="#DIV/0!"/>
  </r>
  <r>
    <x v="11"/>
    <x v="11"/>
    <x v="0"/>
    <x v="66"/>
    <x v="2"/>
    <x v="330"/>
    <x v="330"/>
    <x v="330"/>
    <x v="330"/>
    <x v="330"/>
    <x v="14"/>
    <x v="41"/>
    <x v="1"/>
    <x v="1"/>
    <x v="1"/>
    <x v="1"/>
    <m/>
    <s v="PC"/>
    <s v="1201"/>
    <s v="Promover los derechos del pueblo boliviano y la Madre Tierra"/>
    <s v="1201.PC.12.1.329."/>
    <m/>
    <m/>
    <m/>
    <m/>
    <e v="#DIV/0!"/>
    <m/>
    <m/>
    <x v="0"/>
    <x v="1"/>
    <x v="2"/>
    <m/>
    <m/>
    <m/>
    <m/>
    <m/>
    <m/>
    <m/>
    <m/>
    <n v="20"/>
    <x v="1"/>
    <x v="1"/>
    <x v="1"/>
    <x v="0"/>
    <x v="0"/>
    <x v="0"/>
    <x v="1"/>
    <x v="0"/>
    <x v="0"/>
    <x v="0"/>
    <x v="1"/>
    <x v="1"/>
    <x v="1"/>
    <x v="1"/>
    <x v="330"/>
    <x v="4"/>
    <x v="3"/>
    <x v="3"/>
    <m/>
    <m/>
    <m/>
    <s v="1201329"/>
    <m/>
    <m/>
    <m/>
    <m/>
    <m/>
    <m/>
    <m/>
    <m/>
    <m/>
    <m/>
    <m/>
    <m/>
    <m/>
    <m/>
    <m/>
    <n v="0"/>
    <n v="0"/>
    <n v="5"/>
    <n v="0"/>
    <m/>
    <n v="0"/>
    <e v="#DIV/0!"/>
    <n v="0"/>
    <m/>
    <n v="0"/>
    <e v="#DIV/0!"/>
    <n v="0"/>
    <m/>
    <n v="0"/>
    <e v="#DIV/0!"/>
    <n v="0"/>
    <m/>
    <n v="0"/>
    <e v="#DIV/0!"/>
    <n v="0"/>
    <m/>
    <n v="0"/>
    <e v="#DIV/0!"/>
  </r>
  <r>
    <x v="11"/>
    <x v="11"/>
    <x v="0"/>
    <x v="66"/>
    <x v="3"/>
    <x v="331"/>
    <x v="331"/>
    <x v="331"/>
    <x v="331"/>
    <x v="331"/>
    <x v="14"/>
    <x v="37"/>
    <x v="0"/>
    <x v="2"/>
    <x v="4"/>
    <x v="1"/>
    <m/>
    <s v="RS"/>
    <s v="1201"/>
    <s v="Promover los derechos del pueblo boliviano y la Madre Tierra"/>
    <s v="1201.RS.12.1.330."/>
    <m/>
    <m/>
    <m/>
    <m/>
    <e v="#DIV/0!"/>
    <m/>
    <m/>
    <x v="0"/>
    <x v="1"/>
    <x v="24"/>
    <m/>
    <m/>
    <m/>
    <m/>
    <m/>
    <m/>
    <m/>
    <m/>
    <n v="20"/>
    <x v="0"/>
    <x v="0"/>
    <x v="1"/>
    <x v="0"/>
    <x v="1"/>
    <x v="0"/>
    <x v="0"/>
    <x v="0"/>
    <x v="0"/>
    <x v="0"/>
    <x v="1"/>
    <x v="1"/>
    <x v="1"/>
    <x v="1"/>
    <x v="331"/>
    <x v="4"/>
    <x v="3"/>
    <x v="3"/>
    <m/>
    <m/>
    <m/>
    <s v="1201330"/>
    <m/>
    <m/>
    <m/>
    <m/>
    <m/>
    <m/>
    <m/>
    <m/>
    <m/>
    <m/>
    <m/>
    <m/>
    <m/>
    <m/>
    <m/>
    <n v="0"/>
    <n v="0"/>
    <n v="5"/>
    <n v="0"/>
    <m/>
    <n v="0"/>
    <e v="#DIV/0!"/>
    <n v="0"/>
    <m/>
    <n v="0"/>
    <e v="#DIV/0!"/>
    <n v="0"/>
    <m/>
    <n v="0"/>
    <e v="#DIV/0!"/>
    <n v="0"/>
    <m/>
    <n v="0"/>
    <e v="#DIV/0!"/>
    <n v="0"/>
    <m/>
    <n v="0"/>
    <e v="#DIV/0!"/>
  </r>
  <r>
    <x v="11"/>
    <x v="11"/>
    <x v="0"/>
    <x v="66"/>
    <x v="4"/>
    <x v="332"/>
    <x v="332"/>
    <x v="332"/>
    <x v="332"/>
    <x v="332"/>
    <x v="14"/>
    <x v="42"/>
    <x v="1"/>
    <x v="1"/>
    <x v="33"/>
    <x v="0"/>
    <m/>
    <s v="PC"/>
    <s v="1201"/>
    <s v="Promover los derechos del pueblo boliviano y la Madre Tierra"/>
    <s v="1201.PC.12.1.331."/>
    <m/>
    <m/>
    <m/>
    <m/>
    <e v="#DIV/0!"/>
    <m/>
    <m/>
    <x v="0"/>
    <x v="1"/>
    <x v="2"/>
    <m/>
    <m/>
    <m/>
    <m/>
    <m/>
    <m/>
    <m/>
    <m/>
    <n v="20"/>
    <x v="1"/>
    <x v="1"/>
    <x v="1"/>
    <x v="1"/>
    <x v="0"/>
    <x v="0"/>
    <x v="0"/>
    <x v="0"/>
    <x v="0"/>
    <x v="0"/>
    <x v="1"/>
    <x v="1"/>
    <x v="1"/>
    <x v="1"/>
    <x v="332"/>
    <x v="4"/>
    <x v="3"/>
    <x v="3"/>
    <m/>
    <m/>
    <m/>
    <s v="1201331"/>
    <m/>
    <m/>
    <m/>
    <m/>
    <m/>
    <m/>
    <m/>
    <m/>
    <m/>
    <m/>
    <m/>
    <m/>
    <m/>
    <m/>
    <m/>
    <n v="0"/>
    <n v="0"/>
    <n v="5"/>
    <n v="0"/>
    <m/>
    <n v="0"/>
    <e v="#DIV/0!"/>
    <n v="0"/>
    <m/>
    <n v="0"/>
    <e v="#DIV/0!"/>
    <n v="0"/>
    <m/>
    <n v="0"/>
    <e v="#DIV/0!"/>
    <n v="0"/>
    <m/>
    <n v="0"/>
    <e v="#DIV/0!"/>
    <n v="0"/>
    <m/>
    <n v="0"/>
    <e v="#DIV/0!"/>
  </r>
  <r>
    <x v="11"/>
    <x v="11"/>
    <x v="1"/>
    <x v="67"/>
    <x v="0"/>
    <x v="333"/>
    <x v="333"/>
    <x v="333"/>
    <x v="333"/>
    <x v="333"/>
    <x v="14"/>
    <x v="42"/>
    <x v="1"/>
    <x v="1"/>
    <x v="33"/>
    <x v="1"/>
    <m/>
    <s v="PC"/>
    <s v="1202"/>
    <s v="Práctica y fortalecimiento de las virtudes humanas y solidarias"/>
    <s v="1202.PC.12.2.332."/>
    <m/>
    <m/>
    <m/>
    <m/>
    <e v="#DIV/0!"/>
    <m/>
    <m/>
    <x v="0"/>
    <x v="1"/>
    <x v="2"/>
    <m/>
    <m/>
    <m/>
    <m/>
    <m/>
    <m/>
    <m/>
    <m/>
    <n v="11.111111111111111"/>
    <x v="1"/>
    <x v="1"/>
    <x v="1"/>
    <x v="0"/>
    <x v="0"/>
    <x v="0"/>
    <x v="1"/>
    <x v="0"/>
    <x v="0"/>
    <x v="0"/>
    <x v="1"/>
    <x v="1"/>
    <x v="1"/>
    <x v="1"/>
    <x v="333"/>
    <x v="4"/>
    <x v="3"/>
    <x v="3"/>
    <m/>
    <m/>
    <m/>
    <s v="1202332"/>
    <m/>
    <m/>
    <m/>
    <m/>
    <m/>
    <m/>
    <m/>
    <m/>
    <m/>
    <m/>
    <m/>
    <m/>
    <m/>
    <m/>
    <m/>
    <n v="0"/>
    <n v="0"/>
    <n v="5"/>
    <n v="0"/>
    <m/>
    <n v="0"/>
    <e v="#DIV/0!"/>
    <n v="0"/>
    <m/>
    <n v="0"/>
    <e v="#DIV/0!"/>
    <n v="0"/>
    <m/>
    <n v="0"/>
    <e v="#DIV/0!"/>
    <n v="0"/>
    <m/>
    <n v="0"/>
    <e v="#DIV/0!"/>
    <n v="0"/>
    <m/>
    <n v="0"/>
    <e v="#DIV/0!"/>
  </r>
  <r>
    <x v="11"/>
    <x v="11"/>
    <x v="1"/>
    <x v="67"/>
    <x v="1"/>
    <x v="334"/>
    <x v="334"/>
    <x v="334"/>
    <x v="334"/>
    <x v="334"/>
    <x v="14"/>
    <x v="42"/>
    <x v="1"/>
    <x v="1"/>
    <x v="33"/>
    <x v="1"/>
    <m/>
    <s v="PC"/>
    <s v="1202"/>
    <s v="Práctica y fortalecimiento de las virtudes humanas y solidarias"/>
    <s v="1202.PC.12.2.333."/>
    <m/>
    <m/>
    <m/>
    <m/>
    <e v="#DIV/0!"/>
    <m/>
    <m/>
    <x v="0"/>
    <x v="1"/>
    <x v="2"/>
    <m/>
    <m/>
    <m/>
    <m/>
    <m/>
    <m/>
    <m/>
    <m/>
    <n v="11.111111111111111"/>
    <x v="1"/>
    <x v="1"/>
    <x v="1"/>
    <x v="0"/>
    <x v="0"/>
    <x v="0"/>
    <x v="1"/>
    <x v="0"/>
    <x v="0"/>
    <x v="0"/>
    <x v="1"/>
    <x v="1"/>
    <x v="1"/>
    <x v="1"/>
    <x v="334"/>
    <x v="4"/>
    <x v="3"/>
    <x v="3"/>
    <m/>
    <m/>
    <m/>
    <s v="1202333"/>
    <m/>
    <m/>
    <m/>
    <m/>
    <m/>
    <m/>
    <m/>
    <m/>
    <m/>
    <m/>
    <m/>
    <m/>
    <m/>
    <m/>
    <m/>
    <n v="0"/>
    <n v="0"/>
    <n v="5"/>
    <n v="0"/>
    <m/>
    <n v="0"/>
    <e v="#DIV/0!"/>
    <n v="0"/>
    <m/>
    <n v="0"/>
    <e v="#DIV/0!"/>
    <n v="0"/>
    <m/>
    <n v="0"/>
    <e v="#DIV/0!"/>
    <n v="0"/>
    <m/>
    <n v="0"/>
    <e v="#DIV/0!"/>
    <n v="0"/>
    <m/>
    <n v="0"/>
    <e v="#DIV/0!"/>
  </r>
  <r>
    <x v="11"/>
    <x v="11"/>
    <x v="1"/>
    <x v="67"/>
    <x v="2"/>
    <x v="335"/>
    <x v="335"/>
    <x v="335"/>
    <x v="335"/>
    <x v="335"/>
    <x v="14"/>
    <x v="42"/>
    <x v="1"/>
    <x v="1"/>
    <x v="33"/>
    <x v="1"/>
    <m/>
    <s v="PC"/>
    <s v="1202"/>
    <s v="Práctica y fortalecimiento de las virtudes humanas y solidarias"/>
    <s v="1202.PC.12.2.334."/>
    <m/>
    <m/>
    <m/>
    <m/>
    <e v="#DIV/0!"/>
    <m/>
    <m/>
    <x v="0"/>
    <x v="1"/>
    <x v="2"/>
    <m/>
    <m/>
    <m/>
    <m/>
    <m/>
    <m/>
    <m/>
    <m/>
    <n v="11.111111111111111"/>
    <x v="1"/>
    <x v="1"/>
    <x v="1"/>
    <x v="0"/>
    <x v="0"/>
    <x v="0"/>
    <x v="1"/>
    <x v="0"/>
    <x v="0"/>
    <x v="0"/>
    <x v="1"/>
    <x v="1"/>
    <x v="1"/>
    <x v="1"/>
    <x v="335"/>
    <x v="4"/>
    <x v="3"/>
    <x v="3"/>
    <m/>
    <m/>
    <m/>
    <s v="1202334"/>
    <m/>
    <m/>
    <m/>
    <m/>
    <m/>
    <m/>
    <m/>
    <m/>
    <m/>
    <m/>
    <m/>
    <m/>
    <m/>
    <m/>
    <m/>
    <n v="0"/>
    <n v="0"/>
    <n v="5"/>
    <n v="0"/>
    <m/>
    <n v="0"/>
    <e v="#DIV/0!"/>
    <n v="0"/>
    <m/>
    <n v="0"/>
    <e v="#DIV/0!"/>
    <n v="0"/>
    <m/>
    <n v="0"/>
    <e v="#DIV/0!"/>
    <n v="0"/>
    <m/>
    <n v="0"/>
    <e v="#DIV/0!"/>
    <n v="0"/>
    <m/>
    <n v="0"/>
    <e v="#DIV/0!"/>
  </r>
  <r>
    <x v="11"/>
    <x v="11"/>
    <x v="1"/>
    <x v="67"/>
    <x v="3"/>
    <x v="336"/>
    <x v="336"/>
    <x v="336"/>
    <x v="336"/>
    <x v="336"/>
    <x v="14"/>
    <x v="42"/>
    <x v="1"/>
    <x v="1"/>
    <x v="33"/>
    <x v="1"/>
    <m/>
    <s v="PC"/>
    <s v="1202"/>
    <s v="Práctica y fortalecimiento de las virtudes humanas y solidarias"/>
    <s v="1202.PC.12.2.335."/>
    <m/>
    <m/>
    <m/>
    <m/>
    <e v="#DIV/0!"/>
    <m/>
    <m/>
    <x v="0"/>
    <x v="1"/>
    <x v="2"/>
    <m/>
    <m/>
    <m/>
    <m/>
    <m/>
    <m/>
    <m/>
    <m/>
    <n v="11.111111111111111"/>
    <x v="1"/>
    <x v="1"/>
    <x v="1"/>
    <x v="0"/>
    <x v="0"/>
    <x v="0"/>
    <x v="1"/>
    <x v="0"/>
    <x v="0"/>
    <x v="0"/>
    <x v="1"/>
    <x v="1"/>
    <x v="1"/>
    <x v="1"/>
    <x v="336"/>
    <x v="4"/>
    <x v="3"/>
    <x v="3"/>
    <m/>
    <m/>
    <m/>
    <s v="1202335"/>
    <m/>
    <m/>
    <m/>
    <m/>
    <m/>
    <m/>
    <m/>
    <m/>
    <m/>
    <m/>
    <m/>
    <m/>
    <m/>
    <m/>
    <m/>
    <n v="0"/>
    <n v="0"/>
    <n v="5"/>
    <n v="0"/>
    <m/>
    <n v="0"/>
    <e v="#DIV/0!"/>
    <n v="0"/>
    <m/>
    <n v="0"/>
    <e v="#DIV/0!"/>
    <n v="0"/>
    <m/>
    <n v="0"/>
    <e v="#DIV/0!"/>
    <n v="0"/>
    <m/>
    <n v="0"/>
    <e v="#DIV/0!"/>
    <n v="0"/>
    <m/>
    <n v="0"/>
    <e v="#DIV/0!"/>
  </r>
  <r>
    <x v="11"/>
    <x v="11"/>
    <x v="1"/>
    <x v="67"/>
    <x v="4"/>
    <x v="337"/>
    <x v="337"/>
    <x v="337"/>
    <x v="337"/>
    <x v="337"/>
    <x v="14"/>
    <x v="42"/>
    <x v="1"/>
    <x v="1"/>
    <x v="33"/>
    <x v="1"/>
    <m/>
    <s v="PC"/>
    <s v="1202"/>
    <s v="Práctica y fortalecimiento de las virtudes humanas y solidarias"/>
    <s v="1202.PC.12.2.336."/>
    <m/>
    <m/>
    <m/>
    <m/>
    <e v="#DIV/0!"/>
    <m/>
    <m/>
    <x v="0"/>
    <x v="1"/>
    <x v="2"/>
    <m/>
    <m/>
    <m/>
    <m/>
    <m/>
    <m/>
    <m/>
    <m/>
    <n v="11.111111111111111"/>
    <x v="1"/>
    <x v="1"/>
    <x v="1"/>
    <x v="0"/>
    <x v="0"/>
    <x v="0"/>
    <x v="1"/>
    <x v="0"/>
    <x v="0"/>
    <x v="0"/>
    <x v="1"/>
    <x v="1"/>
    <x v="1"/>
    <x v="1"/>
    <x v="337"/>
    <x v="4"/>
    <x v="3"/>
    <x v="3"/>
    <m/>
    <m/>
    <m/>
    <s v="1202336"/>
    <m/>
    <m/>
    <m/>
    <m/>
    <m/>
    <m/>
    <m/>
    <m/>
    <m/>
    <m/>
    <m/>
    <m/>
    <m/>
    <m/>
    <m/>
    <n v="0"/>
    <n v="0"/>
    <n v="5"/>
    <n v="0"/>
    <m/>
    <n v="0"/>
    <e v="#DIV/0!"/>
    <n v="0"/>
    <m/>
    <n v="0"/>
    <e v="#DIV/0!"/>
    <n v="0"/>
    <m/>
    <n v="0"/>
    <e v="#DIV/0!"/>
    <n v="0"/>
    <m/>
    <n v="0"/>
    <e v="#DIV/0!"/>
    <n v="0"/>
    <m/>
    <n v="0"/>
    <e v="#DIV/0!"/>
  </r>
  <r>
    <x v="11"/>
    <x v="11"/>
    <x v="1"/>
    <x v="67"/>
    <x v="5"/>
    <x v="338"/>
    <x v="338"/>
    <x v="338"/>
    <x v="338"/>
    <x v="338"/>
    <x v="14"/>
    <x v="42"/>
    <x v="1"/>
    <x v="1"/>
    <x v="33"/>
    <x v="1"/>
    <m/>
    <s v="PC"/>
    <s v="1202"/>
    <s v="Práctica y fortalecimiento de las virtudes humanas y solidarias"/>
    <s v="1202.PC.12.2.337."/>
    <m/>
    <m/>
    <m/>
    <m/>
    <e v="#DIV/0!"/>
    <m/>
    <m/>
    <x v="0"/>
    <x v="1"/>
    <x v="2"/>
    <m/>
    <m/>
    <m/>
    <m/>
    <m/>
    <m/>
    <m/>
    <m/>
    <n v="11.111111111111111"/>
    <x v="1"/>
    <x v="1"/>
    <x v="1"/>
    <x v="0"/>
    <x v="0"/>
    <x v="0"/>
    <x v="1"/>
    <x v="0"/>
    <x v="0"/>
    <x v="0"/>
    <x v="1"/>
    <x v="1"/>
    <x v="1"/>
    <x v="1"/>
    <x v="338"/>
    <x v="4"/>
    <x v="3"/>
    <x v="3"/>
    <m/>
    <m/>
    <m/>
    <s v="1202337"/>
    <m/>
    <m/>
    <m/>
    <m/>
    <m/>
    <m/>
    <m/>
    <m/>
    <m/>
    <m/>
    <m/>
    <m/>
    <m/>
    <m/>
    <m/>
    <n v="0"/>
    <n v="0"/>
    <n v="5"/>
    <n v="0"/>
    <m/>
    <n v="0"/>
    <e v="#DIV/0!"/>
    <n v="0"/>
    <m/>
    <n v="0"/>
    <e v="#DIV/0!"/>
    <n v="0"/>
    <m/>
    <n v="0"/>
    <e v="#DIV/0!"/>
    <n v="0"/>
    <m/>
    <n v="0"/>
    <e v="#DIV/0!"/>
    <n v="0"/>
    <m/>
    <n v="0"/>
    <e v="#DIV/0!"/>
  </r>
  <r>
    <x v="11"/>
    <x v="11"/>
    <x v="1"/>
    <x v="67"/>
    <x v="6"/>
    <x v="339"/>
    <x v="339"/>
    <x v="339"/>
    <x v="339"/>
    <x v="339"/>
    <x v="14"/>
    <x v="42"/>
    <x v="1"/>
    <x v="1"/>
    <x v="33"/>
    <x v="1"/>
    <m/>
    <s v="PC"/>
    <s v="1202"/>
    <s v="Práctica y fortalecimiento de las virtudes humanas y solidarias"/>
    <s v="1202.PC.12.2.338."/>
    <m/>
    <m/>
    <m/>
    <m/>
    <e v="#DIV/0!"/>
    <m/>
    <m/>
    <x v="0"/>
    <x v="1"/>
    <x v="2"/>
    <m/>
    <m/>
    <m/>
    <m/>
    <m/>
    <m/>
    <m/>
    <m/>
    <n v="11.111111111111111"/>
    <x v="1"/>
    <x v="1"/>
    <x v="1"/>
    <x v="0"/>
    <x v="0"/>
    <x v="0"/>
    <x v="1"/>
    <x v="0"/>
    <x v="0"/>
    <x v="0"/>
    <x v="1"/>
    <x v="1"/>
    <x v="1"/>
    <x v="1"/>
    <x v="339"/>
    <x v="4"/>
    <x v="3"/>
    <x v="3"/>
    <m/>
    <m/>
    <m/>
    <s v="1202338"/>
    <m/>
    <m/>
    <m/>
    <m/>
    <m/>
    <m/>
    <m/>
    <m/>
    <m/>
    <m/>
    <m/>
    <m/>
    <m/>
    <m/>
    <m/>
    <n v="0"/>
    <n v="0"/>
    <n v="5"/>
    <n v="0"/>
    <m/>
    <n v="0"/>
    <e v="#DIV/0!"/>
    <n v="0"/>
    <m/>
    <n v="0"/>
    <e v="#DIV/0!"/>
    <n v="0"/>
    <m/>
    <n v="0"/>
    <e v="#DIV/0!"/>
    <n v="0"/>
    <m/>
    <n v="0"/>
    <e v="#DIV/0!"/>
    <n v="0"/>
    <m/>
    <n v="0"/>
    <e v="#DIV/0!"/>
  </r>
  <r>
    <x v="11"/>
    <x v="11"/>
    <x v="1"/>
    <x v="67"/>
    <x v="7"/>
    <x v="340"/>
    <x v="340"/>
    <x v="340"/>
    <x v="340"/>
    <x v="340"/>
    <x v="14"/>
    <x v="42"/>
    <x v="1"/>
    <x v="1"/>
    <x v="33"/>
    <x v="1"/>
    <m/>
    <s v="PC"/>
    <s v="1202"/>
    <s v="Práctica y fortalecimiento de las virtudes humanas y solidarias"/>
    <s v="1202.PC.12.2.339."/>
    <m/>
    <m/>
    <m/>
    <m/>
    <e v="#DIV/0!"/>
    <m/>
    <m/>
    <x v="0"/>
    <x v="1"/>
    <x v="2"/>
    <m/>
    <m/>
    <m/>
    <m/>
    <m/>
    <m/>
    <m/>
    <m/>
    <n v="11.111111111111111"/>
    <x v="1"/>
    <x v="1"/>
    <x v="1"/>
    <x v="0"/>
    <x v="0"/>
    <x v="0"/>
    <x v="1"/>
    <x v="0"/>
    <x v="0"/>
    <x v="0"/>
    <x v="1"/>
    <x v="1"/>
    <x v="1"/>
    <x v="1"/>
    <x v="340"/>
    <x v="4"/>
    <x v="3"/>
    <x v="3"/>
    <m/>
    <m/>
    <m/>
    <s v="1202339"/>
    <m/>
    <m/>
    <m/>
    <m/>
    <m/>
    <m/>
    <m/>
    <m/>
    <m/>
    <m/>
    <m/>
    <m/>
    <m/>
    <m/>
    <m/>
    <n v="0"/>
    <n v="0"/>
    <n v="5"/>
    <n v="0"/>
    <m/>
    <n v="0"/>
    <e v="#DIV/0!"/>
    <n v="0"/>
    <m/>
    <n v="0"/>
    <e v="#DIV/0!"/>
    <n v="0"/>
    <m/>
    <n v="0"/>
    <e v="#DIV/0!"/>
    <n v="0"/>
    <m/>
    <n v="0"/>
    <e v="#DIV/0!"/>
    <n v="0"/>
    <m/>
    <n v="0"/>
    <e v="#DIV/0!"/>
  </r>
  <r>
    <x v="11"/>
    <x v="11"/>
    <x v="1"/>
    <x v="67"/>
    <x v="8"/>
    <x v="341"/>
    <x v="341"/>
    <x v="341"/>
    <x v="341"/>
    <x v="341"/>
    <x v="14"/>
    <x v="42"/>
    <x v="1"/>
    <x v="1"/>
    <x v="33"/>
    <x v="1"/>
    <m/>
    <s v="PC"/>
    <s v="1202"/>
    <s v="Práctica y fortalecimiento de las virtudes humanas y solidarias"/>
    <s v="1202.PC.12.2.340."/>
    <m/>
    <m/>
    <m/>
    <m/>
    <e v="#DIV/0!"/>
    <m/>
    <m/>
    <x v="0"/>
    <x v="1"/>
    <x v="2"/>
    <m/>
    <m/>
    <m/>
    <m/>
    <m/>
    <m/>
    <m/>
    <m/>
    <n v="11.111111111111111"/>
    <x v="1"/>
    <x v="1"/>
    <x v="1"/>
    <x v="0"/>
    <x v="0"/>
    <x v="0"/>
    <x v="1"/>
    <x v="0"/>
    <x v="0"/>
    <x v="0"/>
    <x v="1"/>
    <x v="1"/>
    <x v="1"/>
    <x v="1"/>
    <x v="341"/>
    <x v="4"/>
    <x v="3"/>
    <x v="3"/>
    <m/>
    <m/>
    <m/>
    <s v="1202340"/>
    <m/>
    <m/>
    <m/>
    <m/>
    <m/>
    <m/>
    <m/>
    <m/>
    <m/>
    <m/>
    <m/>
    <m/>
    <m/>
    <m/>
    <m/>
    <n v="0"/>
    <n v="0"/>
    <n v="5"/>
    <n v="0"/>
    <m/>
    <n v="0"/>
    <e v="#DIV/0!"/>
    <n v="0"/>
    <m/>
    <n v="0"/>
    <e v="#DIV/0!"/>
    <n v="0"/>
    <m/>
    <n v="0"/>
    <e v="#DIV/0!"/>
    <n v="0"/>
    <m/>
    <n v="0"/>
    <e v="#DIV/0!"/>
    <n v="0"/>
    <m/>
    <n v="0"/>
    <e v="#DIV/0!"/>
  </r>
  <r>
    <x v="12"/>
    <x v="12"/>
    <x v="0"/>
    <x v="68"/>
    <x v="0"/>
    <x v="342"/>
    <x v="342"/>
    <x v="342"/>
    <x v="342"/>
    <x v="342"/>
    <x v="13"/>
    <x v="34"/>
    <x v="0"/>
    <x v="2"/>
    <x v="30"/>
    <x v="0"/>
    <m/>
    <s v="RS"/>
    <s v="1301"/>
    <s v="Reencuentro soberano con nuestra  prosperidad y nuestro mar"/>
    <s v="1301.RS.13.1.341.A"/>
    <s v="A"/>
    <m/>
    <m/>
    <m/>
    <n v="100"/>
    <m/>
    <m/>
    <x v="0"/>
    <x v="1"/>
    <x v="27"/>
    <m/>
    <m/>
    <m/>
    <m/>
    <m/>
    <m/>
    <m/>
    <m/>
    <n v="100"/>
    <x v="0"/>
    <x v="0"/>
    <x v="1"/>
    <x v="0"/>
    <x v="0"/>
    <x v="0"/>
    <x v="1"/>
    <x v="0"/>
    <x v="0"/>
    <x v="0"/>
    <x v="1"/>
    <x v="1"/>
    <x v="1"/>
    <x v="1"/>
    <x v="342"/>
    <x v="4"/>
    <x v="3"/>
    <x v="3"/>
    <m/>
    <m/>
    <m/>
    <s v="1301341"/>
    <m/>
    <m/>
    <m/>
    <m/>
    <m/>
    <m/>
    <m/>
    <m/>
    <m/>
    <m/>
    <m/>
    <m/>
    <m/>
    <m/>
    <m/>
    <n v="0"/>
    <n v="0"/>
    <n v="5"/>
    <n v="0"/>
    <m/>
    <n v="0"/>
    <e v="#DIV/0!"/>
    <n v="0"/>
    <m/>
    <n v="0"/>
    <e v="#DIV/0!"/>
    <n v="0"/>
    <m/>
    <n v="0"/>
    <e v="#DIV/0!"/>
    <n v="0"/>
    <m/>
    <n v="0"/>
    <e v="#DIV/0!"/>
    <n v="0"/>
    <m/>
    <n v="0"/>
    <e v="#DIV/0!"/>
  </r>
  <r>
    <x v="13"/>
    <x v="13"/>
    <x v="13"/>
    <x v="69"/>
    <x v="26"/>
    <x v="343"/>
    <x v="343"/>
    <x v="343"/>
    <x v="343"/>
    <x v="343"/>
    <x v="15"/>
    <x v="43"/>
    <x v="3"/>
    <x v="5"/>
    <x v="34"/>
    <x v="2"/>
    <n v="50"/>
    <n v="343"/>
    <n v="343"/>
    <n v="343"/>
    <s v="343.343.343.157"/>
    <n v="157"/>
    <n v="158"/>
    <n v="70"/>
    <n v="59"/>
    <n v="343"/>
    <n v="57"/>
    <n v="0"/>
    <x v="2"/>
    <x v="2"/>
    <x v="28"/>
    <n v="8"/>
    <n v="0"/>
    <n v="1"/>
    <n v="0"/>
    <n v="0"/>
    <n v="0"/>
    <n v="0"/>
    <n v="0"/>
    <n v="343"/>
    <x v="2"/>
    <x v="2"/>
    <x v="2"/>
    <x v="2"/>
    <x v="2"/>
    <x v="2"/>
    <x v="2"/>
    <x v="1"/>
    <x v="2"/>
    <x v="2"/>
    <x v="2"/>
    <x v="2"/>
    <x v="2"/>
    <x v="2"/>
    <x v="343"/>
    <x v="5"/>
    <x v="4"/>
    <x v="4"/>
    <n v="4"/>
    <n v="4"/>
    <n v="4"/>
    <n v="343"/>
    <n v="4"/>
    <n v="4"/>
    <n v="4"/>
    <n v="4"/>
    <n v="4"/>
    <n v="4"/>
    <n v="4"/>
    <n v="4"/>
    <n v="4"/>
    <n v="4"/>
    <n v="4"/>
    <n v="4"/>
    <m/>
    <n v="4"/>
    <n v="4"/>
    <n v="68.599999999999994"/>
    <n v="343"/>
    <n v="5"/>
    <n v="343"/>
    <m/>
    <n v="-4"/>
    <n v="-1.1661807580174927E-2"/>
    <n v="343"/>
    <m/>
    <m/>
    <n v="0"/>
    <n v="343"/>
    <m/>
    <n v="-4"/>
    <n v="343"/>
    <n v="343"/>
    <m/>
    <n v="-4"/>
    <n v="343"/>
    <n v="343"/>
    <m/>
    <n v="-4"/>
    <n v="343"/>
  </r>
  <r>
    <x v="14"/>
    <x v="14"/>
    <x v="6"/>
    <x v="70"/>
    <x v="27"/>
    <x v="344"/>
    <x v="344"/>
    <x v="344"/>
    <x v="344"/>
    <x v="344"/>
    <x v="16"/>
    <x v="44"/>
    <x v="4"/>
    <x v="6"/>
    <x v="35"/>
    <x v="2"/>
    <n v="50"/>
    <m/>
    <m/>
    <m/>
    <m/>
    <m/>
    <m/>
    <m/>
    <m/>
    <n v="0"/>
    <m/>
    <n v="0"/>
    <x v="2"/>
    <x v="2"/>
    <x v="29"/>
    <m/>
    <n v="0"/>
    <m/>
    <n v="0"/>
    <m/>
    <n v="0"/>
    <m/>
    <n v="0"/>
    <m/>
    <x v="3"/>
    <x v="3"/>
    <x v="3"/>
    <x v="0"/>
    <x v="3"/>
    <x v="0"/>
    <x v="2"/>
    <x v="1"/>
    <x v="2"/>
    <x v="2"/>
    <x v="2"/>
    <x v="2"/>
    <x v="2"/>
    <x v="1"/>
    <x v="344"/>
    <x v="4"/>
    <x v="3"/>
    <x v="3"/>
    <m/>
    <m/>
    <m/>
    <m/>
    <m/>
    <m/>
    <m/>
    <m/>
    <m/>
    <m/>
    <m/>
    <m/>
    <m/>
    <m/>
    <m/>
    <m/>
    <m/>
    <m/>
    <m/>
    <m/>
    <m/>
    <m/>
    <m/>
    <m/>
    <m/>
    <m/>
    <m/>
    <m/>
    <m/>
    <m/>
    <m/>
    <m/>
    <m/>
    <m/>
    <m/>
    <m/>
    <m/>
    <m/>
    <m/>
    <m/>
    <m/>
    <m/>
  </r>
  <r>
    <x v="14"/>
    <x v="14"/>
    <x v="6"/>
    <x v="70"/>
    <x v="27"/>
    <x v="344"/>
    <x v="344"/>
    <x v="344"/>
    <x v="344"/>
    <x v="344"/>
    <x v="16"/>
    <x v="44"/>
    <x v="4"/>
    <x v="6"/>
    <x v="35"/>
    <x v="1"/>
    <s v="RS"/>
    <n v="139"/>
    <m/>
    <m/>
    <m/>
    <m/>
    <m/>
    <m/>
    <m/>
    <m/>
    <m/>
    <m/>
    <x v="0"/>
    <x v="1"/>
    <x v="2"/>
    <m/>
    <m/>
    <m/>
    <m/>
    <m/>
    <m/>
    <m/>
    <m/>
    <m/>
    <x v="4"/>
    <x v="4"/>
    <x v="4"/>
    <x v="3"/>
    <x v="4"/>
    <x v="3"/>
    <x v="3"/>
    <x v="1"/>
    <x v="3"/>
    <x v="3"/>
    <x v="3"/>
    <x v="3"/>
    <x v="3"/>
    <x v="1"/>
    <x v="344"/>
    <x v="4"/>
    <x v="3"/>
    <x v="3"/>
    <m/>
    <m/>
    <m/>
    <m/>
    <m/>
    <m/>
    <m/>
    <m/>
    <m/>
    <m/>
    <m/>
    <m/>
    <m/>
    <m/>
    <m/>
    <m/>
    <m/>
    <m/>
    <m/>
    <m/>
    <m/>
    <m/>
    <m/>
    <m/>
    <m/>
    <m/>
    <m/>
    <m/>
    <m/>
    <m/>
    <m/>
    <m/>
    <m/>
    <m/>
    <m/>
    <m/>
    <m/>
    <m/>
    <m/>
    <m/>
    <m/>
    <m/>
  </r>
  <r>
    <x v="14"/>
    <x v="14"/>
    <x v="6"/>
    <x v="70"/>
    <x v="27"/>
    <x v="344"/>
    <x v="344"/>
    <x v="344"/>
    <x v="344"/>
    <x v="344"/>
    <x v="16"/>
    <x v="44"/>
    <x v="4"/>
    <x v="6"/>
    <x v="35"/>
    <x v="1"/>
    <s v="PD"/>
    <n v="59"/>
    <m/>
    <m/>
    <m/>
    <m/>
    <m/>
    <m/>
    <m/>
    <m/>
    <m/>
    <m/>
    <x v="0"/>
    <x v="1"/>
    <x v="2"/>
    <m/>
    <m/>
    <m/>
    <m/>
    <m/>
    <m/>
    <m/>
    <m/>
    <m/>
    <x v="5"/>
    <x v="5"/>
    <x v="5"/>
    <x v="0"/>
    <x v="5"/>
    <x v="0"/>
    <x v="3"/>
    <x v="0"/>
    <x v="0"/>
    <x v="0"/>
    <x v="1"/>
    <x v="1"/>
    <x v="1"/>
    <x v="1"/>
    <x v="344"/>
    <x v="4"/>
    <x v="3"/>
    <x v="3"/>
    <m/>
    <m/>
    <m/>
    <m/>
    <m/>
    <m/>
    <m/>
    <m/>
    <m/>
    <m/>
    <m/>
    <m/>
    <m/>
    <m/>
    <m/>
    <m/>
    <m/>
    <m/>
    <m/>
    <m/>
    <m/>
    <m/>
    <m/>
    <m/>
    <m/>
    <m/>
    <m/>
    <m/>
    <m/>
    <m/>
    <m/>
    <m/>
    <m/>
    <m/>
    <m/>
    <m/>
    <m/>
    <m/>
    <m/>
    <m/>
    <m/>
    <m/>
  </r>
  <r>
    <x v="14"/>
    <x v="14"/>
    <x v="6"/>
    <x v="70"/>
    <x v="27"/>
    <x v="344"/>
    <x v="344"/>
    <x v="344"/>
    <x v="344"/>
    <x v="344"/>
    <x v="16"/>
    <x v="44"/>
    <x v="4"/>
    <x v="6"/>
    <x v="35"/>
    <x v="1"/>
    <s v="PC"/>
    <n v="145"/>
    <m/>
    <m/>
    <m/>
    <m/>
    <m/>
    <m/>
    <m/>
    <m/>
    <m/>
    <m/>
    <x v="0"/>
    <x v="1"/>
    <x v="2"/>
    <m/>
    <m/>
    <m/>
    <m/>
    <m/>
    <m/>
    <m/>
    <m/>
    <m/>
    <x v="5"/>
    <x v="5"/>
    <x v="6"/>
    <x v="0"/>
    <x v="6"/>
    <x v="0"/>
    <x v="4"/>
    <x v="0"/>
    <x v="0"/>
    <x v="0"/>
    <x v="1"/>
    <x v="1"/>
    <x v="1"/>
    <x v="1"/>
    <x v="344"/>
    <x v="4"/>
    <x v="3"/>
    <x v="3"/>
    <m/>
    <m/>
    <m/>
    <m/>
    <m/>
    <m/>
    <m/>
    <m/>
    <m/>
    <m/>
    <m/>
    <m/>
    <m/>
    <m/>
    <m/>
    <m/>
    <m/>
    <m/>
    <m/>
    <m/>
    <m/>
    <m/>
    <m/>
    <m/>
    <m/>
    <m/>
    <m/>
    <m/>
    <m/>
    <m/>
    <m/>
    <m/>
    <m/>
    <m/>
    <m/>
    <m/>
    <m/>
    <m/>
    <m/>
    <m/>
    <m/>
    <m/>
  </r>
  <r>
    <x v="14"/>
    <x v="14"/>
    <x v="6"/>
    <x v="70"/>
    <x v="27"/>
    <x v="344"/>
    <x v="344"/>
    <x v="344"/>
    <x v="344"/>
    <x v="344"/>
    <x v="16"/>
    <x v="44"/>
    <x v="4"/>
    <x v="6"/>
    <x v="35"/>
    <x v="1"/>
    <s v="TOTAL"/>
    <n v="343"/>
    <m/>
    <m/>
    <m/>
    <m/>
    <m/>
    <m/>
    <m/>
    <m/>
    <m/>
    <m/>
    <x v="0"/>
    <x v="1"/>
    <x v="2"/>
    <m/>
    <m/>
    <m/>
    <m/>
    <m/>
    <m/>
    <m/>
    <m/>
    <m/>
    <x v="5"/>
    <x v="5"/>
    <x v="1"/>
    <x v="0"/>
    <x v="0"/>
    <x v="0"/>
    <x v="0"/>
    <x v="0"/>
    <x v="0"/>
    <x v="0"/>
    <x v="1"/>
    <x v="1"/>
    <x v="1"/>
    <x v="1"/>
    <x v="344"/>
    <x v="4"/>
    <x v="3"/>
    <x v="3"/>
    <m/>
    <m/>
    <m/>
    <m/>
    <m/>
    <m/>
    <m/>
    <m/>
    <m/>
    <m/>
    <m/>
    <m/>
    <m/>
    <m/>
    <m/>
    <m/>
    <m/>
    <m/>
    <m/>
    <m/>
    <m/>
    <m/>
    <m/>
    <m/>
    <m/>
    <m/>
    <m/>
    <m/>
    <m/>
    <m/>
    <m/>
    <m/>
    <m/>
    <m/>
    <m/>
    <m/>
    <m/>
    <m/>
    <m/>
    <m/>
    <m/>
    <m/>
  </r>
  <r>
    <x v="14"/>
    <x v="14"/>
    <x v="6"/>
    <x v="70"/>
    <x v="27"/>
    <x v="344"/>
    <x v="344"/>
    <x v="344"/>
    <x v="344"/>
    <x v="344"/>
    <x v="16"/>
    <x v="44"/>
    <x v="4"/>
    <x v="6"/>
    <x v="35"/>
    <x v="1"/>
    <m/>
    <m/>
    <m/>
    <m/>
    <m/>
    <m/>
    <m/>
    <m/>
    <m/>
    <m/>
    <m/>
    <m/>
    <x v="0"/>
    <x v="1"/>
    <x v="2"/>
    <m/>
    <m/>
    <m/>
    <m/>
    <m/>
    <m/>
    <m/>
    <m/>
    <m/>
    <x v="5"/>
    <x v="5"/>
    <x v="1"/>
    <x v="0"/>
    <x v="0"/>
    <x v="0"/>
    <x v="0"/>
    <x v="0"/>
    <x v="0"/>
    <x v="0"/>
    <x v="1"/>
    <x v="1"/>
    <x v="1"/>
    <x v="1"/>
    <x v="344"/>
    <x v="4"/>
    <x v="3"/>
    <x v="3"/>
    <m/>
    <m/>
    <m/>
    <m/>
    <m/>
    <m/>
    <m/>
    <m/>
    <m/>
    <m/>
    <m/>
    <m/>
    <m/>
    <m/>
    <m/>
    <m/>
    <m/>
    <m/>
    <m/>
    <m/>
    <m/>
    <m/>
    <m/>
    <m/>
    <m/>
    <m/>
    <m/>
    <m/>
    <m/>
    <m/>
    <m/>
    <m/>
    <m/>
    <m/>
    <m/>
    <m/>
    <m/>
    <m/>
    <m/>
    <m/>
    <m/>
    <m/>
  </r>
  <r>
    <x v="14"/>
    <x v="14"/>
    <x v="6"/>
    <x v="70"/>
    <x v="27"/>
    <x v="344"/>
    <x v="344"/>
    <x v="344"/>
    <x v="344"/>
    <x v="344"/>
    <x v="16"/>
    <x v="44"/>
    <x v="4"/>
    <x v="6"/>
    <x v="35"/>
    <x v="1"/>
    <m/>
    <m/>
    <m/>
    <m/>
    <m/>
    <m/>
    <m/>
    <m/>
    <m/>
    <m/>
    <m/>
    <m/>
    <x v="0"/>
    <x v="1"/>
    <x v="2"/>
    <m/>
    <m/>
    <m/>
    <m/>
    <m/>
    <m/>
    <m/>
    <m/>
    <m/>
    <x v="5"/>
    <x v="5"/>
    <x v="1"/>
    <x v="0"/>
    <x v="0"/>
    <x v="0"/>
    <x v="0"/>
    <x v="0"/>
    <x v="0"/>
    <x v="0"/>
    <x v="1"/>
    <x v="1"/>
    <x v="1"/>
    <x v="1"/>
    <x v="344"/>
    <x v="4"/>
    <x v="3"/>
    <x v="3"/>
    <m/>
    <m/>
    <m/>
    <m/>
    <m/>
    <m/>
    <m/>
    <m/>
    <m/>
    <m/>
    <m/>
    <m/>
    <m/>
    <m/>
    <m/>
    <m/>
    <m/>
    <m/>
    <m/>
    <m/>
    <m/>
    <m/>
    <m/>
    <m/>
    <m/>
    <m/>
    <m/>
    <m/>
    <m/>
    <m/>
    <m/>
    <m/>
    <m/>
    <m/>
    <m/>
    <m/>
    <m/>
    <m/>
    <m/>
    <m/>
    <m/>
    <m/>
  </r>
  <r>
    <x v="14"/>
    <x v="14"/>
    <x v="6"/>
    <x v="70"/>
    <x v="27"/>
    <x v="344"/>
    <x v="344"/>
    <x v="344"/>
    <x v="344"/>
    <x v="344"/>
    <x v="16"/>
    <x v="44"/>
    <x v="4"/>
    <x v="6"/>
    <x v="35"/>
    <x v="1"/>
    <m/>
    <m/>
    <m/>
    <m/>
    <m/>
    <m/>
    <m/>
    <m/>
    <m/>
    <m/>
    <m/>
    <m/>
    <x v="0"/>
    <x v="1"/>
    <x v="2"/>
    <m/>
    <m/>
    <m/>
    <m/>
    <m/>
    <m/>
    <m/>
    <m/>
    <m/>
    <x v="5"/>
    <x v="5"/>
    <x v="1"/>
    <x v="0"/>
    <x v="0"/>
    <x v="0"/>
    <x v="0"/>
    <x v="0"/>
    <x v="0"/>
    <x v="0"/>
    <x v="1"/>
    <x v="1"/>
    <x v="1"/>
    <x v="1"/>
    <x v="344"/>
    <x v="4"/>
    <x v="3"/>
    <x v="3"/>
    <m/>
    <m/>
    <m/>
    <m/>
    <m/>
    <m/>
    <m/>
    <m/>
    <m/>
    <m/>
    <m/>
    <m/>
    <m/>
    <m/>
    <m/>
    <m/>
    <m/>
    <m/>
    <m/>
    <m/>
    <m/>
    <m/>
    <m/>
    <m/>
    <m/>
    <m/>
    <m/>
    <m/>
    <m/>
    <m/>
    <m/>
    <m/>
    <m/>
    <m/>
    <m/>
    <m/>
    <m/>
    <m/>
    <m/>
    <m/>
    <m/>
    <m/>
  </r>
  <r>
    <x v="14"/>
    <x v="14"/>
    <x v="6"/>
    <x v="70"/>
    <x v="27"/>
    <x v="344"/>
    <x v="344"/>
    <x v="344"/>
    <x v="344"/>
    <x v="344"/>
    <x v="16"/>
    <x v="44"/>
    <x v="4"/>
    <x v="6"/>
    <x v="35"/>
    <x v="1"/>
    <m/>
    <m/>
    <m/>
    <m/>
    <m/>
    <m/>
    <m/>
    <m/>
    <m/>
    <m/>
    <m/>
    <m/>
    <x v="0"/>
    <x v="1"/>
    <x v="2"/>
    <m/>
    <m/>
    <m/>
    <m/>
    <m/>
    <m/>
    <m/>
    <m/>
    <m/>
    <x v="5"/>
    <x v="5"/>
    <x v="1"/>
    <x v="0"/>
    <x v="0"/>
    <x v="0"/>
    <x v="0"/>
    <x v="0"/>
    <x v="0"/>
    <x v="0"/>
    <x v="1"/>
    <x v="1"/>
    <x v="1"/>
    <x v="1"/>
    <x v="344"/>
    <x v="4"/>
    <x v="3"/>
    <x v="3"/>
    <m/>
    <m/>
    <m/>
    <m/>
    <m/>
    <m/>
    <m/>
    <m/>
    <m/>
    <m/>
    <m/>
    <m/>
    <m/>
    <m/>
    <m/>
    <m/>
    <m/>
    <m/>
    <m/>
    <m/>
    <m/>
    <m/>
    <m/>
    <m/>
    <m/>
    <m/>
    <m/>
    <m/>
    <m/>
    <m/>
    <m/>
    <m/>
    <m/>
    <m/>
    <m/>
    <m/>
    <m/>
    <m/>
    <m/>
    <m/>
    <m/>
    <m/>
  </r>
  <r>
    <x v="14"/>
    <x v="14"/>
    <x v="6"/>
    <x v="70"/>
    <x v="27"/>
    <x v="344"/>
    <x v="344"/>
    <x v="344"/>
    <x v="344"/>
    <x v="344"/>
    <x v="16"/>
    <x v="44"/>
    <x v="4"/>
    <x v="6"/>
    <x v="35"/>
    <x v="1"/>
    <m/>
    <m/>
    <m/>
    <m/>
    <m/>
    <m/>
    <m/>
    <m/>
    <m/>
    <m/>
    <m/>
    <m/>
    <x v="0"/>
    <x v="1"/>
    <x v="2"/>
    <m/>
    <m/>
    <m/>
    <m/>
    <m/>
    <m/>
    <m/>
    <m/>
    <m/>
    <x v="5"/>
    <x v="5"/>
    <x v="1"/>
    <x v="0"/>
    <x v="0"/>
    <x v="0"/>
    <x v="0"/>
    <x v="0"/>
    <x v="0"/>
    <x v="0"/>
    <x v="1"/>
    <x v="1"/>
    <x v="1"/>
    <x v="1"/>
    <x v="344"/>
    <x v="4"/>
    <x v="3"/>
    <x v="3"/>
    <m/>
    <m/>
    <m/>
    <m/>
    <m/>
    <m/>
    <m/>
    <m/>
    <m/>
    <m/>
    <m/>
    <m/>
    <m/>
    <m/>
    <m/>
    <m/>
    <m/>
    <m/>
    <m/>
    <m/>
    <m/>
    <m/>
    <m/>
    <m/>
    <m/>
    <m/>
    <m/>
    <m/>
    <m/>
    <m/>
    <m/>
    <m/>
    <m/>
    <m/>
    <m/>
    <m/>
    <m/>
    <m/>
    <m/>
    <m/>
    <m/>
    <m/>
  </r>
  <r>
    <x v="14"/>
    <x v="14"/>
    <x v="6"/>
    <x v="70"/>
    <x v="27"/>
    <x v="344"/>
    <x v="344"/>
    <x v="344"/>
    <x v="344"/>
    <x v="344"/>
    <x v="16"/>
    <x v="44"/>
    <x v="4"/>
    <x v="6"/>
    <x v="35"/>
    <x v="1"/>
    <m/>
    <m/>
    <m/>
    <m/>
    <m/>
    <m/>
    <m/>
    <m/>
    <m/>
    <m/>
    <m/>
    <m/>
    <x v="0"/>
    <x v="1"/>
    <x v="2"/>
    <m/>
    <m/>
    <m/>
    <m/>
    <m/>
    <m/>
    <m/>
    <m/>
    <m/>
    <x v="5"/>
    <x v="5"/>
    <x v="1"/>
    <x v="0"/>
    <x v="0"/>
    <x v="0"/>
    <x v="0"/>
    <x v="0"/>
    <x v="0"/>
    <x v="0"/>
    <x v="1"/>
    <x v="1"/>
    <x v="1"/>
    <x v="1"/>
    <x v="344"/>
    <x v="4"/>
    <x v="3"/>
    <x v="3"/>
    <m/>
    <m/>
    <m/>
    <m/>
    <m/>
    <m/>
    <m/>
    <m/>
    <m/>
    <m/>
    <m/>
    <m/>
    <m/>
    <m/>
    <m/>
    <m/>
    <m/>
    <m/>
    <m/>
    <m/>
    <m/>
    <m/>
    <m/>
    <m/>
    <m/>
    <m/>
    <m/>
    <m/>
    <m/>
    <m/>
    <m/>
    <m/>
    <m/>
    <m/>
    <m/>
    <m/>
    <m/>
    <m/>
    <m/>
    <m/>
    <m/>
    <m/>
  </r>
</pivotCacheRecords>
</file>

<file path=xl/pivotCache/pivotCacheRecords2.xml><?xml version="1.0" encoding="utf-8"?>
<pivotCacheRecords xmlns="http://schemas.openxmlformats.org/spreadsheetml/2006/main" xmlns:r="http://schemas.openxmlformats.org/officeDocument/2006/relationships" count="331">
  <r>
    <x v="0"/>
    <s v="03/05/2018"/>
    <x v="0"/>
    <s v="Universalización de los servicios básicos"/>
    <s v="0204"/>
    <s v="El 100% de las bolivianas y los bolivianos están integrados a través de sistemas de transporte en sus diferentes modalidades."/>
    <n v="1"/>
    <s v="2.4.1"/>
    <n v="48"/>
    <s v="2.4.48"/>
    <s v="0204048"/>
    <s v="Dobles vías"/>
    <s v="Servicios Básicos"/>
    <s v="Transporte"/>
    <s v="Producto"/>
    <s v="Económica"/>
    <s v="Transporte"/>
    <m/>
    <m/>
    <s v="PD"/>
    <m/>
    <m/>
    <m/>
    <n v="3.3333333333333335"/>
    <n v="0"/>
    <n v="1"/>
    <s v="Etapa 2"/>
    <m/>
    <n v="9"/>
    <s v="9.1 Desarrollar infraestructuras fiables, sostenibles, resilientes y de calidad, incluidas infraestructuras regionales y transfronterizas, para apoyar el desarrollo económico y el bienestar humano, haciendo especial hincapié en el acceso asequible y equitativo para todos"/>
    <m/>
    <m/>
    <x v="0"/>
    <m/>
    <n v="1"/>
    <s v="02040481"/>
    <x v="0"/>
    <s v="Producto"/>
    <m/>
    <s v="Geografica"/>
    <s v="kilómetros"/>
    <s v="Es el número de kilómetros de doble vía construidos durante la gestión 2016-2020"/>
    <s v="x= número de km DV construidos"/>
    <s v="número de kilómetros doble vìa construidos a junio 2018"/>
    <s v="Reportes administrativos ABC"/>
    <s v="No aplica"/>
    <s v="No aplica"/>
    <n v="2006"/>
    <s v="Ninguna"/>
    <n v="1"/>
    <s v="020404811"/>
    <s v="RA"/>
    <s v="No aplica"/>
    <s v="Registro administrativo"/>
    <s v="Semestral"/>
    <n v="2006"/>
    <s v="Departamento"/>
    <s v="Departamental y municipal"/>
    <s v="Proyectos bidepartamentales"/>
    <s v="Ninguna"/>
    <s v="Ministerio de Obras Públicas, Servicios y Vivienda (MOPSV)"/>
    <s v="Administradora Boliviana de Carreteras (ABC)"/>
    <s v="Administradora Boliviana de Carreteras (ABC)"/>
    <n v="2159800"/>
    <n v="2015"/>
    <n v="0"/>
    <n v="996.16"/>
    <m/>
    <n v="996.16"/>
    <n v="5"/>
    <n v="199.232"/>
    <n v="199.232"/>
    <n v="199.232"/>
    <n v="0.2"/>
    <n v="398.464"/>
    <n v="47.5"/>
    <n v="47.5"/>
    <n v="4.7683103115965311E-2"/>
    <n v="597.69600000000003"/>
    <n v="308.45999999999998"/>
    <n v="308.45999999999998"/>
    <n v="0.30964905236106649"/>
    <n v="796.928"/>
    <n v="87.75"/>
    <n v="87.75"/>
    <n v="8.8088258914230652E-2"/>
    <n v="996.16"/>
    <n v="552.45000000000005"/>
    <n v="552.45000000000005"/>
    <n v="0.55457958560873766"/>
    <s v="Anual"/>
    <s v="Entregado"/>
    <m/>
    <m/>
    <m/>
  </r>
  <r>
    <x v="0"/>
    <s v="03/05/2018"/>
    <x v="0"/>
    <s v="Universalización de los servicios básicos"/>
    <s v="0204"/>
    <s v="El 100% de las bolivianas y los bolivianos están integrados a través de sistemas de transporte en sus diferentes modalidades."/>
    <n v="1"/>
    <s v="2.4.1"/>
    <n v="48"/>
    <s v="2.4.48"/>
    <s v="0204048"/>
    <s v="Dobles vías"/>
    <s v="Servicios Básicos"/>
    <s v="Transporte"/>
    <s v="Producto"/>
    <s v="Económica"/>
    <s v="Transporte"/>
    <m/>
    <m/>
    <s v="PD"/>
    <m/>
    <m/>
    <m/>
    <n v="3.3333333333333335"/>
    <n v="0"/>
    <n v="1"/>
    <s v="Etapa 2"/>
    <m/>
    <n v="9"/>
    <s v="9.1 Desarrollar infraestructuras fiables, sostenibles, resilientes y de calidad, incluidas infraestructuras regionales y transfronterizas, para apoyar el desarrollo económico y el bienestar humano, haciendo especial hincapié en el acceso asequible y equitativo para todos"/>
    <m/>
    <m/>
    <x v="0"/>
    <m/>
    <n v="2"/>
    <s v="02040482"/>
    <x v="1"/>
    <s v="Proceso"/>
    <m/>
    <s v="Geografica"/>
    <s v="Porcentaje"/>
    <s v="Es el porcentaje de cumplimiento de kilómetros de doble vía construidos respecto de la meta inicial establecida en el PDES 2016 - 2020"/>
    <s v="x= (número de km DV construidos / número de km DV establecidos en PDES) * 100"/>
    <s v="número de kilómetros doble vìa construidos a junio 2018"/>
    <s v="Reportes administrativos ABC"/>
    <s v="número de kilómetros doble vìa a construir establecidos en PDES 2016 - 2020"/>
    <s v="Reportes administrativos ABC"/>
    <n v="2006"/>
    <s v="Ninguna"/>
    <n v="1"/>
    <s v="020404821"/>
    <s v="RA"/>
    <s v="No aplica"/>
    <s v="Registro administrativo"/>
    <s v="Semestral"/>
    <n v="2006"/>
    <s v="Departamento"/>
    <s v="Departamental y municipal"/>
    <s v="Proyectos bidepartamentales"/>
    <s v="Ninguna"/>
    <s v="Ministerio de Obras Públicas, Servicios y Vivienda (MOPSV)"/>
    <s v="Administradora Boliviana de Carreteras (ABC)"/>
    <s v="Administradora Boliviana de Carreteras (ABC)"/>
    <n v="2159800"/>
    <n v="2015"/>
    <n v="0"/>
    <n v="1"/>
    <m/>
    <n v="1"/>
    <n v="5"/>
    <n v="0.2"/>
    <n v="0.2"/>
    <n v="0.2"/>
    <n v="0.2"/>
    <n v="0.4"/>
    <n v="4.7683103115965311E-2"/>
    <n v="4.7683103115965311E-2"/>
    <n v="4.7683103115965311E-2"/>
    <n v="0.60000000000000009"/>
    <n v="0.30964905236106649"/>
    <n v="0.30964905236106649"/>
    <n v="0.30964905236106649"/>
    <n v="0.8"/>
    <n v="8.8088258914230652E-2"/>
    <n v="8.8088258914230652E-2"/>
    <n v="8.8088258914230652E-2"/>
    <n v="1"/>
    <n v="0.55457958560873766"/>
    <n v="0.55457958560873766"/>
    <n v="0.55457958560873766"/>
    <s v="Anual"/>
    <s v="Entregado"/>
    <m/>
    <m/>
    <m/>
  </r>
  <r>
    <x v="0"/>
    <s v="03/05/2018"/>
    <x v="0"/>
    <s v="Universalización de los servicios básicos"/>
    <s v="0204"/>
    <s v="El 100% de las bolivianas y los bolivianos están integrados a través de sistemas de transporte en sus diferentes modalidades."/>
    <n v="2"/>
    <s v="2.4.2"/>
    <n v="49"/>
    <s v="2.4.49"/>
    <s v="0204049"/>
    <s v="Corredor Bioceánico."/>
    <s v="Servicios Básicos"/>
    <s v="Transporte"/>
    <s v="Producto"/>
    <s v="Económica"/>
    <s v="Transporte"/>
    <m/>
    <m/>
    <s v="PD"/>
    <m/>
    <m/>
    <m/>
    <n v="3.3333333333333335"/>
    <n v="0"/>
    <n v="1"/>
    <s v="Etapa 2"/>
    <m/>
    <n v="9"/>
    <s v="9.1 Desarrollar infraestructuras fiables, sostenibles, resilientes y de calidad, incluidas infraestructuras regionales y transfronterizas, para apoyar el desarrollo económico y el bienestar humano, haciendo especial hincapié en el acceso asequible y equitativo para todos"/>
    <m/>
    <m/>
    <x v="0"/>
    <m/>
    <n v="1"/>
    <s v="02040491"/>
    <x v="2"/>
    <s v="Producto"/>
    <m/>
    <s v="Geografica"/>
    <s v="kilómetros"/>
    <s v="Es el número de kilómetros de construidos durante la gestión 2016-2020"/>
    <s v="x= número de km construidos"/>
    <s v="número de kilómetros construidos a junio 2018"/>
    <s v="Reportes administrativos ABC"/>
    <s v="No aplica"/>
    <s v="No aplica"/>
    <n v="2006"/>
    <s v="Ninguna"/>
    <n v="1"/>
    <s v="020404911"/>
    <s v="RA"/>
    <s v="No aplica"/>
    <s v="Registro administrativo"/>
    <s v="Semestral"/>
    <n v="2006"/>
    <s v="Departamento"/>
    <s v="Departamental y municipal"/>
    <s v="Proyectos bidepartamentales"/>
    <s v="Ninguna"/>
    <s v="Ministerio de Obras Públicas, Servicios y Vivienda (MOPSV)"/>
    <s v="Administradora Boliviana de Carreteras (ABC)"/>
    <s v="Administradora Boliviana de Carreteras (ABC)"/>
    <n v="2159800"/>
    <n v="2015"/>
    <n v="0"/>
    <n v="740.72"/>
    <m/>
    <n v="740.72"/>
    <n v="5"/>
    <n v="148.14400000000001"/>
    <n v="148.14400000000001"/>
    <n v="148.14400000000001"/>
    <n v="0.2"/>
    <n v="296.28800000000001"/>
    <n v="222.07"/>
    <n v="222.07"/>
    <n v="0.29980289448104547"/>
    <n v="444.43200000000002"/>
    <n v="27.02"/>
    <n v="27.02"/>
    <n v="3.6478021384598769E-2"/>
    <n v="592.57600000000002"/>
    <n v="0"/>
    <n v="0"/>
    <n v="0"/>
    <n v="740.72"/>
    <n v="446.8"/>
    <n v="446.8"/>
    <n v="0.6031968895129064"/>
    <s v="Anual"/>
    <s v="Entregado"/>
    <m/>
    <m/>
    <m/>
  </r>
  <r>
    <x v="0"/>
    <s v="03/05/2018"/>
    <x v="0"/>
    <s v="Universalización de los servicios básicos"/>
    <s v="0204"/>
    <s v="El 100% de las bolivianas y los bolivianos están integrados a través de sistemas de transporte en sus diferentes modalidades."/>
    <n v="2"/>
    <s v="2.4.2"/>
    <n v="49"/>
    <s v="2.4.49"/>
    <s v="0204049"/>
    <s v="Corredor Bioceánico."/>
    <s v="Servicios Básicos"/>
    <s v="Transporte"/>
    <s v="Producto"/>
    <s v="Económica"/>
    <s v="Transporte"/>
    <m/>
    <m/>
    <s v="PD"/>
    <m/>
    <m/>
    <m/>
    <n v="3.3333333333333335"/>
    <n v="0"/>
    <n v="1"/>
    <s v="Etapa 2"/>
    <m/>
    <n v="9"/>
    <s v="9.1 Desarrollar infraestructuras fiables, sostenibles, resilientes y de calidad, incluidas infraestructuras regionales y transfronterizas, para apoyar el desarrollo económico y el bienestar humano, haciendo especial hincapié en el acceso asequible y equitativo para todos"/>
    <m/>
    <m/>
    <x v="0"/>
    <m/>
    <n v="2"/>
    <s v="02040492"/>
    <x v="3"/>
    <s v="Proceso"/>
    <m/>
    <s v="Geografica"/>
    <s v="Porcentaje"/>
    <s v="Es el porcentaje de cumplimiento de kilómetros construidos respecto de la meta inicial establecida en el PDES 2016 - 2020"/>
    <s v="x= (número de km construidos / número de km establecidos en PDES) * 100"/>
    <s v="número de kilómetros construidos a junio 2018"/>
    <s v="Reportes administrativos ABC"/>
    <s v="número de kilómetros a construir establecidos en PDES 2016 - 2020"/>
    <s v="Reportes administrativos ABC"/>
    <n v="2006"/>
    <s v="Ninguna"/>
    <n v="1"/>
    <s v="020404921"/>
    <s v="RA"/>
    <s v="No aplica"/>
    <s v="Registro administrativo"/>
    <s v="Semestral"/>
    <n v="2006"/>
    <s v="Departamento"/>
    <s v="Departamental y municipal"/>
    <s v="Proyectos bidepartamentales"/>
    <s v="Ninguna"/>
    <s v="Ministerio de Obras Públicas, Servicios y Vivienda (MOPSV)"/>
    <s v="Administradora Boliviana de Carreteras (ABC)"/>
    <s v="Administradora Boliviana de Carreteras (ABC)"/>
    <n v="2159800"/>
    <n v="2015"/>
    <n v="0"/>
    <n v="1"/>
    <m/>
    <n v="1"/>
    <n v="5"/>
    <n v="0.2"/>
    <n v="0.2"/>
    <n v="0.2"/>
    <n v="0.2"/>
    <n v="0.4"/>
    <n v="0.29980289448104547"/>
    <n v="0.29980289448104547"/>
    <n v="0.29980289448104547"/>
    <n v="0.60000000000000009"/>
    <n v="3.6478021384598769E-2"/>
    <n v="3.6478021384598769E-2"/>
    <n v="3.6478021384598769E-2"/>
    <n v="0.8"/>
    <n v="0"/>
    <n v="0"/>
    <n v="0"/>
    <n v="1"/>
    <n v="0.6031968895129064"/>
    <n v="0.6031968895129064"/>
    <n v="0.6031968895129064"/>
    <s v="Anual"/>
    <s v="Entregado"/>
    <m/>
    <m/>
    <m/>
  </r>
  <r>
    <x v="0"/>
    <s v="03/05/2018"/>
    <x v="0"/>
    <s v="Universalización de los servicios básicos"/>
    <s v="0204"/>
    <s v="El 100% de las bolivianas y los bolivianos están integrados a través de sistemas de transporte en sus diferentes modalidades."/>
    <n v="3"/>
    <s v="2.4.3"/>
    <n v="50"/>
    <s v="2.4.50"/>
    <s v="0204050"/>
    <s v="Corredor Norte – Sur."/>
    <s v="Servicios Básicos"/>
    <s v="Transporte"/>
    <s v="Producto"/>
    <s v="Económica"/>
    <s v="Transporte"/>
    <m/>
    <m/>
    <s v="PD"/>
    <m/>
    <m/>
    <m/>
    <n v="3.3333333333333335"/>
    <n v="0"/>
    <n v="1"/>
    <s v="Etapa 2"/>
    <m/>
    <n v="9"/>
    <s v="9.1 Desarrollar infraestructuras fiables, sostenibles, resilientes y de calidad, incluidas infraestructuras regionales y transfronterizas, para apoyar el desarrollo económico y el bienestar humano, haciendo especial hincapié en el acceso asequible y equitativo para todos"/>
    <m/>
    <m/>
    <x v="0"/>
    <m/>
    <n v="1"/>
    <s v="02040501"/>
    <x v="4"/>
    <s v="Producto"/>
    <m/>
    <s v="Geografica"/>
    <s v="kilómetros"/>
    <s v="Es el número de kilómetros de construidos durante la gestión 2016-2020"/>
    <s v="x= número de km construidos"/>
    <s v="número de kilómetros construidos a junio 2018"/>
    <s v="Reportes administrativos ABC"/>
    <s v="No aplica"/>
    <s v="No aplica"/>
    <n v="2006"/>
    <s v="Ninguna"/>
    <n v="1"/>
    <s v="020405011"/>
    <s v="RA"/>
    <s v="No aplica"/>
    <s v="Registro administrativo"/>
    <s v="Semestral"/>
    <n v="2006"/>
    <s v="Departamento"/>
    <s v="Departamental y municipal"/>
    <s v="Proyectos bidepartamentales"/>
    <s v="Ninguna"/>
    <s v="Ministerio de Obras Públicas, Servicios y Vivienda (MOPSV)"/>
    <s v="Administradora Boliviana de Carreteras (ABC)"/>
    <s v="Administradora Boliviana de Carreteras (ABC)"/>
    <n v="2159800"/>
    <n v="2015"/>
    <n v="0"/>
    <n v="785"/>
    <m/>
    <n v="785"/>
    <n v="5"/>
    <n v="157"/>
    <n v="157"/>
    <n v="157"/>
    <n v="0.2"/>
    <n v="314"/>
    <n v="0"/>
    <n v="0"/>
    <n v="0"/>
    <n v="471"/>
    <n v="0"/>
    <n v="0"/>
    <n v="0"/>
    <n v="628"/>
    <n v="0"/>
    <n v="0"/>
    <n v="0"/>
    <n v="785"/>
    <n v="785"/>
    <n v="785"/>
    <n v="1"/>
    <s v="Anual"/>
    <s v="Entregado"/>
    <m/>
    <m/>
    <m/>
  </r>
  <r>
    <x v="0"/>
    <s v="03/05/2018"/>
    <x v="0"/>
    <s v="Universalización de los servicios básicos"/>
    <s v="0204"/>
    <s v="El 100% de las bolivianas y los bolivianos están integrados a través de sistemas de transporte en sus diferentes modalidades."/>
    <n v="3"/>
    <s v="2.4.3"/>
    <n v="50"/>
    <s v="2.4.50"/>
    <s v="0204050"/>
    <s v="Corredor Norte – Sur."/>
    <s v="Servicios Básicos"/>
    <s v="Transporte"/>
    <s v="Producto"/>
    <s v="Económica"/>
    <s v="Transporte"/>
    <m/>
    <m/>
    <s v="PD"/>
    <m/>
    <m/>
    <m/>
    <n v="3.3333333333333335"/>
    <n v="0"/>
    <n v="1"/>
    <s v="Etapa 2"/>
    <m/>
    <n v="9"/>
    <s v="9.1 Desarrollar infraestructuras fiables, sostenibles, resilientes y de calidad, incluidas infraestructuras regionales y transfronterizas, para apoyar el desarrollo económico y el bienestar humano, haciendo especial hincapié en el acceso asequible y equitativo para todos"/>
    <m/>
    <m/>
    <x v="0"/>
    <m/>
    <n v="2"/>
    <s v="02040502"/>
    <x v="5"/>
    <s v="Proceso"/>
    <m/>
    <s v="Geografica"/>
    <s v="Porcentaje"/>
    <s v="Es el porcentaje de cumplimiento de kilómetros construidos respecto de la meta inicial establecida en el PDES 2016 - 2020"/>
    <s v="x= (número de km construidos / número de km establecidos en PDES) * 100"/>
    <s v="número de kilómetros construidos a junio 2018"/>
    <s v="Reportes administrativos ABC"/>
    <s v="número de kilómetros a construir establecidos en PDES 2016 - 2020"/>
    <s v="Reportes administrativos ABC"/>
    <n v="2006"/>
    <s v="Ninguna"/>
    <n v="1"/>
    <s v="020405021"/>
    <s v="RA"/>
    <s v="No aplica"/>
    <s v="Registro administrativo"/>
    <s v="Semestral"/>
    <n v="2006"/>
    <s v="Departamento"/>
    <s v="Departamental y municipal"/>
    <s v="Proyectos bidepartamentales"/>
    <s v="Ninguna"/>
    <s v="Ministerio de Obras Públicas, Servicios y Vivienda (MOPSV)"/>
    <s v="Administradora Boliviana de Carreteras (ABC)"/>
    <s v="Administradora Boliviana de Carreteras (ABC)"/>
    <n v="2159800"/>
    <n v="2015"/>
    <n v="0"/>
    <n v="1"/>
    <m/>
    <n v="1"/>
    <n v="5"/>
    <n v="0.2"/>
    <n v="0.2"/>
    <n v="0.2"/>
    <n v="0.2"/>
    <n v="0.4"/>
    <n v="0"/>
    <n v="0"/>
    <n v="0"/>
    <n v="0.60000000000000009"/>
    <n v="0"/>
    <n v="0"/>
    <n v="0"/>
    <n v="0.8"/>
    <n v="0"/>
    <n v="0"/>
    <n v="0"/>
    <n v="1"/>
    <n v="1"/>
    <n v="1"/>
    <n v="1"/>
    <s v="Anual"/>
    <s v="Entregado"/>
    <m/>
    <m/>
    <m/>
  </r>
  <r>
    <x v="0"/>
    <s v="03/05/2018"/>
    <x v="0"/>
    <s v="Universalización de los servicios básicos"/>
    <s v="0204"/>
    <s v="El 100% de las bolivianas y los bolivianos están integrados a través de sistemas de transporte en sus diferentes modalidades."/>
    <n v="4"/>
    <s v="2.4.5"/>
    <n v="51"/>
    <s v="2.4.51"/>
    <s v="0204051"/>
    <s v="Corredor Oeste – Norte."/>
    <s v="Servicios Básicos"/>
    <s v="Transporte"/>
    <s v="Producto"/>
    <s v="Económica"/>
    <s v="Transporte"/>
    <m/>
    <m/>
    <s v="PD"/>
    <m/>
    <m/>
    <m/>
    <n v="3.3333333333333335"/>
    <n v="0"/>
    <n v="1"/>
    <s v="Etapa 2"/>
    <m/>
    <n v="9"/>
    <s v="9.1 Desarrollar infraestructuras fiables, sostenibles, resilientes y de calidad, incluidas infraestructuras regionales y transfronterizas, para apoyar el desarrollo económico y el bienestar humano, haciendo especial hincapié en el acceso asequible y equitativo para todos"/>
    <m/>
    <m/>
    <x v="0"/>
    <m/>
    <n v="1"/>
    <s v="02040511"/>
    <x v="6"/>
    <s v="Producto"/>
    <m/>
    <s v="Geografica"/>
    <s v="kilómetros"/>
    <s v="Es el número de kilómetros de construidos durante la gestión 2016-2020"/>
    <s v="x= número de km construidos"/>
    <s v="número de kilómetros construidos a junio 2018"/>
    <s v="Reportes administrativos ABC"/>
    <s v="No aplica"/>
    <s v="No aplica"/>
    <n v="2006"/>
    <s v="Ninguna"/>
    <n v="1"/>
    <s v="020405111"/>
    <s v="RA"/>
    <s v="No aplica"/>
    <s v="Registro administrativo"/>
    <s v="Semestral"/>
    <n v="2006"/>
    <s v="Departamento"/>
    <s v="Departamental y municipal"/>
    <s v="Proyectos bidepartamentales"/>
    <s v="Ninguna"/>
    <s v="Ministerio de Obras Públicas, Servicios y Vivienda (MOPSV)"/>
    <s v="Administradora Boliviana de Carreteras (ABC)"/>
    <s v="Administradora Boliviana de Carreteras (ABC)"/>
    <n v="2159800"/>
    <n v="2015"/>
    <n v="0"/>
    <n v="1879.52"/>
    <m/>
    <n v="1879.52"/>
    <n v="5"/>
    <n v="375.904"/>
    <n v="375.904"/>
    <n v="375.904"/>
    <n v="0.2"/>
    <n v="751.80799999999999"/>
    <n v="0"/>
    <n v="0"/>
    <n v="0"/>
    <n v="1127.712"/>
    <n v="117.22"/>
    <n v="117.22"/>
    <n v="6.2366987315910442E-2"/>
    <n v="1503.616"/>
    <n v="436.34"/>
    <n v="436.34"/>
    <n v="0.23215501830254531"/>
    <n v="1879.52"/>
    <n v="1325.96"/>
    <n v="1325.96"/>
    <n v="0.70547799438154424"/>
    <s v="Anual"/>
    <s v="Entregado"/>
    <m/>
    <m/>
    <m/>
  </r>
  <r>
    <x v="0"/>
    <s v="03/05/2018"/>
    <x v="0"/>
    <s v="Universalización de los servicios básicos"/>
    <s v="0204"/>
    <s v="El 100% de las bolivianas y los bolivianos están integrados a través de sistemas de transporte en sus diferentes modalidades."/>
    <n v="4"/>
    <s v="2.4.5"/>
    <n v="51"/>
    <s v="2.4.51"/>
    <s v="0204051"/>
    <s v="Corredor Oeste – Norte."/>
    <s v="Servicios Básicos"/>
    <s v="Transporte"/>
    <s v="Producto"/>
    <s v="Económica"/>
    <s v="Transporte"/>
    <m/>
    <m/>
    <s v="PD"/>
    <m/>
    <m/>
    <m/>
    <n v="3.3333333333333335"/>
    <n v="0"/>
    <n v="1"/>
    <s v="Etapa 2"/>
    <m/>
    <n v="9"/>
    <s v="9.1 Desarrollar infraestructuras fiables, sostenibles, resilientes y de calidad, incluidas infraestructuras regionales y transfronterizas, para apoyar el desarrollo económico y el bienestar humano, haciendo especial hincapié en el acceso asequible y equitativo para todos"/>
    <m/>
    <m/>
    <x v="0"/>
    <m/>
    <n v="2"/>
    <s v="02040512"/>
    <x v="7"/>
    <s v="Proceso"/>
    <m/>
    <s v="Geografica"/>
    <s v="Porcentaje"/>
    <s v="Es el porcentaje de cumplimiento de kilómetros construidos respecto de la meta inicial establecida en el PDES 2016 - 2020"/>
    <s v="x= (número de km construidos / número de km establecidos en PDES) * 100"/>
    <s v="número de kilómetros construidos a junio 2018"/>
    <s v="Reportes administrativos ABC"/>
    <s v="número de kilómetros a construir establecidos en PDES 2016 - 2020"/>
    <s v="Reportes administrativos ABC"/>
    <n v="2006"/>
    <s v="Ninguna"/>
    <n v="1"/>
    <s v="020405121"/>
    <s v="RA"/>
    <s v="No aplica"/>
    <s v="Registro administrativo"/>
    <s v="Semestral"/>
    <n v="2006"/>
    <s v="Departamento"/>
    <s v="Departamental y municipal"/>
    <s v="Proyectos bidepartamentales"/>
    <s v="Ninguna"/>
    <s v="Ministerio de Obras Públicas, Servicios y Vivienda (MOPSV)"/>
    <s v="Administradora Boliviana de Carreteras (ABC)"/>
    <s v="Administradora Boliviana de Carreteras (ABC)"/>
    <n v="2159800"/>
    <n v="2015"/>
    <n v="0"/>
    <n v="1"/>
    <m/>
    <n v="1"/>
    <n v="5"/>
    <n v="0.2"/>
    <n v="0.2"/>
    <n v="0.2"/>
    <n v="0.2"/>
    <n v="0.4"/>
    <n v="0"/>
    <n v="0"/>
    <n v="0"/>
    <n v="0.60000000000000009"/>
    <n v="6.2366987315910442E-2"/>
    <n v="6.2366987315910442E-2"/>
    <n v="6.2366987315910442E-2"/>
    <n v="0.8"/>
    <n v="0.23215501830254531"/>
    <n v="0.23215501830254531"/>
    <n v="0.23215501830254531"/>
    <n v="1"/>
    <n v="0.70547799438154424"/>
    <n v="0.70547799438154424"/>
    <n v="0.70547799438154424"/>
    <s v="Anual"/>
    <s v="Entregado"/>
    <m/>
    <m/>
    <m/>
  </r>
  <r>
    <x v="0"/>
    <s v="03/05/2018"/>
    <x v="0"/>
    <s v="Universalización de los servicios básicos"/>
    <s v="0204"/>
    <s v="El 100% de las bolivianas y los bolivianos están integrados a través de sistemas de transporte en sus diferentes modalidades."/>
    <n v="5"/>
    <s v="2.4.6"/>
    <n v="52"/>
    <s v="2.4.52"/>
    <s v="0204052"/>
    <s v="Diagonal Jaime Mendoza."/>
    <s v="Servicios Básicos"/>
    <s v="Transporte"/>
    <s v="Producto"/>
    <s v="Económica"/>
    <s v="Transporte"/>
    <m/>
    <m/>
    <s v="PD"/>
    <m/>
    <m/>
    <m/>
    <n v="3.3333333333333335"/>
    <n v="0"/>
    <n v="1"/>
    <s v="Etapa 2"/>
    <m/>
    <n v="9"/>
    <s v="9.1 Desarrollar infraestructuras fiables, sostenibles, resilientes y de calidad, incluidas infraestructuras regionales y transfronterizas, para apoyar el desarrollo económico y el bienestar humano, haciendo especial hincapié en el acceso asequible y equitativo para todos"/>
    <m/>
    <m/>
    <x v="0"/>
    <m/>
    <n v="1"/>
    <s v="02040521"/>
    <x v="8"/>
    <s v="Producto"/>
    <m/>
    <s v="Geografica"/>
    <s v="kilómetros"/>
    <s v="Es el número de kilómetros de construidos durante la gestión 2016-2020"/>
    <s v="x= número de km construidos"/>
    <s v="número de kilómetros construidos a junio 2018"/>
    <s v="Reportes administrativos ABC"/>
    <s v="No aplica"/>
    <s v="No aplica"/>
    <n v="2006"/>
    <s v="Ninguna"/>
    <n v="1"/>
    <s v="020405211"/>
    <s v="RA"/>
    <s v="No aplica"/>
    <s v="Registro administrativo"/>
    <s v="Semestral"/>
    <n v="2006"/>
    <s v="Departamento"/>
    <s v="Departamental y municipal"/>
    <s v="Proyectos bidepartamentales"/>
    <s v="Ninguna"/>
    <s v="Ministerio de Obras Públicas, Servicios y Vivienda (MOPSV)"/>
    <s v="Administradora Boliviana de Carreteras (ABC)"/>
    <s v="Administradora Boliviana de Carreteras (ABC)"/>
    <n v="2159800"/>
    <n v="2015"/>
    <n v="0"/>
    <n v="63.4"/>
    <m/>
    <n v="63.4"/>
    <n v="5"/>
    <n v="12.68"/>
    <n v="12.68"/>
    <n v="12.68"/>
    <n v="0.2"/>
    <n v="25.36"/>
    <n v="0"/>
    <n v="0"/>
    <n v="0"/>
    <n v="38.04"/>
    <n v="0"/>
    <n v="0"/>
    <n v="0"/>
    <n v="50.72"/>
    <n v="0"/>
    <n v="0"/>
    <n v="0"/>
    <n v="63.4"/>
    <n v="63.4"/>
    <n v="63.4"/>
    <n v="1"/>
    <s v="Anual"/>
    <s v="Entregado"/>
    <m/>
    <m/>
    <m/>
  </r>
  <r>
    <x v="0"/>
    <s v="03/05/2018"/>
    <x v="0"/>
    <s v="Universalización de los servicios básicos"/>
    <s v="0204"/>
    <s v="El 100% de las bolivianas y los bolivianos están integrados a través de sistemas de transporte en sus diferentes modalidades."/>
    <n v="5"/>
    <s v="2.4.6"/>
    <n v="52"/>
    <s v="2.4.52"/>
    <s v="0204052"/>
    <s v="Diagonal Jaime Mendoza."/>
    <s v="Servicios Básicos"/>
    <s v="Transporte"/>
    <s v="Producto"/>
    <s v="Económica"/>
    <s v="Transporte"/>
    <m/>
    <m/>
    <s v="PD"/>
    <m/>
    <m/>
    <m/>
    <n v="3.3333333333333335"/>
    <n v="0"/>
    <n v="1"/>
    <s v="Etapa 2"/>
    <m/>
    <n v="9"/>
    <s v="9.1 Desarrollar infraestructuras fiables, sostenibles, resilientes y de calidad, incluidas infraestructuras regionales y transfronterizas, para apoyar el desarrollo económico y el bienestar humano, haciendo especial hincapié en el acceso asequible y equitativo para todos"/>
    <m/>
    <m/>
    <x v="0"/>
    <m/>
    <n v="2"/>
    <s v="02040522"/>
    <x v="9"/>
    <s v="Proceso"/>
    <m/>
    <s v="Geografica"/>
    <s v="Porcentaje"/>
    <s v="Es el porcentaje de cumplimiento de kilómetros construidos respecto de la meta inicial establecida en el PDES 2016 - 2020"/>
    <s v="x= (número de km construidos / número de km establecidos en PDES) * 100"/>
    <s v="número de kilómetros construidos a junio 2018"/>
    <s v="Reportes administrativos ABC"/>
    <s v="número de kilómetros a construir establecidos en PDES 2016 - 2020"/>
    <s v="Reportes administrativos ABC"/>
    <n v="2006"/>
    <s v="Ninguna"/>
    <n v="1"/>
    <s v="020405221"/>
    <s v="RA"/>
    <s v="No aplica"/>
    <s v="Registro administrativo"/>
    <s v="Semestral"/>
    <n v="2006"/>
    <s v="Departamento"/>
    <s v="Departamental y municipal"/>
    <s v="Proyectos bidepartamentales"/>
    <s v="Ninguna"/>
    <s v="Ministerio de Obras Públicas, Servicios y Vivienda (MOPSV)"/>
    <s v="Administradora Boliviana de Carreteras (ABC)"/>
    <s v="Administradora Boliviana de Carreteras (ABC)"/>
    <n v="2159800"/>
    <n v="2015"/>
    <n v="0"/>
    <n v="1"/>
    <m/>
    <n v="1"/>
    <n v="5"/>
    <n v="0.2"/>
    <n v="0.2"/>
    <n v="0.2"/>
    <n v="0.2"/>
    <n v="0.4"/>
    <n v="0"/>
    <n v="0"/>
    <n v="0"/>
    <n v="0.60000000000000009"/>
    <n v="0"/>
    <n v="0"/>
    <n v="0"/>
    <n v="0.8"/>
    <n v="0"/>
    <n v="0"/>
    <n v="0"/>
    <n v="1"/>
    <n v="1"/>
    <n v="1"/>
    <n v="1"/>
    <s v="Anual"/>
    <s v="Entregado"/>
    <m/>
    <m/>
    <m/>
  </r>
  <r>
    <x v="0"/>
    <s v="03/05/2018"/>
    <x v="0"/>
    <s v="Universalización de los servicios básicos"/>
    <s v="0204"/>
    <s v="El 100% de las bolivianas y los bolivianos están integrados a través de sistemas de transporte en sus diferentes modalidades."/>
    <n v="6"/>
    <s v="2.4.7"/>
    <n v="53"/>
    <s v="2.4.53"/>
    <s v="0204053"/>
    <s v="Conexiones de Capitales de Departamento."/>
    <s v="Servicios Básicos"/>
    <s v="Transporte"/>
    <s v="Producto"/>
    <s v="Económica"/>
    <s v="Transporte"/>
    <m/>
    <m/>
    <s v="PD"/>
    <m/>
    <m/>
    <m/>
    <n v="3.3333333333333335"/>
    <n v="0"/>
    <n v="1"/>
    <s v="Etapa 2"/>
    <m/>
    <n v="9"/>
    <s v="9.1 Desarrollar infraestructuras fiables, sostenibles, resilientes y de calidad, incluidas infraestructuras regionales y transfronterizas, para apoyar el desarrollo económico y el bienestar humano, haciendo especial hincapié en el acceso asequible y equitativo para todos"/>
    <m/>
    <m/>
    <x v="0"/>
    <m/>
    <n v="1"/>
    <s v="02040531"/>
    <x v="10"/>
    <s v="Producto"/>
    <m/>
    <s v="Geografica"/>
    <s v="kilómetros"/>
    <s v="Es el número de kilómetros de construidos durante la gestión 2016-2020"/>
    <s v="x= número de km construidos"/>
    <s v="número de kilómetros construidos a junio 2018"/>
    <s v="Reportes administrativos ABC"/>
    <s v="No aplica"/>
    <s v="No aplica"/>
    <n v="2006"/>
    <s v="Ninguna"/>
    <n v="1"/>
    <s v="020405311"/>
    <s v="RA"/>
    <s v="No aplica"/>
    <s v="Registro administrativo"/>
    <s v="Semestral"/>
    <n v="2006"/>
    <s v="Departamento"/>
    <s v="Departamental y municipal"/>
    <s v="Proyectos bidepartamentales"/>
    <s v="Ninguna"/>
    <s v="Ministerio de Obras Públicas, Servicios y Vivienda (MOPSV)"/>
    <s v="Administradora Boliviana de Carreteras (ABC)"/>
    <s v="Administradora Boliviana de Carreteras (ABC)"/>
    <n v="2159800"/>
    <n v="2015"/>
    <n v="0"/>
    <n v="288.7"/>
    <m/>
    <n v="288.7"/>
    <n v="5"/>
    <n v="57.739999999999995"/>
    <n v="57.739999999999995"/>
    <n v="57.739999999999995"/>
    <n v="0.19999999999999998"/>
    <n v="115.47999999999999"/>
    <n v="0"/>
    <n v="0"/>
    <n v="0"/>
    <n v="173.21999999999997"/>
    <n v="105.3"/>
    <n v="105.3"/>
    <n v="0.36473848285417387"/>
    <n v="230.95999999999998"/>
    <n v="53"/>
    <n v="53"/>
    <n v="0.18358157256667823"/>
    <n v="288.7"/>
    <n v="130.4"/>
    <n v="130.4"/>
    <n v="0.45167994457914795"/>
    <s v="Anual"/>
    <s v="Entregado"/>
    <m/>
    <m/>
    <m/>
  </r>
  <r>
    <x v="0"/>
    <s v="03/05/2018"/>
    <x v="0"/>
    <s v="Universalización de los servicios básicos"/>
    <s v="0204"/>
    <s v="El 100% de las bolivianas y los bolivianos están integrados a través de sistemas de transporte en sus diferentes modalidades."/>
    <n v="6"/>
    <s v="2.4.7"/>
    <n v="53"/>
    <s v="2.4.53"/>
    <s v="0204053"/>
    <s v="Conexiones de Capitales de Departamento."/>
    <s v="Servicios Básicos"/>
    <s v="Transporte"/>
    <s v="Producto"/>
    <s v="Económica"/>
    <s v="Transporte"/>
    <m/>
    <m/>
    <s v="PD"/>
    <m/>
    <m/>
    <m/>
    <n v="3.3333333333333335"/>
    <n v="0"/>
    <n v="1"/>
    <s v="Etapa 2"/>
    <m/>
    <n v="9"/>
    <s v="9.1 Desarrollar infraestructuras fiables, sostenibles, resilientes y de calidad, incluidas infraestructuras regionales y transfronterizas, para apoyar el desarrollo económico y el bienestar humano, haciendo especial hincapié en el acceso asequible y equitativo para todos"/>
    <m/>
    <m/>
    <x v="0"/>
    <m/>
    <n v="2"/>
    <s v="02040532"/>
    <x v="11"/>
    <s v="Proceso"/>
    <m/>
    <s v="Geografica"/>
    <s v="Porcentaje"/>
    <s v="Es el porcentaje de cumplimiento de kilómetros construidos respecto de la meta inicial establecida en el PDES 2016 - 2020"/>
    <s v="x= (número de km construidos / número de km establecidos en PDES) * 100"/>
    <s v="número de kilómetros construidos a junio 2018"/>
    <s v="Reportes administrativos ABC"/>
    <s v="número de kilómetros a construir establecidos en PDES 2016 - 2020"/>
    <s v="Reportes administrativos ABC"/>
    <n v="2006"/>
    <s v="Ninguna"/>
    <n v="1"/>
    <s v="020405321"/>
    <s v="RA"/>
    <s v="No aplica"/>
    <s v="Registro administrativo"/>
    <s v="Semestral"/>
    <n v="2006"/>
    <s v="Departamento"/>
    <s v="Departamental y municipal"/>
    <s v="Proyectos bidepartamentales"/>
    <s v="Ninguna"/>
    <s v="Ministerio de Obras Públicas, Servicios y Vivienda (MOPSV)"/>
    <s v="Administradora Boliviana de Carreteras (ABC)"/>
    <s v="Administradora Boliviana de Carreteras (ABC)"/>
    <n v="2159800"/>
    <n v="2015"/>
    <n v="0"/>
    <n v="1"/>
    <m/>
    <n v="1"/>
    <n v="5"/>
    <n v="0.2"/>
    <n v="0.2"/>
    <n v="0.2"/>
    <n v="0.2"/>
    <n v="0.4"/>
    <n v="0"/>
    <n v="0"/>
    <n v="0"/>
    <n v="0.60000000000000009"/>
    <n v="0.36473848285417387"/>
    <n v="0.36473848285417387"/>
    <n v="0.36473848285417387"/>
    <n v="0.8"/>
    <n v="0.18358157256667823"/>
    <n v="0.18358157256667823"/>
    <n v="0.18358157256667823"/>
    <n v="1"/>
    <n v="0.45167994457914795"/>
    <n v="0.45167994457914795"/>
    <n v="0.45167994457914795"/>
    <s v="Anual"/>
    <s v="Entregado"/>
    <m/>
    <m/>
    <m/>
  </r>
  <r>
    <x v="0"/>
    <s v="03/05/2018"/>
    <x v="0"/>
    <s v="Universalización de los servicios básicos"/>
    <s v="0204"/>
    <s v="El 100% de las bolivianas y los bolivianos están integrados a través de sistemas de transporte en sus diferentes modalidades."/>
    <n v="7"/>
    <s v="2.4.8"/>
    <n v="54"/>
    <s v="2.4.54"/>
    <s v="0204054"/>
    <s v="Integración de Regiones Productivas y la “Y” de la Integración."/>
    <s v="Servicios Básicos"/>
    <s v="Transporte"/>
    <s v="Producto"/>
    <s v="Económica"/>
    <s v="Transporte"/>
    <m/>
    <m/>
    <s v="PD"/>
    <m/>
    <m/>
    <m/>
    <n v="3.3333333333333335"/>
    <n v="0"/>
    <n v="1"/>
    <s v="Etapa 2"/>
    <m/>
    <n v="9"/>
    <s v="9.1 Desarrollar infraestructuras fiables, sostenibles, resilientes y de calidad, incluidas infraestructuras regionales y transfronterizas, para apoyar el desarrollo económico y el bienestar humano, haciendo especial hincapié en el acceso asequible y equitativo para todos"/>
    <m/>
    <m/>
    <x v="0"/>
    <m/>
    <n v="1"/>
    <s v="02040541"/>
    <x v="12"/>
    <s v="Producto"/>
    <m/>
    <s v="Geografica"/>
    <s v="kilómetros"/>
    <s v="Es el número de kilómetros de construidos durante la gestión 2016-2020"/>
    <s v="x= número de km construidos"/>
    <s v="número de kilómetros construidos a junio 2018"/>
    <s v="Reportes administrativos ABC"/>
    <s v="No aplica"/>
    <s v="No aplica"/>
    <n v="2006"/>
    <s v="Ninguna"/>
    <n v="1"/>
    <s v="020405411"/>
    <s v="RA"/>
    <s v="No aplica"/>
    <s v="Registro administrativo"/>
    <s v="Semestral"/>
    <n v="2006"/>
    <s v="Departamento"/>
    <s v="Departamental y municipal"/>
    <s v="Proyectos bidepartamentales"/>
    <s v="Ninguna"/>
    <s v="Ministerio de Obras Públicas, Servicios y Vivienda (MOPSV)"/>
    <s v="Administradora Boliviana de Carreteras (ABC)"/>
    <s v="Administradora Boliviana de Carreteras (ABC)"/>
    <n v="2159800"/>
    <n v="2015"/>
    <n v="0"/>
    <n v="1233.8599999999999"/>
    <m/>
    <n v="1233.8599999999999"/>
    <n v="5"/>
    <n v="246.77199999999999"/>
    <n v="246.77199999999999"/>
    <n v="246.77199999999999"/>
    <n v="0.2"/>
    <n v="493.54399999999998"/>
    <n v="28.43"/>
    <n v="28.43"/>
    <n v="2.304151200298251E-2"/>
    <n v="740.31600000000003"/>
    <n v="142.13999999999999"/>
    <n v="142.13999999999999"/>
    <n v="0.11519945536770784"/>
    <n v="987.08799999999997"/>
    <n v="257.06"/>
    <n v="257.06"/>
    <n v="0.20833806104420277"/>
    <n v="1233.8599999999999"/>
    <n v="615.26"/>
    <n v="615.26"/>
    <n v="0.49864652391681391"/>
    <s v="Anual"/>
    <s v="Entregado"/>
    <m/>
    <m/>
    <m/>
  </r>
  <r>
    <x v="0"/>
    <s v="03/05/2018"/>
    <x v="0"/>
    <s v="Universalización de los servicios básicos"/>
    <s v="0204"/>
    <s v="El 100% de las bolivianas y los bolivianos están integrados a través de sistemas de transporte en sus diferentes modalidades."/>
    <n v="7"/>
    <s v="2.4.8"/>
    <n v="54"/>
    <s v="2.4.54"/>
    <s v="0204054"/>
    <s v="Integración de Regiones Productivas y la “Y” de la Integración."/>
    <s v="Servicios Básicos"/>
    <s v="Transporte"/>
    <s v="Producto"/>
    <s v="Económica"/>
    <s v="Transporte"/>
    <m/>
    <m/>
    <s v="PD"/>
    <m/>
    <m/>
    <m/>
    <n v="3.3333333333333335"/>
    <n v="0"/>
    <n v="1"/>
    <s v="Etapa 2"/>
    <m/>
    <n v="9"/>
    <s v="9.1 Desarrollar infraestructuras fiables, sostenibles, resilientes y de calidad, incluidas infraestructuras regionales y transfronterizas, para apoyar el desarrollo económico y el bienestar humano, haciendo especial hincapié en el acceso asequible y equitativo para todos"/>
    <m/>
    <m/>
    <x v="0"/>
    <m/>
    <n v="2"/>
    <s v="02040542"/>
    <x v="13"/>
    <s v="Proceso"/>
    <m/>
    <s v="Geografica"/>
    <s v="Porcentaje"/>
    <s v="Es el porcentaje de cumplimiento de kilómetros construidos respecto de la meta inicial establecida en el PDES 2016 - 2020"/>
    <s v="x= (número de km construidos / número de km establecidos en PDES) * 100"/>
    <s v="número de kilómetros construidos a junio 2018"/>
    <s v="Reportes administrativos ABC"/>
    <s v="número de kilómetros a construir establecidos en PDES 2016 - 2020"/>
    <s v="Reportes administrativos ABC"/>
    <n v="2006"/>
    <s v="Ninguna"/>
    <n v="1"/>
    <s v="020405421"/>
    <s v="RA"/>
    <s v="No aplica"/>
    <s v="Registro administrativo"/>
    <s v="Semestral"/>
    <n v="2006"/>
    <s v="Departamento"/>
    <s v="Departamental y municipal"/>
    <s v="Proyectos bidepartamentales"/>
    <s v="Ninguna"/>
    <s v="Ministerio de Obras Públicas, Servicios y Vivienda (MOPSV)"/>
    <s v="Administradora Boliviana de Carreteras (ABC)"/>
    <s v="Administradora Boliviana de Carreteras (ABC)"/>
    <n v="2159800"/>
    <n v="2015"/>
    <n v="0"/>
    <n v="1"/>
    <m/>
    <n v="1"/>
    <n v="5"/>
    <n v="0.2"/>
    <n v="0.2"/>
    <n v="0.2"/>
    <n v="0.2"/>
    <n v="0.4"/>
    <n v="2.304151200298251E-2"/>
    <n v="2.304151200298251E-2"/>
    <n v="2.304151200298251E-2"/>
    <n v="0.60000000000000009"/>
    <n v="0.11519945536770784"/>
    <n v="0.11519945536770784"/>
    <n v="0.11519945536770784"/>
    <n v="0.8"/>
    <n v="0.20833806104420277"/>
    <n v="0.20833806104420277"/>
    <n v="0.20833806104420277"/>
    <n v="1"/>
    <n v="0.49864652391681391"/>
    <n v="0.49864652391681391"/>
    <n v="0.49864652391681391"/>
    <s v="Anual"/>
    <s v="Entregado"/>
    <m/>
    <m/>
    <m/>
  </r>
  <r>
    <x v="0"/>
    <s v="03/05/2018"/>
    <x v="0"/>
    <s v="Universalización de los servicios básicos"/>
    <s v="0204"/>
    <s v="El 100% de las bolivianas y los bolivianos están integrados a través de sistemas de transporte en sus diferentes modalidades."/>
    <n v="8"/>
    <s v="2.4.9"/>
    <n v="55"/>
    <s v="2.4.55"/>
    <s v="0204055"/>
    <s v="Puentes y accesos."/>
    <s v="Servicios Básicos"/>
    <s v="Transporte"/>
    <s v="Producto"/>
    <s v="Económica"/>
    <s v="Transporte"/>
    <m/>
    <m/>
    <s v="PD"/>
    <m/>
    <m/>
    <m/>
    <n v="3.3333333333333335"/>
    <n v="0"/>
    <n v="1"/>
    <s v="Etapa 2"/>
    <m/>
    <n v="9"/>
    <s v="9.1 Desarrollar infraestructuras fiables, sostenibles, resilientes y de calidad, incluidas infraestructuras regionales y transfronterizas, para apoyar el desarrollo económico y el bienestar humano, haciendo especial hincapié en el acceso asequible y equitativo para todos"/>
    <m/>
    <m/>
    <x v="0"/>
    <m/>
    <n v="1"/>
    <s v="02040551"/>
    <x v="14"/>
    <s v="Producto"/>
    <m/>
    <s v="Geografica"/>
    <s v="metros"/>
    <s v="Es el número de metros de puentes construidos durante la gestión 2016-2020"/>
    <s v="x= número de metros construidos"/>
    <s v="número de metros construidos de puente a junio 2018"/>
    <s v="Reportes administrativos ABC"/>
    <s v="No aplica"/>
    <s v="No aplica"/>
    <n v="2006"/>
    <s v="Ninguna"/>
    <n v="1"/>
    <s v="020405511"/>
    <s v="RA"/>
    <s v="No aplica"/>
    <s v="Registro administrativo"/>
    <s v="Semestral"/>
    <n v="2006"/>
    <s v="Departamento"/>
    <s v="Departamental y municipal"/>
    <s v="Proyectos bidepartamentales"/>
    <s v="Ninguna"/>
    <s v="Ministerio de Obras Públicas, Servicios y Vivienda (MOPSV)"/>
    <s v="Administradora Boliviana de Carreteras (ABC)"/>
    <s v="Administradora Boliviana de Carreteras (ABC)"/>
    <n v="2159800"/>
    <n v="2015"/>
    <n v="0"/>
    <n v="7270"/>
    <m/>
    <n v="7270"/>
    <n v="5"/>
    <n v="1454"/>
    <n v="1454"/>
    <n v="1454"/>
    <n v="0.2"/>
    <n v="2908"/>
    <n v="1700"/>
    <n v="1700"/>
    <n v="0.23383768913342504"/>
    <n v="4362"/>
    <n v="680"/>
    <n v="680"/>
    <n v="9.353507565337002E-2"/>
    <n v="5816"/>
    <n v="490"/>
    <n v="490"/>
    <n v="6.7400275103163682E-2"/>
    <n v="7270"/>
    <n v="4130"/>
    <n v="4130"/>
    <n v="0.56808803301237965"/>
    <s v="Anual"/>
    <s v="Entregado"/>
    <m/>
    <m/>
    <m/>
  </r>
  <r>
    <x v="0"/>
    <s v="03/05/2018"/>
    <x v="0"/>
    <s v="Universalización de los servicios básicos"/>
    <s v="0204"/>
    <s v="El 100% de las bolivianas y los bolivianos están integrados a través de sistemas de transporte en sus diferentes modalidades."/>
    <n v="8"/>
    <s v="2.4.9"/>
    <n v="55"/>
    <s v="2.4.55"/>
    <s v="0204055"/>
    <s v="Puentes y accesos."/>
    <s v="Servicios Básicos"/>
    <s v="Transporte"/>
    <s v="Producto"/>
    <s v="Económica"/>
    <s v="Transporte"/>
    <m/>
    <m/>
    <s v="PD"/>
    <m/>
    <m/>
    <m/>
    <n v="3.3333333333333335"/>
    <n v="0"/>
    <n v="1"/>
    <s v="Etapa 2"/>
    <m/>
    <n v="9"/>
    <s v="9.1 Desarrollar infraestructuras fiables, sostenibles, resilientes y de calidad, incluidas infraestructuras regionales y transfronterizas, para apoyar el desarrollo económico y el bienestar humano, haciendo especial hincapié en el acceso asequible y equitativo para todos"/>
    <m/>
    <m/>
    <x v="0"/>
    <m/>
    <n v="2"/>
    <s v="02040552"/>
    <x v="15"/>
    <s v="Proceso"/>
    <m/>
    <s v="Geografica"/>
    <s v="Porcentaje"/>
    <s v="Es el porcentaje de cumplimiento de metros de puentes construidos respecto de la meta inicial establecida en el PDES 2016 - 2020"/>
    <s v="x= (número de metros construidos / número de metros establecidos en PDES) * 100"/>
    <s v="número de metros construidos a junio 2018"/>
    <s v="Reportes administrativos ABC"/>
    <s v="número de metros a construir establecidos en PDES 2016 - 2020"/>
    <s v="Reportes administrativos ABC"/>
    <n v="2006"/>
    <s v="Ninguna"/>
    <n v="1"/>
    <s v="020405521"/>
    <s v="RA"/>
    <s v="No aplica"/>
    <s v="Registro administrativo"/>
    <s v="Semestral"/>
    <n v="2006"/>
    <s v="Departamento"/>
    <s v="Departamental y municipal"/>
    <s v="Proyectos bidepartamentales"/>
    <s v="Ninguna"/>
    <s v="Ministerio de Obras Públicas, Servicios y Vivienda (MOPSV)"/>
    <s v="Administradora Boliviana de Carreteras (ABC)"/>
    <s v="Administradora Boliviana de Carreteras (ABC)"/>
    <n v="2159800"/>
    <n v="2015"/>
    <n v="0"/>
    <n v="1"/>
    <m/>
    <n v="1"/>
    <n v="5"/>
    <n v="0.2"/>
    <n v="0.2"/>
    <n v="0.2"/>
    <n v="0.2"/>
    <n v="0.4"/>
    <n v="0.23383768913342504"/>
    <n v="0.23383768913342504"/>
    <n v="0.23383768913342504"/>
    <n v="0.60000000000000009"/>
    <n v="9.353507565337002E-2"/>
    <n v="9.353507565337002E-2"/>
    <n v="9.353507565337002E-2"/>
    <n v="0.8"/>
    <n v="6.7400275103163682E-2"/>
    <n v="6.7400275103163682E-2"/>
    <n v="6.7400275103163682E-2"/>
    <n v="1"/>
    <n v="0.56808803301237965"/>
    <n v="0.56808803301237965"/>
    <n v="0.56808803301237965"/>
    <s v="Anual"/>
    <s v="Entregado"/>
    <m/>
    <m/>
    <m/>
  </r>
  <r>
    <x v="0"/>
    <s v="25/05/2018"/>
    <x v="0"/>
    <s v="Universalización de los servicios básicos"/>
    <s v="0204"/>
    <s v="El 100% de las bolivianas y los bolivianos están integrados a través de sistemas de transporte en sus diferentes modalidades."/>
    <n v="9"/>
    <s v="2.4.10"/>
    <n v="56"/>
    <s v="2.4.56"/>
    <s v="0204056"/>
    <s v="Se ha avanzado en las gestiones para la construcción del Corredor Ferroviario Bioceánico Central (CFBC) Brasil – Bolivia - Perú que une el Puerto de Santos (Brasil) con el Puerto de Ilo (Perú)."/>
    <s v="Servicios Básicos"/>
    <s v="Transporte"/>
    <s v="Proceso"/>
    <s v="Económica"/>
    <s v="Transporte"/>
    <m/>
    <m/>
    <s v="PC"/>
    <m/>
    <m/>
    <m/>
    <n v="2.8571428571428572"/>
    <n v="0"/>
    <n v="1"/>
    <s v="Etapa 2"/>
    <m/>
    <n v="9"/>
    <s v="9.1 Desarrollar infraestructuras fiables, sostenibles, resilientes y de calidad, incluidas infraestructuras regionales y transfronterizas, para apoyar el desarrollo económico y el bienestar humano, haciendo especial hincapié en el acceso asequible y equitativo para todos"/>
    <m/>
    <m/>
    <x v="0"/>
    <m/>
    <n v="1"/>
    <s v="02040561"/>
    <x v="16"/>
    <s v="Proceso"/>
    <s v="INTERNACIONAL"/>
    <s v="Geografica"/>
    <s v="Número"/>
    <s v="Se considera los acuerdos suscritos para el financiamiento del corredor"/>
    <s v="Número de Acuerdos suscritos"/>
    <s v="Número de acuerdos firmados"/>
    <s v="Registros Administrativos"/>
    <s v="No aplica"/>
    <s v="No aplica"/>
    <s v="2016-2018"/>
    <s v="Los convenios son firmados con países sin un nùmero restrictivo."/>
    <n v="1"/>
    <s v="020405611"/>
    <s v="RAUTF"/>
    <s v="Registro Administrativo Dirección de Transporte Terrestre Fluvial y Lacustre"/>
    <s v="Registros Administrativos"/>
    <s v="Semestral"/>
    <s v="2016-2018"/>
    <s v="Internacional"/>
    <s v="Internacional"/>
    <s v="No aplica"/>
    <m/>
    <s v="Ministerio de Obras Públicas, Servicios y Vivienda (MOPSV)"/>
    <s v=" Viceministerio de Transportes"/>
    <s v="Unidad Técnica de Ferrocarriles"/>
    <n v="4141594"/>
    <d v="2015-01-01T00:00:00"/>
    <n v="3"/>
    <s v="No existe"/>
    <m/>
    <e v="#VALUE!"/>
    <m/>
    <e v="#VALUE!"/>
    <m/>
    <n v="-3"/>
    <e v="#VALUE!"/>
    <e v="#VALUE!"/>
    <m/>
    <n v="-3"/>
    <e v="#VALUE!"/>
    <e v="#VALUE!"/>
    <m/>
    <n v="-3"/>
    <e v="#VALUE!"/>
    <e v="#VALUE!"/>
    <m/>
    <n v="-3"/>
    <e v="#VALUE!"/>
    <e v="#VALUE!"/>
    <m/>
    <n v="-3"/>
    <e v="#VALUE!"/>
    <s v="Anual"/>
    <s v="Entregado"/>
    <m/>
    <m/>
    <m/>
  </r>
  <r>
    <x v="0"/>
    <s v="25/05/2018"/>
    <x v="0"/>
    <s v="Universalización de los servicios básicos"/>
    <s v="0204"/>
    <s v="El 100% de las bolivianas y los bolivianos están integrados a través de sistemas de transporte en sus diferentes modalidades."/>
    <n v="10"/>
    <s v="2.4.11"/>
    <n v="57"/>
    <s v="2.4.57"/>
    <s v="0204057"/>
    <s v="Se ha construido el tramo ferroviario para el transporte urbano en los departamentos de Cochabamba y Santa Cruz, con la finalidad de articular las redes ferroviarias."/>
    <s v="Servicios Básicos"/>
    <s v="Transporte"/>
    <s v="Producto"/>
    <s v="Económica"/>
    <s v="Transporte"/>
    <m/>
    <m/>
    <s v="PD"/>
    <m/>
    <m/>
    <m/>
    <n v="2.8571428571428572"/>
    <n v="0"/>
    <n v="1"/>
    <s v="Etapa 1"/>
    <m/>
    <n v="9"/>
    <s v="9.1 Desarrollar infraestructuras fiables, sostenibles, resilientes y de calidad, incluidas infraestructuras regionales y transfronterizas, para apoyar el desarrollo económico y el bienestar humano, haciendo especial hincapié en el acceso asequible y equitativo para todos"/>
    <m/>
    <m/>
    <x v="0"/>
    <m/>
    <n v="1"/>
    <s v="02040571"/>
    <x v="17"/>
    <s v="Proceso"/>
    <s v="Medicion conjunta realizada entre contratista y ministerio "/>
    <s v="Geografica"/>
    <s v="Porcentaje"/>
    <s v="Porcentaje de avance en los tramos ferroviarios de Cochabamba y Santa Cruz"/>
    <s v="%DACSCZ= (N° de Cp)/(36 CP))*100_x000a_DACSCZ= Avance en Cochabamba y Santa Cruz_x000a_CP= Certificado de Pago"/>
    <s v="Calculo de Desarrollo de avance en Campo(ejecutado) entre lo cronogramado mensualmente"/>
    <s v="Registros de calculos realizados para pago correspondiente"/>
    <s v="Certificados de pagos planificado durante 3 años de la construcción de la Obra"/>
    <s v="Reportes administrativos ABC"/>
    <n v="2018"/>
    <s v="Documentos de respaldo generados en comun y totales programado mensual para la gestion 2018"/>
    <n v="1"/>
    <s v="020405711"/>
    <s v="RAUTF"/>
    <s v="Registro Administrativo Dirección de Transporte Terrestre Fluvial y Lacustre"/>
    <s v="Registros Administrativos"/>
    <s v="Mensual"/>
    <n v="2017"/>
    <s v="Departamento"/>
    <s v="Departamental"/>
    <s v="No aplica"/>
    <m/>
    <s v="Ministerio de Obras Públicas, Servicios y Vivienda (MOPSV)"/>
    <s v=" Viceministerio de Transportes"/>
    <s v="Unidad Técnica de Ferrocarriles"/>
    <n v="4141594"/>
    <d v="2017-08-01T00:00:00"/>
    <n v="0"/>
    <s v="No existe"/>
    <m/>
    <e v="#VALUE!"/>
    <n v="5"/>
    <e v="#VALUE!"/>
    <n v="0"/>
    <n v="0"/>
    <e v="#VALUE!"/>
    <e v="#VALUE!"/>
    <n v="0.01"/>
    <n v="0.01"/>
    <e v="#VALUE!"/>
    <e v="#VALUE!"/>
    <n v="0.12"/>
    <n v="0.12"/>
    <e v="#VALUE!"/>
    <e v="#VALUE!"/>
    <m/>
    <n v="0"/>
    <e v="#VALUE!"/>
    <e v="#VALUE!"/>
    <m/>
    <n v="0"/>
    <e v="#VALUE!"/>
    <s v="Anual"/>
    <s v="Entregado"/>
    <m/>
    <m/>
    <m/>
  </r>
  <r>
    <x v="0"/>
    <s v="25/05/2018"/>
    <x v="0"/>
    <s v="Universalización de los servicios básicos"/>
    <s v="0204"/>
    <s v="El 100% de las bolivianas y los bolivianos están integrados a través de sistemas de transporte en sus diferentes modalidades."/>
    <n v="12"/>
    <s v="2.4.13"/>
    <n v="59"/>
    <s v="2.4.59"/>
    <s v="0204059"/>
    <s v="Se ha construido el tramo ferroviario Montero – Bulo Bulo, el cual contribuirá a la interconexión del CFBC."/>
    <s v="Servicios Básicos"/>
    <s v="Transporte"/>
    <s v="Producto"/>
    <s v="Económica"/>
    <s v="Transporte"/>
    <m/>
    <m/>
    <s v="PD"/>
    <m/>
    <m/>
    <m/>
    <e v="#DIV/0!"/>
    <n v="0"/>
    <n v="1"/>
    <s v="Etapa 1"/>
    <m/>
    <n v="9"/>
    <s v="9.1 Desarrollar infraestructuras fiables, sostenibles, resilientes y de calidad, incluidas infraestructuras regionales y transfronterizas, para apoyar el desarrollo económico y el bienestar humano, haciendo especial hincapié en el acceso asequible y equitativo para todos"/>
    <m/>
    <m/>
    <x v="0"/>
    <m/>
    <n v="1"/>
    <s v="02040591"/>
    <x v="18"/>
    <s v="Proceso"/>
    <s v="NUMERO"/>
    <s v="Geografica"/>
    <s v="Porcentaje"/>
    <s v="Porcentaje de avance en el tramo Montero Bulo - Bulo"/>
    <s v="%DAMB= (N° de Cp)/(36 CP))*100_x000a_DAMB= Avance Montero - Bulo Bulo_x000a_CP= Certificado de Pago"/>
    <s v="Calculo de Desarrollo de avance en Campo(ejecutado) entre lo cronogramado mensualmente"/>
    <s v="Registros de calculos realizados para pago correspondiente"/>
    <s v="Certificados de pagos planificado durante 3 años de la construcción de la Obra"/>
    <s v="Reportes administrativos ABC"/>
    <n v="2018"/>
    <s v="No existe registro debido a que no esta en marcha el proyecto."/>
    <n v="1"/>
    <s v="020405911"/>
    <s v="RAUTF"/>
    <s v="Registro Administrativo Dirección de Transporte Terrestre Fluvial y Lacustre"/>
    <s v="Registros Administrativos"/>
    <s v="Mensual"/>
    <n v="2017"/>
    <s v="Departamento"/>
    <s v="Departamental"/>
    <s v="No aplica"/>
    <m/>
    <s v="Ministerio de Obras Públicas, Servicios y Vivienda (MOPSV)"/>
    <s v=" Viceministerio de Transportes"/>
    <s v="Unidad Técnica de Ferrocarriles"/>
    <n v="4141594"/>
    <d v="2015-02-19T00:00:00"/>
    <m/>
    <s v="No existe"/>
    <m/>
    <e v="#VALUE!"/>
    <n v="5"/>
    <e v="#VALUE!"/>
    <m/>
    <n v="0"/>
    <e v="#VALUE!"/>
    <e v="#VALUE!"/>
    <m/>
    <n v="0"/>
    <e v="#VALUE!"/>
    <e v="#VALUE!"/>
    <m/>
    <n v="0"/>
    <e v="#VALUE!"/>
    <e v="#VALUE!"/>
    <m/>
    <n v="0"/>
    <e v="#VALUE!"/>
    <e v="#VALUE!"/>
    <m/>
    <n v="0"/>
    <e v="#VALUE!"/>
    <s v="Anual"/>
    <s v="Entregado"/>
    <m/>
    <m/>
    <m/>
  </r>
  <r>
    <x v="0"/>
    <s v="25/05/2018"/>
    <x v="0"/>
    <s v="Universalización de los servicios básicos"/>
    <s v="0204"/>
    <s v="El 100% de las bolivianas y los bolivianos están integrados a través de sistemas de transporte en sus diferentes modalidades."/>
    <n v="13"/>
    <s v="2.4.14"/>
    <n v="60"/>
    <s v="2.4.60"/>
    <s v="0204060"/>
    <s v="Se han rehabilitado vías navegables en los ríos Ichilo - Mamoré y Beni y el dragado del Canal Tamengo I Fase."/>
    <s v="Servicios Básicos"/>
    <s v="Transporte"/>
    <s v="Producto"/>
    <s v="Económica"/>
    <s v="Transporte"/>
    <m/>
    <m/>
    <s v="PD"/>
    <m/>
    <m/>
    <m/>
    <n v="2.9411764705882355"/>
    <n v="0"/>
    <n v="1"/>
    <s v="ETAPA 3"/>
    <m/>
    <n v="9"/>
    <s v="9.1 Desarrollar infraestructuras fiables, sostenibles, resilientes y de calidad, incluidas infraestructuras regionales y transfronterizas, para apoyar el desarrollo económico y el bienestar humano, haciendo especial hincapié en el acceso asequible y equitativo para todos"/>
    <m/>
    <m/>
    <x v="0"/>
    <m/>
    <n v="1"/>
    <s v="02040601"/>
    <x v="19"/>
    <s v="Proceso"/>
    <m/>
    <s v="Geografica"/>
    <s v="Número"/>
    <s v="Son los kilómetros de ríos navegables en los ríos Ichilo - Mamoré y Beni y el dragado del Canal Tamengo I Fase."/>
    <s v="x= número de kilómetros "/>
    <s v="Es el número de kilómetros en ríos navegables"/>
    <s v="Registros Administrativos"/>
    <s v="No aplica"/>
    <s v="No aplica"/>
    <s v="No aplica"/>
    <m/>
    <n v="1"/>
    <n v="20406011"/>
    <s v="RADGTTFL"/>
    <s v="Registro Administrativo Dirección de Transporte Terrestre Fluvial y Lacustre"/>
    <s v="Registros Administrativos"/>
    <s v="Anual"/>
    <m/>
    <s v="Departamento"/>
    <s v="Departamental"/>
    <s v="No aplica"/>
    <s v="No existe avance en este punto por la inexistencia de presupuesto destinado al mismo"/>
    <s v="Ministerio de Obras Públicas, Servicios y Vivienda (MOPSV)"/>
    <s v=" Viceministerio de Transportes"/>
    <s v="Dirección de Transporte Terrestre Fluvial y Lacustre"/>
    <s v="2119999 INT. 108"/>
    <s v="SIN FECHA DE REGISTRO"/>
    <n v="0"/>
    <s v="No existe"/>
    <m/>
    <e v="#VALUE!"/>
    <n v="5"/>
    <e v="#VALUE!"/>
    <m/>
    <n v="0"/>
    <e v="#VALUE!"/>
    <e v="#VALUE!"/>
    <m/>
    <n v="0"/>
    <e v="#VALUE!"/>
    <e v="#VALUE!"/>
    <m/>
    <n v="0"/>
    <e v="#VALUE!"/>
    <e v="#VALUE!"/>
    <m/>
    <n v="0"/>
    <e v="#VALUE!"/>
    <e v="#VALUE!"/>
    <m/>
    <n v="0"/>
    <e v="#VALUE!"/>
    <s v="Anual"/>
    <s v="Entregado"/>
    <m/>
    <m/>
    <m/>
  </r>
  <r>
    <x v="0"/>
    <s v="25/05/2018"/>
    <x v="0"/>
    <s v="Universalización de los servicios básicos"/>
    <s v="0204"/>
    <s v="El 100% de las bolivianas y los bolivianos están integrados a través de sistemas de transporte en sus diferentes modalidades."/>
    <n v="14"/>
    <s v="2.4.15"/>
    <n v="61"/>
    <s v="2.4.61"/>
    <s v="0204061"/>
    <s v="Se han construido 3 nuevos puertos en su primera fase."/>
    <s v="Servicios Básicos"/>
    <s v="Transporte"/>
    <s v="Producto"/>
    <s v="Económica"/>
    <s v="Transporte"/>
    <m/>
    <m/>
    <s v="PD"/>
    <m/>
    <m/>
    <m/>
    <n v="2.9411764705882355"/>
    <n v="0"/>
    <n v="1"/>
    <s v="ETAPA 3"/>
    <m/>
    <n v="9"/>
    <s v="9.1 Desarrollar infraestructuras fiables, sostenibles, resilientes y de calidad, incluidas infraestructuras regionales y transfronterizas, para apoyar el desarrollo económico y el bienestar humano, haciendo especial hincapié en el acceso asequible y equitativo para todos"/>
    <m/>
    <m/>
    <x v="0"/>
    <m/>
    <n v="1"/>
    <s v="02040611"/>
    <x v="20"/>
    <s v="Proceso"/>
    <m/>
    <s v="Geografica"/>
    <s v="Número"/>
    <s v="Es la cantidad de puertos construidos en la primera fase por donde se puede exportar "/>
    <s v="x= número de puertos construidos en la primera fase"/>
    <s v="Es el número depuertos en operación"/>
    <s v="Registros Administrativos"/>
    <s v="No aplica"/>
    <s v="No aplica"/>
    <s v="No aplica"/>
    <m/>
    <n v="1"/>
    <s v="020406111"/>
    <s v="RADGTTFL"/>
    <s v="Registro Administrativo Dirección de Transporte Terrestre Fluvial y Lacustre"/>
    <s v="Registros Administrativos"/>
    <s v="Anual"/>
    <m/>
    <s v="Departamento"/>
    <s v="Departamental"/>
    <s v="No aplica"/>
    <s v="No existe avance en este punto por la inexistencia de presupuesto destinado al mismo"/>
    <s v="Ministerio de Obras Públicas, Servicios y Vivienda (MOPSV)"/>
    <s v=" Viceministerio de Transportes"/>
    <s v="Dirección de Transporte Terrestre Fluvial y Lacustre"/>
    <s v="2119999 INT. 108"/>
    <s v="SIN FECHA DE REGISTRO"/>
    <n v="0"/>
    <n v="3"/>
    <m/>
    <n v="3"/>
    <n v="5"/>
    <n v="0.6"/>
    <n v="0"/>
    <n v="0"/>
    <n v="0"/>
    <n v="0"/>
    <n v="0"/>
    <n v="0"/>
    <n v="0"/>
    <n v="1.7999999999999998"/>
    <m/>
    <n v="0"/>
    <n v="0"/>
    <n v="2.4"/>
    <m/>
    <n v="0"/>
    <n v="0"/>
    <n v="3"/>
    <m/>
    <n v="0"/>
    <n v="0"/>
    <s v="Anual"/>
    <s v="Entregado"/>
    <m/>
    <m/>
    <m/>
  </r>
  <r>
    <x v="0"/>
    <s v="25/05/2018"/>
    <x v="0"/>
    <s v="Universalización de los servicios básicos"/>
    <s v="0204"/>
    <s v="El 100% de las bolivianas y los bolivianos están integrados a través de sistemas de transporte en sus diferentes modalidades."/>
    <n v="15"/>
    <s v="2.4.16"/>
    <n v="62"/>
    <s v="2.4.62"/>
    <s v="0204062"/>
    <s v="Se ha desarrollado zonas francas portuarias en aguas internacionales a través de convenios."/>
    <s v="Servicios Básicos"/>
    <s v="Transporte"/>
    <s v="Proceso"/>
    <s v="Económica"/>
    <s v="Transporte"/>
    <m/>
    <m/>
    <s v="PC"/>
    <m/>
    <m/>
    <m/>
    <n v="2.9411764705882355"/>
    <n v="0"/>
    <n v="1"/>
    <s v="ETAPA 3"/>
    <m/>
    <n v="9"/>
    <s v="9.1 Desarrollar infraestructuras fiables, sostenibles, resilientes y de calidad, incluidas infraestructuras regionales y transfronterizas, para apoyar el desarrollo económico y el bienestar humano, haciendo especial hincapié en el acceso asequible y equitativo para todos"/>
    <m/>
    <m/>
    <x v="1"/>
    <m/>
    <n v="1"/>
    <s v="02040621"/>
    <x v="21"/>
    <s v="Proceso"/>
    <m/>
    <s v="Geografica"/>
    <s v="Número"/>
    <s v="Es el número de infraestructuras portuarias internacionales"/>
    <s v="x= número de infraestructuras portuarias"/>
    <s v="Es el número infraestructuras portuarias"/>
    <s v="Registros Administrativos"/>
    <s v="No aplica"/>
    <s v="No aplica"/>
    <s v="No aplica"/>
    <m/>
    <n v="1"/>
    <s v="020406211"/>
    <s v="RADGTTFL"/>
    <s v="Registro Administrativo Dirección de Transporte Terrestre Fluvial y Lacustre"/>
    <s v="Registros Administrativos"/>
    <s v="Anual"/>
    <m/>
    <s v="Departamento"/>
    <s v="Departamental"/>
    <s v="No aplica"/>
    <s v="No existe avance en este punto por la inexistencia de presupuesto destinado al mismo"/>
    <s v="Ministerio de Obras Públicas, Servicios y Vivienda (MOPSV)"/>
    <s v=" Viceministerio de Transportes"/>
    <s v="Dirección de Transporte Terrestre Fluvial y Lacustre"/>
    <s v="2119999 INT. 108"/>
    <s v="SIN FECHA DE REGISTRO"/>
    <n v="0"/>
    <s v="No existe"/>
    <m/>
    <e v="#VALUE!"/>
    <n v="5"/>
    <e v="#VALUE!"/>
    <m/>
    <n v="0"/>
    <e v="#VALUE!"/>
    <e v="#VALUE!"/>
    <m/>
    <n v="0"/>
    <e v="#VALUE!"/>
    <e v="#VALUE!"/>
    <m/>
    <n v="0"/>
    <e v="#VALUE!"/>
    <e v="#VALUE!"/>
    <m/>
    <n v="0"/>
    <e v="#VALUE!"/>
    <e v="#VALUE!"/>
    <m/>
    <n v="0"/>
    <e v="#VALUE!"/>
    <s v="Anual"/>
    <s v="Entregado"/>
    <m/>
    <m/>
    <m/>
  </r>
  <r>
    <x v="0"/>
    <s v="04/05/2018"/>
    <x v="0"/>
    <s v="Universalización de los servicios básicos"/>
    <s v="0204"/>
    <s v="El 100% de las bolivianas y los bolivianos están integrados a través de sistemas de transporte en sus diferentes modalidades."/>
    <n v="17"/>
    <s v="2.4.18"/>
    <n v="64"/>
    <s v="2.4.64"/>
    <s v="0204064"/>
    <s v="Se han construido 6 nuevas líneas de teleférico en las ciudades de La Paz y El Alto"/>
    <s v="Servicios Básicos"/>
    <s v="Transporte"/>
    <s v="Producto"/>
    <s v="Económica"/>
    <s v="Transporte"/>
    <m/>
    <m/>
    <s v="PD"/>
    <m/>
    <m/>
    <m/>
    <n v="4"/>
    <n v="1"/>
    <n v="0"/>
    <s v="Etapa 1"/>
    <m/>
    <n v="9"/>
    <s v="9.1 Desarrollar infraestructuras fiables, sostenibles, resilientes y de calidad, incluidas infraestructuras regionales y transfronterizas, para apoyar el desarrollo económico y el bienestar humano, haciendo especial hincapié en el acceso asequible y equitativo para todos"/>
    <m/>
    <s v="Las seis líneas son: Naranja, Azul, Blanca, Celeste, Morada y Plateada. "/>
    <x v="2"/>
    <m/>
    <n v="1"/>
    <s v="02040641"/>
    <x v="22"/>
    <s v="Producto"/>
    <m/>
    <s v="Área Geográfica"/>
    <s v="Número"/>
    <s v="Es la sumatoria de las líneas construidas que están entregando el servicio de transporte por cable en las ciudades de La Paz y El Alto"/>
    <s v="LFLE= ∑ LCFLE_x000a__x000a_LFLE= Líneas en funcionamiento de La Paz y El Alto_x000a_LCFLE=  Líneas construidas y en funcionamiento (La Paz y El Alto)_x000a_"/>
    <s v="Suma de las líneas construidas y en funcionamiento"/>
    <s v="Sistema de Seguimiento de Proyectos"/>
    <s v="No aplica"/>
    <s v="No aplica"/>
    <s v="2014 -2018"/>
    <s v="No aplica"/>
    <n v="1"/>
    <s v="020406411"/>
    <s v="SAP"/>
    <s v="Sistema de Administracion de Proyectos"/>
    <s v="Registro administrativo"/>
    <s v="Mensual"/>
    <s v="2014 - 2018"/>
    <s v="Departamental"/>
    <s v="Municipal"/>
    <s v="*Vidas transportadas_x000a_*Vidas por línea_x000a_*Promedio día de vidas transportadas_x000a_*Pases tarjetas_x000a_*Pases Tickets"/>
    <s v="La desagregación de principales variables los maneja el sistema CMI de la EETC-MT"/>
    <s v="Empresa Estatal de Transporte por Cable &quot;MI TELEFÉRICO&quot; (EETC-MT)"/>
    <s v="Gerencia de Desarrollo de Proyectos (GDP)_x000a_Gerencia de Gestion Empresarial (GGE)"/>
    <s v="Departamento General de Proyectos (DGP)"/>
    <s v="22179300 (GDP)"/>
    <d v="2014-12-01T00:00:00"/>
    <n v="0"/>
    <n v="6"/>
    <m/>
    <n v="6"/>
    <n v="5"/>
    <n v="1.2"/>
    <n v="0"/>
    <n v="0"/>
    <n v="0"/>
    <n v="2.4"/>
    <n v="2"/>
    <n v="2"/>
    <n v="0.33333333333333331"/>
    <n v="3.5999999999999996"/>
    <n v="2"/>
    <n v="2"/>
    <n v="0.33333333333333331"/>
    <n v="4.8"/>
    <m/>
    <n v="0"/>
    <n v="0"/>
    <n v="6"/>
    <m/>
    <n v="0"/>
    <n v="0"/>
    <s v="Anual"/>
    <s v="Entregado"/>
    <m/>
    <m/>
    <m/>
  </r>
  <r>
    <x v="0"/>
    <s v="04/05/2018"/>
    <x v="0"/>
    <s v="Universalización de los servicios básicos"/>
    <s v="0204"/>
    <s v="El 100% de las bolivianas y los bolivianos están integrados a través de sistemas de transporte en sus diferentes modalidades."/>
    <n v="17"/>
    <s v="2.4.18"/>
    <n v="64"/>
    <s v="2.4.64"/>
    <s v="0204064"/>
    <s v="Se han construido 6 nuevas líneas de teleférico en las ciudades de La Paz y El Alto"/>
    <s v="Servicios Básicos"/>
    <s v="Transporte"/>
    <s v="Producto"/>
    <s v="Económica"/>
    <s v="Transporte"/>
    <m/>
    <m/>
    <m/>
    <m/>
    <m/>
    <m/>
    <n v="1"/>
    <n v="1"/>
    <n v="0"/>
    <s v="Etapa 1"/>
    <m/>
    <n v="9"/>
    <s v="9.1 Desarrollar infraestructuras fiables, sostenibles, resilientes y de calidad, incluidas infraestructuras regionales y transfronterizas, para apoyar el desarrollo económico y el bienestar humano, haciendo especial hincapié en el acceso asequible y equitativo para todos"/>
    <m/>
    <s v="Las seis líneas son: Naranja, Azul, Blanca, Celeste, Morada y Plateada. "/>
    <x v="2"/>
    <m/>
    <s v="1.1"/>
    <s v="02040641.1"/>
    <x v="23"/>
    <s v="Impacto"/>
    <m/>
    <s v="Área Geográfica"/>
    <s v="Número"/>
    <s v="Es la sumatoria del total de vidas transportadas en las líneas en funcionamiento"/>
    <s v="VT= ∑ VTLF_x000a_VT= Total de Vidas Transportadas_x000a_∑VTLF= Sumatoria de vidas transportadas en las líneas en funcionamiento (La Paz y El Alto)"/>
    <s v="Suma de vidas transportadas por líneas en funcionamiento (La Paz y El Alto)"/>
    <s v="Sistema Cuadro de Mando Integral"/>
    <s v="No aplica"/>
    <s v="No aplica"/>
    <s v="2014 -2018"/>
    <s v="No aplica"/>
    <n v="2"/>
    <n v="20406412"/>
    <s v="CMI"/>
    <s v="Cuadro de Mando Integral"/>
    <s v="Registro administrativo"/>
    <s v="Diaria"/>
    <s v="2014 - 2018"/>
    <s v="Departamental"/>
    <s v="Municipal"/>
    <s v="*Vidas transportadas por línea en funcionamiento_x000a_*Vidas transportadas de personas con discapacidad por tarjeta_x000a_*Vidas transportadas de personas de la tercera edad por tarjeta_x000a_*Vidas transportadas de estudiantes por tarjeta"/>
    <s v="La desagregación de principales variables los maneja el sistema CMI de la EETC-MT"/>
    <s v="Empresa Estatal de Transporte por Cable &quot;MI TELEFÉRICO&quot; (EETC-MT)"/>
    <s v="Gerencia de Desarrollo de Proyectos (GDP)_x000a_Gerencia de Gestion Empresarial (GGE)"/>
    <s v="Departamento de Planificación y Gestión  (DPG)_x000a_"/>
    <s v="22179300 (DPG)"/>
    <d v="2014-12-01T00:00:00"/>
    <n v="0"/>
    <m/>
    <m/>
    <n v="0"/>
    <n v="5"/>
    <m/>
    <m/>
    <n v="0"/>
    <e v="#DIV/0!"/>
    <n v="0"/>
    <n v="8679216"/>
    <m/>
    <e v="#DIV/0!"/>
    <n v="0"/>
    <n v="4349294"/>
    <n v="4349294"/>
    <e v="#DIV/0!"/>
    <n v="0"/>
    <m/>
    <n v="0"/>
    <e v="#DIV/0!"/>
    <n v="0"/>
    <m/>
    <n v="0"/>
    <e v="#DIV/0!"/>
    <s v="Anual"/>
    <s v="Entregado"/>
    <m/>
    <m/>
    <m/>
  </r>
  <r>
    <x v="0"/>
    <s v="04/05/2018"/>
    <x v="0"/>
    <s v="Universalización de los servicios básicos"/>
    <s v="0204"/>
    <s v="El 100% de las bolivianas y los bolivianos están integrados a través de sistemas de transporte en sus diferentes modalidades."/>
    <n v="17"/>
    <s v="2.4.18"/>
    <n v="64"/>
    <s v="2.4.64"/>
    <s v="0204064"/>
    <s v="Se han construido 6 nuevas líneas de teleférico en las ciudades de La Paz y El Alto"/>
    <s v="Servicios Básicos"/>
    <s v="Transporte"/>
    <s v="Producto"/>
    <s v="Económica"/>
    <s v="Transporte"/>
    <m/>
    <m/>
    <m/>
    <m/>
    <m/>
    <m/>
    <m/>
    <n v="1"/>
    <n v="0"/>
    <s v="Etapa 1"/>
    <m/>
    <n v="9"/>
    <s v="9.1 Desarrollar infraestructuras fiables, sostenibles, resilientes y de calidad, incluidas infraestructuras regionales y transfronterizas, para apoyar el desarrollo económico y el bienestar humano, haciendo especial hincapié en el acceso asequible y equitativo para todos"/>
    <m/>
    <s v="Las seis líneas son: Naranja, Azul, Blanca, Celeste, Morada y Plateada. "/>
    <x v="2"/>
    <m/>
    <s v="1.2"/>
    <s v="02040641.2"/>
    <x v="24"/>
    <s v="Insumo"/>
    <m/>
    <s v="Área Geográfica"/>
    <s v="En kilómetros"/>
    <s v="Es la sumatoria del total de kilómetros construidos del sistema de transporte por cable (La Paz y El Alto)"/>
    <s v="KC= ∑KCLE_x000a_KC= Total de kilómetros construidos_x000a_∑KCLE= Es la sumatoria de kilómetros construidos de transporte por cable (La Paz y El Alto)"/>
    <s v="Suma de kilómetros construidos de transporte por cable (La Paz y El Alto)"/>
    <s v="Sistema de Seguimiento de Proyectos"/>
    <s v="No aplica"/>
    <s v="No aplica"/>
    <s v="2014 -2018"/>
    <s v="No aplica"/>
    <n v="3"/>
    <n v="20406413"/>
    <s v="SAP"/>
    <s v="Sistema de Administracion de Proyectos"/>
    <s v="Registro administrativo"/>
    <s v="Mensual"/>
    <s v="2014 - 2018"/>
    <s v="Departamental"/>
    <s v="Municipal"/>
    <s v="*Metros cuadrados construidos en infraestructura (estaciones, torres), *Metros cuadrados construidos en áreas verdes _x000a_*Metros cuadrados construidos en vías vehiculares"/>
    <s v="La desagregación de principales variables los maneja el sistema CMI de la EETC-MT"/>
    <s v="Empresa Estatal de Transporte por Cable &quot;MI TELEFÉRICO&quot; (EETC-MT)"/>
    <s v="Gerencia de Desarrollo de Proyectos (GDP)_x000a_Gerencia de Gestion Empresarial (GGE)"/>
    <s v="Departamento General de Proyectos (DGP)"/>
    <s v="22179300 (GDP)"/>
    <d v="2014-12-01T00:00:00"/>
    <n v="0"/>
    <m/>
    <m/>
    <n v="0"/>
    <n v="5"/>
    <m/>
    <m/>
    <n v="0"/>
    <e v="#DIV/0!"/>
    <n v="0"/>
    <n v="7.55"/>
    <m/>
    <e v="#DIV/0!"/>
    <n v="0"/>
    <n v="13.5"/>
    <n v="13.5"/>
    <e v="#DIV/0!"/>
    <n v="0"/>
    <m/>
    <n v="0"/>
    <e v="#DIV/0!"/>
    <n v="0"/>
    <m/>
    <n v="0"/>
    <e v="#DIV/0!"/>
    <s v="Anual"/>
    <s v="Entregado"/>
    <m/>
    <m/>
    <m/>
  </r>
  <r>
    <x v="0"/>
    <s v="04/05/2018"/>
    <x v="0"/>
    <s v="Universalización de los servicios básicos"/>
    <s v="0204"/>
    <s v="El 100% de las bolivianas y los bolivianos están integrados a través de sistemas de transporte en sus diferentes modalidades."/>
    <n v="17"/>
    <s v="2.4.18"/>
    <n v="64"/>
    <s v="2.4.64"/>
    <s v="0204064"/>
    <s v="Se han construido 6 nuevas líneas de teleférico en las ciudades de La Paz y El Alto"/>
    <s v="Servicios Básicos"/>
    <s v="Transporte"/>
    <s v="Producto"/>
    <s v="Económica"/>
    <s v="Transporte"/>
    <m/>
    <m/>
    <m/>
    <m/>
    <m/>
    <m/>
    <m/>
    <n v="1"/>
    <n v="0"/>
    <s v="Etapa 1"/>
    <m/>
    <n v="9"/>
    <s v="9.1 Desarrollar infraestructuras fiables, sostenibles, resilientes y de calidad, incluidas infraestructuras regionales y transfronterizas, para apoyar el desarrollo económico y el bienestar humano, haciendo especial hincapié en el acceso asequible y equitativo para todos"/>
    <m/>
    <s v="Las seis líneas son: Naranja, Azul, Blanca, Celeste, Morada y Plateada. "/>
    <x v="2"/>
    <m/>
    <s v="1.3"/>
    <s v="02040641.3"/>
    <x v="25"/>
    <s v="Insumo"/>
    <m/>
    <s v="Área Geográfica"/>
    <s v="Número"/>
    <s v="Es la suma total de estaciones construidas en La Paz y El Alto del sistema de transporte por cable"/>
    <s v="EC= ∑ECLE_x000a_EC= Total de Estaciones construidas_x000a_∑ECLE= Sumatoria de estaciones construidas en La Paz y El Alto"/>
    <s v="Suma de estaciones construidas en La Paz y El Alto"/>
    <s v="Sistema de Seguimiento de Proyectos"/>
    <s v="No aplica"/>
    <s v="No aplica"/>
    <s v="2014 -2018"/>
    <s v="No aplica"/>
    <n v="4"/>
    <n v="20406414"/>
    <s v="SAP"/>
    <s v="Sistema de Administracion de Proyectos"/>
    <s v="Registro administrativo"/>
    <s v="Mensual"/>
    <s v="2014 - 2018"/>
    <s v="Departamental"/>
    <s v="Municipal"/>
    <s v="No aplica"/>
    <s v="No aplica"/>
    <s v="Empresa Estatal de Transporte por Cable &quot;MI TELEFÉRICO&quot; (EETC-MT)"/>
    <s v="Gerencia de Desarrollo de Proyectos (GDP)_x000a_Gerencia de Gestion Empresarial (GGE)"/>
    <s v="Departamento General de Proyectos (DGP)"/>
    <s v="22179300 (GDP)"/>
    <d v="2014-12-01T00:00:00"/>
    <n v="0"/>
    <n v="23"/>
    <m/>
    <n v="23"/>
    <n v="5"/>
    <m/>
    <m/>
    <n v="0"/>
    <n v="0"/>
    <n v="9.1999999999999993"/>
    <s v="9_x000a_"/>
    <m/>
    <n v="0"/>
    <n v="13.799999999999999"/>
    <n v="17"/>
    <n v="17"/>
    <n v="0.73913043478260865"/>
    <n v="18.399999999999999"/>
    <m/>
    <n v="0"/>
    <n v="0"/>
    <n v="23"/>
    <m/>
    <n v="0"/>
    <n v="0"/>
    <s v="Anual"/>
    <s v="Entregado"/>
    <m/>
    <m/>
    <m/>
  </r>
  <r>
    <x v="0"/>
    <s v="04/05/2018"/>
    <x v="0"/>
    <s v="Universalización de los servicios básicos"/>
    <s v="0204"/>
    <s v="El 100% de las bolivianas y los bolivianos están integrados a través de sistemas de transporte en sus diferentes modalidades."/>
    <n v="18"/>
    <s v="2.4.19"/>
    <n v="65"/>
    <s v="2.4.65"/>
    <s v="0204065"/>
    <s v="Se ha iniciado la construcción de teleféricos en otras ciudades del país: Oruro, Potosí y Sucre."/>
    <s v="Servicios Básicos"/>
    <s v="Transporte"/>
    <s v="Proceso"/>
    <s v="Económica"/>
    <s v="Transporte"/>
    <m/>
    <m/>
    <s v="PC"/>
    <m/>
    <m/>
    <m/>
    <n v="3.5714285714285716"/>
    <n v="1"/>
    <n v="0"/>
    <s v="Etapa 2"/>
    <m/>
    <n v="9"/>
    <s v="9.1 Desarrollar infraestructuras fiables, sostenibles, resilientes y de calidad, incluidas infraestructuras regionales y transfronterizas, para apoyar el desarrollo económico y el bienestar humano, haciendo especial hincapié en el acceso asequible y equitativo para todos"/>
    <m/>
    <m/>
    <x v="2"/>
    <m/>
    <n v="1"/>
    <s v="02040651"/>
    <x v="26"/>
    <s v="Producto"/>
    <m/>
    <s v="Área Geográfica"/>
    <s v="Número"/>
    <s v="Es la sumatoria de las líneas construidas que están entregando el servicio de transporte por cable en las ciudades de Oruro, Potosí y Sucre"/>
    <s v="LFLE= ∑ LCFLE_x000a__x000a_LFOPS= Líneas en funcionamiento de Oruro, Potosí y Sucre_x000a_LCFOPS=  Líneas construidas y en funcionamiento (Oruro, Potosí y Sucre)_x000a_"/>
    <s v="Suma de las líneas construidas y en funcionamiento"/>
    <s v="Sistema de Seguimiento de Proyectos"/>
    <s v="No aplica"/>
    <s v="No aplica"/>
    <d v="2018-02-01T00:00:00"/>
    <s v="No aplica"/>
    <n v="1"/>
    <s v="020406511"/>
    <s v="SAP"/>
    <s v="Sistema de Administracion de Proyectos"/>
    <s v="Registro administrativo"/>
    <s v="Mensual"/>
    <d v="2018-02-01T00:00:00"/>
    <s v="Departamental"/>
    <s v="Municipal"/>
    <s v="*Vidas transportadas_x000a_*Vidas por línea_x000a_*Promedio día de vidas transportadas_x000a_*Pases tarjetas_x000a_*Pases Tickets"/>
    <s v="La desagregación de principales variables los maneja el sistema CMI de la EETC-MT"/>
    <s v="Empresa Estatal de Transporte por Cable &quot;MI TELEFÉRICO&quot; (EETC-MT)"/>
    <s v="Gerencia de Desarrollo de Proyectos (GDP)_x000a_Gerencia de Gestion Empresarial (GGE)"/>
    <s v="Departamento General de Proyectos (DGP)"/>
    <s v="22179300 (GDP)"/>
    <d v="2014-12-01T00:00:00"/>
    <n v="0"/>
    <n v="3"/>
    <m/>
    <n v="3"/>
    <n v="5"/>
    <n v="0.6"/>
    <n v="0"/>
    <n v="0"/>
    <n v="0"/>
    <n v="1.2"/>
    <n v="0"/>
    <n v="0"/>
    <n v="0"/>
    <n v="1.7999999999999998"/>
    <n v="1"/>
    <n v="1"/>
    <n v="0.33333333333333331"/>
    <n v="2.4"/>
    <m/>
    <n v="0"/>
    <n v="0"/>
    <n v="3"/>
    <m/>
    <n v="0"/>
    <n v="0"/>
    <s v="Anual"/>
    <s v="Entregado"/>
    <m/>
    <m/>
    <m/>
  </r>
  <r>
    <x v="0"/>
    <s v="04/05/2018"/>
    <x v="0"/>
    <s v="Universalización de los servicios básicos"/>
    <s v="0204"/>
    <s v="El 100% de las bolivianas y los bolivianos están integrados a través de sistemas de transporte en sus diferentes modalidades."/>
    <n v="18"/>
    <s v="2.4.19"/>
    <n v="65"/>
    <s v="2.4.65"/>
    <s v="0204065"/>
    <s v="Se ha iniciado la construcción de teleféricos en otras ciudades del país: Oruro, Potosí y Sucre."/>
    <s v="Servicios Básicos"/>
    <s v="Transporte"/>
    <s v="Proceso"/>
    <s v="Económica"/>
    <s v="Transporte"/>
    <m/>
    <m/>
    <m/>
    <m/>
    <m/>
    <m/>
    <m/>
    <n v="1"/>
    <n v="0"/>
    <s v="Etapa 2"/>
    <m/>
    <n v="9"/>
    <s v="9.1 Desarrollar infraestructuras fiables, sostenibles, resilientes y de calidad, incluidas infraestructuras regionales y transfronterizas, para apoyar el desarrollo económico y el bienestar humano, haciendo especial hincapié en el acceso asequible y equitativo para todos"/>
    <m/>
    <m/>
    <x v="2"/>
    <m/>
    <s v="1.1"/>
    <s v="02040651.1"/>
    <x v="27"/>
    <s v="Impacto"/>
    <m/>
    <s v="Área Geográfica"/>
    <s v="Número"/>
    <s v="Es la sumatoria del total de vidas transportadas en las líneas en funcionamiento"/>
    <s v="VT= ∑ VTLFOPS_x000a_VT= Total de Vidas Transportadas_x000a_∑VTLFOPS= Sumatoria de vidas transportadas en las líneas en funcionamiento (Oruro, Potosí y Sucre)"/>
    <s v="Suma de vidas transportadas por líneas en funcionamiento  (Oruro, Potosí y Sucre)"/>
    <s v="Sistema Cuadro de Mando Integral"/>
    <s v="No aplica"/>
    <s v="No aplica"/>
    <d v="2018-02-01T00:00:00"/>
    <s v="No aplica"/>
    <n v="1"/>
    <s v="02040651.11"/>
    <s v="CMI"/>
    <s v="Cuadro de Mando Integral"/>
    <s v="Registro administrativo"/>
    <s v="Diario"/>
    <d v="2018-02-01T00:00:00"/>
    <s v="Departamental"/>
    <s v="Municipal"/>
    <s v="*Vidas transportadas por línea en funcionamiento"/>
    <s v="La desagregación de principales variables los maneja el sistema CMI de la EETC-MT"/>
    <s v="Empresa Estatal de Transporte por Cable &quot;MI TELEFÉRICO&quot; (EETC-MT)"/>
    <s v="Gerencia de Desarrollo de Proyectos (GDP)_x000a_Gerencia de Gestion Empresarial (GGE)"/>
    <s v="Departamento de Planificación y Gestión  (DPG)_x000a_"/>
    <s v="22179300 (DPG)"/>
    <d v="2014-12-01T00:00:00"/>
    <n v="0"/>
    <m/>
    <m/>
    <n v="0"/>
    <m/>
    <m/>
    <m/>
    <n v="0"/>
    <e v="#DIV/0!"/>
    <n v="0"/>
    <m/>
    <m/>
    <e v="#DIV/0!"/>
    <n v="0"/>
    <n v="165670"/>
    <n v="165670"/>
    <e v="#DIV/0!"/>
    <n v="0"/>
    <m/>
    <n v="0"/>
    <e v="#DIV/0!"/>
    <n v="0"/>
    <m/>
    <n v="0"/>
    <e v="#DIV/0!"/>
    <s v="Anual"/>
    <s v="Entregado"/>
    <m/>
    <m/>
    <m/>
  </r>
  <r>
    <x v="0"/>
    <s v="04/05/2018"/>
    <x v="0"/>
    <s v="Universalización de los servicios básicos"/>
    <s v="0204"/>
    <s v="El 100% de las bolivianas y los bolivianos están integrados a través de sistemas de transporte en sus diferentes modalidades."/>
    <n v="18"/>
    <s v="2.4.19"/>
    <n v="65"/>
    <s v="2.4.65"/>
    <s v="0204065"/>
    <s v="Se ha iniciado la construcción de teleféricos en otras ciudades del país: Oruro, Potosí y Sucre."/>
    <s v="Servicios Básicos"/>
    <s v="Transporte"/>
    <s v="Proceso"/>
    <s v="Económica"/>
    <s v="Transporte"/>
    <m/>
    <m/>
    <m/>
    <m/>
    <m/>
    <m/>
    <m/>
    <n v="1"/>
    <n v="0"/>
    <s v="Etapa 2"/>
    <m/>
    <n v="9"/>
    <s v="9.1 Desarrollar infraestructuras fiables, sostenibles, resilientes y de calidad, incluidas infraestructuras regionales y transfronterizas, para apoyar el desarrollo económico y el bienestar humano, haciendo especial hincapié en el acceso asequible y equitativo para todos"/>
    <m/>
    <m/>
    <x v="2"/>
    <m/>
    <s v="1.2"/>
    <s v="02040651.2"/>
    <x v="24"/>
    <s v="Insumo"/>
    <m/>
    <s v="Área Geográfica"/>
    <s v="En kilómetros"/>
    <s v="Es la sumatoria del total de kilómetros construidos del sistema de transporte por cable (Oruro, Potosí y Sucre)"/>
    <s v="KC= ∑KCOPS_x000a_KC= Total de kilómetros construidos_x000a_∑KCLE= Es la sumatoria de kilómetros construidos de transporte por cable (Oruro, Potosí y Sucre)"/>
    <s v="Suma de kilómetros construidos de transporte por cable (Oruro, Potosí y Sucre)"/>
    <s v="Sistema de Seguimiento de Proyectos"/>
    <s v="No aplica"/>
    <s v="No aplica"/>
    <d v="2018-02-01T00:00:00"/>
    <s v="No aplica"/>
    <n v="1"/>
    <s v="02040651.21"/>
    <s v="SAP"/>
    <s v="Sistema de Administracion de Proyectos"/>
    <s v="Registro administrativo"/>
    <s v="Mensual"/>
    <d v="2018-02-01T00:00:00"/>
    <s v="Departamental"/>
    <s v="Municipal"/>
    <s v="*Metros cuadrados construidos en infraestructura (estaciones, torres), *Metros cuadrados construidos en áreas verdes _x000a_*Metros cuadrados construidos en vías vehiculares"/>
    <s v="La desagregación de principales variables los maneja el sistema CMI de la EETC-MT"/>
    <s v="Empresa Estatal de Transporte por Cable &quot;MI TELEFÉRICO&quot; (EETC-MT)"/>
    <s v="Gerencia de Desarrollo de Proyectos (GDP)_x000a_Gerencia de Gestion Empresarial (GGE)"/>
    <s v="Departamento General de Proyectos (DGP)"/>
    <s v="22179300 (GDP)"/>
    <d v="2014-12-01T00:00:00"/>
    <n v="0"/>
    <m/>
    <m/>
    <n v="0"/>
    <n v="5"/>
    <m/>
    <m/>
    <n v="0"/>
    <e v="#DIV/0!"/>
    <n v="0"/>
    <m/>
    <m/>
    <e v="#DIV/0!"/>
    <n v="0"/>
    <n v="0.95799999999999996"/>
    <n v="0.95799999999999996"/>
    <e v="#DIV/0!"/>
    <n v="0"/>
    <m/>
    <n v="0"/>
    <e v="#DIV/0!"/>
    <n v="0"/>
    <m/>
    <n v="0"/>
    <e v="#DIV/0!"/>
    <s v="Anual"/>
    <s v="Entregado"/>
    <m/>
    <m/>
    <m/>
  </r>
  <r>
    <x v="0"/>
    <s v="04/05/2018"/>
    <x v="0"/>
    <s v="Universalización de los servicios básicos"/>
    <s v="0204"/>
    <s v="El 100% de las bolivianas y los bolivianos están integrados a través de sistemas de transporte en sus diferentes modalidades."/>
    <n v="18"/>
    <s v="2.4.19"/>
    <n v="65"/>
    <s v="2.4.65"/>
    <s v="0204065"/>
    <s v="Se ha iniciado la construcción de teleféricos en otras ciudades del país: Oruro, Potosí y Sucre."/>
    <s v="Servicios Básicos"/>
    <s v="Transporte"/>
    <s v="Proceso"/>
    <s v="Económica"/>
    <s v="Transporte"/>
    <m/>
    <m/>
    <m/>
    <m/>
    <m/>
    <m/>
    <m/>
    <n v="1"/>
    <n v="0"/>
    <s v="Etapa 2"/>
    <m/>
    <n v="9"/>
    <s v="9.1 Desarrollar infraestructuras fiables, sostenibles, resilientes y de calidad, incluidas infraestructuras regionales y transfronterizas, para apoyar el desarrollo económico y el bienestar humano, haciendo especial hincapié en el acceso asequible y equitativo para todos"/>
    <m/>
    <m/>
    <x v="2"/>
    <m/>
    <s v="1.3"/>
    <s v="02040651.3"/>
    <x v="28"/>
    <s v="Insumo"/>
    <m/>
    <s v="Área Geográfica"/>
    <s v="Número"/>
    <s v="Es la suma total de estaciones construidas en Oruro, Potosí y Sucre del sistema de transporte por cable"/>
    <s v="EC= ∑ECOPS_x000a_EC= Total de Estaciones construidas_x000a_∑ECOPS= Sumatoria de estaciones construidas en Oruro, Potosí y Sucre"/>
    <s v="Suma de estaciones construidas"/>
    <s v="Sistema de Seguimiento de Proyectos"/>
    <s v="No aplica"/>
    <s v="No aplica"/>
    <d v="2018-02-01T00:00:00"/>
    <s v="No aplica"/>
    <n v="1"/>
    <s v="02040651.31"/>
    <s v="SAP"/>
    <s v="Sistema de Administracion de Proyectos"/>
    <s v="Registro administrativo"/>
    <s v="Mensual"/>
    <d v="2018-02-01T00:00:00"/>
    <s v="Departamental"/>
    <s v="Municipal"/>
    <s v="No aplica"/>
    <s v="No aplica"/>
    <s v="Empresa Estatal de Transporte por Cable &quot;MI TELEFÉRICO&quot; (EETC-MT)"/>
    <s v="Gerencia de Desarrollo de Proyectos (GDP)_x000a_Gerencia de Gestion Empresarial (GGE)"/>
    <s v="Departamento General de Proyectos (DGP)"/>
    <s v="22179300 (GDP)"/>
    <d v="2014-12-01T00:00:00"/>
    <n v="0"/>
    <m/>
    <m/>
    <n v="0"/>
    <m/>
    <m/>
    <m/>
    <n v="0"/>
    <e v="#DIV/0!"/>
    <n v="0"/>
    <m/>
    <m/>
    <e v="#DIV/0!"/>
    <n v="0"/>
    <n v="2"/>
    <n v="2"/>
    <e v="#DIV/0!"/>
    <n v="0"/>
    <m/>
    <n v="0"/>
    <e v="#DIV/0!"/>
    <n v="0"/>
    <m/>
    <n v="0"/>
    <e v="#DIV/0!"/>
    <s v="Anual"/>
    <s v="Entregado"/>
    <m/>
    <m/>
    <m/>
  </r>
  <r>
    <x v="0"/>
    <s v="14/05/2018"/>
    <x v="0"/>
    <s v="Universalización de los servicios básicos"/>
    <s v="0204"/>
    <s v="El 100% de las bolivianas y los bolivianos están integrados a través de sistemas de transporte en sus diferentes modalidades."/>
    <n v="19"/>
    <s v="2.4.20"/>
    <n v="66"/>
    <s v="2.4.66"/>
    <s v="0204066"/>
    <s v="Se han construido, ampliado y equipado 6 aeropuertos internacionales: 3 en construcción y 3 en ampliación y equipamiento."/>
    <s v="Servicios Básicos"/>
    <s v="Transporte"/>
    <s v="Producto"/>
    <s v="Económica"/>
    <s v="Transporte"/>
    <m/>
    <m/>
    <s v="PD"/>
    <m/>
    <m/>
    <m/>
    <n v="2.8571428571428572"/>
    <n v="0"/>
    <n v="1"/>
    <s v="Etapa 2"/>
    <m/>
    <n v="9"/>
    <s v="9.1 Desarrollar infraestructuras fiables, sostenibles, resilientes y de calidad, incluidas infraestructuras regionales y transfronterizas, para apoyar el desarrollo económico y el bienestar humano, haciendo especial hincapié en el acceso asequible y equitativo para todos"/>
    <m/>
    <m/>
    <x v="0"/>
    <m/>
    <n v="1"/>
    <s v="02040661"/>
    <x v="29"/>
    <s v="Producto"/>
    <m/>
    <s v="Nacional"/>
    <s v="Número"/>
    <s v="Número de Aeropuertos Internacionales en Construcción"/>
    <s v="Número de Aeropuertos Internacionales en Construcción"/>
    <s v="No aplica"/>
    <s v="No aplica"/>
    <s v="No aplica"/>
    <s v="No aplica"/>
    <n v="2015"/>
    <s v="Se considera como Fuente Planillas de Avance de Obra"/>
    <n v="1"/>
    <s v="020406611"/>
    <s v="RA"/>
    <s v="Planillas de Avance de Obra"/>
    <s v="Registro administrativo"/>
    <s v="Anual"/>
    <n v="2015"/>
    <s v="Departamental"/>
    <s v="Departamental"/>
    <s v="Avance Físico de la Obra_x000a_Avance Financiero de la Obra"/>
    <s v="Se debe verificar si la fuente de datos existe antes del 2015"/>
    <s v="Ministerio de Obras Púbicas, Servicios y Vivienda (MOPSV)"/>
    <s v="Viceministerio de Transporte"/>
    <s v="Dirección General de Transporte Aéreo (DGTA)_x000a_Administración de Aeropuertos y Servicios Auxiliares a la Navegación Aérea (AASANA)"/>
    <n v="2119999"/>
    <n v="2015"/>
    <n v="3"/>
    <n v="3"/>
    <m/>
    <n v="0"/>
    <n v="5"/>
    <n v="1"/>
    <n v="1"/>
    <n v="-2"/>
    <e v="#DIV/0!"/>
    <n v="3"/>
    <n v="2"/>
    <n v="2"/>
    <e v="#DIV/0!"/>
    <n v="3"/>
    <n v="2"/>
    <n v="-1"/>
    <e v="#DIV/0!"/>
    <n v="3"/>
    <m/>
    <n v="-3"/>
    <e v="#DIV/0!"/>
    <n v="3"/>
    <m/>
    <n v="-3"/>
    <e v="#DIV/0!"/>
    <s v="Anual"/>
    <s v="Entregado"/>
    <m/>
    <m/>
    <m/>
  </r>
  <r>
    <x v="0"/>
    <s v="14/05/2018"/>
    <x v="0"/>
    <s v="Universalización de los servicios básicos"/>
    <s v="0204"/>
    <s v="El 100% de las bolivianas y los bolivianos están integrados a través de sistemas de transporte en sus diferentes modalidades."/>
    <n v="19"/>
    <s v="2.4.20"/>
    <n v="66"/>
    <s v="2.4.66"/>
    <s v="0204066"/>
    <s v="Se han construido, ampliado y equipado 6 aeropuertos internacionales: 3 en construcción y 3 en ampliación y equipamiento."/>
    <s v="Servicios Básicos"/>
    <s v="Transporte"/>
    <s v="Producto"/>
    <s v="Económica"/>
    <s v="Transporte"/>
    <m/>
    <m/>
    <s v="PD"/>
    <m/>
    <m/>
    <m/>
    <n v="2.8571428571428572"/>
    <n v="0"/>
    <n v="1"/>
    <s v="Etapa 2"/>
    <m/>
    <n v="9"/>
    <s v="9.1 Desarrollar infraestructuras fiables, sostenibles, resilientes y de calidad, incluidas infraestructuras regionales y transfronterizas, para apoyar el desarrollo económico y el bienestar humano, haciendo especial hincapié en el acceso asequible y equitativo para todos"/>
    <m/>
    <m/>
    <x v="0"/>
    <m/>
    <n v="2"/>
    <s v="02040662"/>
    <x v="30"/>
    <s v="Producto"/>
    <m/>
    <s v="Nacional"/>
    <s v="Número"/>
    <s v="Número de Aeropuertos Internacionales en Ampliación y Equipamiento"/>
    <s v="Número de Aeropuertos Internacionales en Ampliación y Equipamiento"/>
    <s v="No aplica"/>
    <s v="No aplica"/>
    <s v="No aplica"/>
    <s v="No aplica"/>
    <n v="2015"/>
    <s v="Se considera como Fuente Actas de Recepción de Obras"/>
    <n v="1"/>
    <s v="020406621"/>
    <s v="RA"/>
    <s v="Planillas de Avance de Obra"/>
    <s v="Registro administrativo"/>
    <s v="Anual"/>
    <n v="2015"/>
    <s v="Departamental"/>
    <s v="Departamental"/>
    <s v="Avance Físico de la Obra_x000a_Avance Financiero de la Obra"/>
    <s v="Se debe verificar si la fuente de datos existe antes del 2015"/>
    <s v="Ministerio de Obras Púbicas, Servicios y Vivienda (MOPSV)"/>
    <s v="Viceministerio de Transporte"/>
    <s v="Dirección General de Transporte Aéreo (DGTA)_x000a_Administración de Aeropuertos y Servicios Auxiliares a la Navegación Aérea (AASANA)"/>
    <n v="2119999"/>
    <n v="2015"/>
    <n v="1"/>
    <n v="3"/>
    <m/>
    <n v="2"/>
    <n v="5"/>
    <n v="1"/>
    <m/>
    <n v="-1"/>
    <n v="-0.5"/>
    <n v="1.8"/>
    <n v="1"/>
    <n v="1"/>
    <n v="0.5"/>
    <n v="2.2000000000000002"/>
    <m/>
    <n v="-1"/>
    <n v="-0.5"/>
    <n v="2.6"/>
    <m/>
    <n v="-1"/>
    <n v="-0.5"/>
    <n v="3"/>
    <m/>
    <n v="-1"/>
    <n v="-0.5"/>
    <s v="Anual"/>
    <s v="Entregado"/>
    <m/>
    <m/>
    <m/>
  </r>
  <r>
    <x v="0"/>
    <s v="14/05/2018"/>
    <x v="0"/>
    <s v="Universalización de los servicios básicos"/>
    <s v="0204"/>
    <s v="El 100% de las bolivianas y los bolivianos están integrados a través de sistemas de transporte en sus diferentes modalidades."/>
    <n v="20"/>
    <s v="2.4.21"/>
    <n v="67"/>
    <s v="2.4.67"/>
    <s v="0204067"/>
    <s v="Se han construido, ampliado y equipado 12 aeropuertos nacionales y turísticos del país: 5 construidos y equipados y 7 ampliados y equipados. 1 aeropuerto en estudio de pre inversión."/>
    <s v="Servicios Básicos"/>
    <s v="Transporte"/>
    <s v="Producto"/>
    <s v="Económica"/>
    <s v="Transporte"/>
    <m/>
    <m/>
    <s v="PD"/>
    <m/>
    <m/>
    <m/>
    <n v="2.8571428571428572"/>
    <n v="0"/>
    <n v="1"/>
    <s v="Etapa 2"/>
    <m/>
    <n v="9"/>
    <s v="9.1 Desarrollar infraestructuras fiables, sostenibles, resilientes y de calidad, incluidas infraestructuras regionales y transfronterizas, para apoyar el desarrollo económico y el bienestar humano, haciendo especial hincapié en el acceso asequible y equitativo para todos"/>
    <m/>
    <m/>
    <x v="0"/>
    <m/>
    <n v="1"/>
    <s v="02040671"/>
    <x v="31"/>
    <s v="Producto"/>
    <s v="Departamental"/>
    <s v="Departamental"/>
    <s v="Número"/>
    <s v="Número de Aeropuertos Nacionales Construidos y Equipados"/>
    <s v="Número de Aeropuertos Nacionales Construidos y Equipados"/>
    <s v="No aplica"/>
    <s v="No aplica"/>
    <s v="No aplica"/>
    <s v="No aplica"/>
    <n v="2015"/>
    <s v="Se considera como Fuente Actas de Recepción de Obras"/>
    <n v="1"/>
    <s v="020406711"/>
    <s v="RA"/>
    <s v="Actas de Recepción de Obras"/>
    <s v="Registro administrativo"/>
    <s v="Anual"/>
    <n v="2015"/>
    <s v="Municipal"/>
    <s v="Municipal"/>
    <s v="Monto de Inversión_x000a_Plazo de Ejecución"/>
    <s v="Se debe verificar si la fuente de datos existe antes del 2015"/>
    <s v="Ministerio de Obras Púbicas, Servicios y Vivienda (MOPSV)"/>
    <s v="Viceministerio de Transporte"/>
    <s v="Dirección General de Transporte Aéreo (DGTA)_x000a_Administración de Aeropuertos y Servicios Auxiliares a la Navegación Aérea (AASANA)"/>
    <n v="2119999"/>
    <n v="2015"/>
    <n v="1"/>
    <n v="5"/>
    <m/>
    <n v="4"/>
    <n v="5"/>
    <n v="0"/>
    <m/>
    <n v="-1"/>
    <n v="-0.25"/>
    <n v="2.6"/>
    <m/>
    <n v="0"/>
    <n v="0"/>
    <n v="3.4000000000000004"/>
    <m/>
    <n v="-1"/>
    <n v="-0.25"/>
    <n v="4.2"/>
    <m/>
    <n v="-1"/>
    <n v="-0.25"/>
    <n v="5"/>
    <m/>
    <n v="-1"/>
    <n v="-0.25"/>
    <s v="Anual"/>
    <s v="Entregado"/>
    <m/>
    <m/>
    <m/>
  </r>
  <r>
    <x v="0"/>
    <s v="14/05/2018"/>
    <x v="0"/>
    <s v="Universalización de los servicios básicos"/>
    <s v="0204"/>
    <s v="El 100% de las bolivianas y los bolivianos están integrados a través de sistemas de transporte en sus diferentes modalidades."/>
    <n v="20"/>
    <s v="2.4.21"/>
    <n v="67"/>
    <s v="2.4.67"/>
    <s v="0204067"/>
    <s v="Se han construido, ampliado y equipado 12 aeropuertos nacionales y turísticos del país: 5 construidos y equipados y 7 ampliados y equipados. 1 aeropuerto en estudio de pre inversión."/>
    <s v="Servicios Básicos"/>
    <s v="Transporte"/>
    <s v="Producto"/>
    <s v="Económica"/>
    <s v="Transporte"/>
    <m/>
    <m/>
    <s v="PD"/>
    <m/>
    <m/>
    <m/>
    <n v="2.8571428571428572"/>
    <n v="0"/>
    <n v="1"/>
    <s v="Etapa 2"/>
    <m/>
    <n v="9"/>
    <s v="9.1 Desarrollar infraestructuras fiables, sostenibles, resilientes y de calidad, incluidas infraestructuras regionales y transfronterizas, para apoyar el desarrollo económico y el bienestar humano, haciendo especial hincapié en el acceso asequible y equitativo para todos"/>
    <m/>
    <m/>
    <x v="0"/>
    <m/>
    <n v="2"/>
    <s v="02040672"/>
    <x v="32"/>
    <s v="Producto"/>
    <s v="Departamental"/>
    <s v="Departamental"/>
    <s v="Número"/>
    <s v="Número de Aeropuertos Nacionales Ampliados y Equipados"/>
    <s v="Número de Aeropuertos Nacionales Ampliados y Equipados"/>
    <s v="No aplica"/>
    <s v="No aplica"/>
    <s v="No aplica"/>
    <s v="No aplica"/>
    <n v="2015"/>
    <s v="Se considera como Fuente Actas de Recepción de Obras"/>
    <n v="1"/>
    <s v="020406721"/>
    <s v="RA"/>
    <s v="Actas de Recepción de Obras"/>
    <s v="Registro administrativo"/>
    <s v="Anual"/>
    <n v="2015"/>
    <s v="Municipal"/>
    <s v="Municipal"/>
    <s v="Monto de Inversión_x000a_Plazo de Ejecución"/>
    <s v="Se debe verificar si la fuente de datos existe antes del 2015"/>
    <s v="Ministerio de Obras Púbicas, Servicios y Vivienda (MOPSV)"/>
    <s v="Viceministerio de Transporte"/>
    <s v="Dirección General de Transporte Aéreo (DGTA)_x000a_Administración de Aeropuertos y Servicios Auxiliares a la Navegación Aérea (AASANA)"/>
    <n v="2119999"/>
    <n v="2015"/>
    <n v="1"/>
    <n v="7"/>
    <m/>
    <n v="6"/>
    <n v="5"/>
    <n v="0"/>
    <m/>
    <n v="-1"/>
    <n v="-0.16666666666666666"/>
    <n v="3.4"/>
    <m/>
    <n v="0"/>
    <n v="0"/>
    <n v="4.5999999999999996"/>
    <m/>
    <n v="-1"/>
    <n v="-0.16666666666666666"/>
    <n v="5.8"/>
    <m/>
    <n v="-1"/>
    <n v="-0.16666666666666666"/>
    <n v="7"/>
    <m/>
    <n v="-1"/>
    <n v="-0.16666666666666666"/>
    <s v="Anual"/>
    <s v="Entregado"/>
    <m/>
    <m/>
    <m/>
  </r>
  <r>
    <x v="0"/>
    <s v="14/05/2018"/>
    <x v="0"/>
    <s v="Universalización de los servicios básicos"/>
    <s v="0204"/>
    <s v="El 100% de las bolivianas y los bolivianos están integrados a través de sistemas de transporte en sus diferentes modalidades."/>
    <n v="21"/>
    <s v="2.4.22"/>
    <n v="68"/>
    <s v="2.4.68"/>
    <s v="0204068"/>
    <s v="Se ha implementado 1 HUB intercontinental en el aeropuerto de Viru Viru – Santa Cruz."/>
    <s v="Servicios Básicos"/>
    <s v="Transporte"/>
    <s v="Producto"/>
    <s v="Económica"/>
    <s v="Transporte"/>
    <m/>
    <m/>
    <s v="PD"/>
    <m/>
    <m/>
    <m/>
    <n v="2.8571428571428572"/>
    <n v="0"/>
    <n v="1"/>
    <s v="Etapa 2"/>
    <m/>
    <n v="9"/>
    <s v="9.1 Desarrollar infraestructuras fiables, sostenibles, resilientes y de calidad, incluidas infraestructuras regionales y transfronterizas, para apoyar el desarrollo económico y el bienestar humano, haciendo especial hincapié en el acceso asequible y equitativo para todos"/>
    <m/>
    <m/>
    <x v="0"/>
    <m/>
    <n v="1"/>
    <s v="02040681"/>
    <x v="33"/>
    <s v="Producto"/>
    <s v="Número"/>
    <s v="Departamental"/>
    <s v="Número"/>
    <s v="Número de Aeropuertos con caracteristicas HUB implemntado"/>
    <s v="Número de Aeropuertos con caracteristicas HUB implemntado"/>
    <s v="No aplica"/>
    <s v="No aplica"/>
    <s v="No aplica"/>
    <s v="No aplica"/>
    <s v="No aplica"/>
    <s v="Se considera como Fuente Actas de Recepción de Obras"/>
    <n v="1"/>
    <s v="020406811"/>
    <s v="RA"/>
    <s v="Actas de Recepción de Obras"/>
    <s v="Registro administrativo"/>
    <s v="Anual"/>
    <s v="No aplica"/>
    <s v="Nacional"/>
    <s v="Nacional"/>
    <s v="Monto de Inversión_x000a_Plazo de Ejecución"/>
    <s v="Ninguna"/>
    <s v="Ministerio de Obras Púbicas, Servicios y Vivienda (MOPSV)"/>
    <s v="Viceministerio de Transporte"/>
    <s v="Dirección General de Transporte Aéreo (DGTA)"/>
    <n v="2119999"/>
    <n v="2015"/>
    <n v="0"/>
    <n v="1"/>
    <m/>
    <n v="1"/>
    <n v="5"/>
    <n v="0"/>
    <m/>
    <n v="0"/>
    <n v="0"/>
    <n v="0.4"/>
    <m/>
    <n v="0"/>
    <n v="0"/>
    <n v="0.60000000000000009"/>
    <m/>
    <n v="0"/>
    <n v="0"/>
    <n v="0.8"/>
    <m/>
    <n v="0"/>
    <n v="0"/>
    <n v="1"/>
    <m/>
    <n v="0"/>
    <n v="0"/>
    <s v="Anual"/>
    <s v="Entregado"/>
    <m/>
    <m/>
    <m/>
  </r>
  <r>
    <x v="1"/>
    <s v="03/05/2018"/>
    <x v="1"/>
    <s v="Soberanía productiva con diversificación desarrollo integral sin la dictadura del mercado capitalista"/>
    <s v="0602"/>
    <s v="País productor, transformador y exportador “Complejos productivos” y Turismo."/>
    <n v="4"/>
    <s v="6. 2.4"/>
    <n v="151"/>
    <s v="6.2.151"/>
    <s v="0602151"/>
    <s v="Se ha logrado generar un ingreso por turismo receptivo de $us1.581 MM"/>
    <s v="Complejos Productivos"/>
    <s v="Turisticos"/>
    <s v="Resultado"/>
    <s v="Económica"/>
    <s v="Complejos Productivos"/>
    <n v="1"/>
    <m/>
    <s v="RS"/>
    <m/>
    <m/>
    <s v="MCyT"/>
    <n v="25"/>
    <n v="1"/>
    <n v="0"/>
    <s v="Etapa 1"/>
    <n v="1"/>
    <n v="12"/>
    <s v="12.b Elaborar y aplicar instrumentos para vigilar los efectos en el desarrollo sostenible, a fin de lograr un turismo sostenible que cree puestos de trabajo y promueva la cultura y los productos locales"/>
    <m/>
    <m/>
    <x v="2"/>
    <m/>
    <n v="1"/>
    <s v="06021511"/>
    <x v="34"/>
    <s v="Insumo"/>
    <m/>
    <s v="Gasto medio de viaje_x000a_Gasto por nacionalidad_x000a_Días de permanencia_x000a_Flujo de turistas por nacionalidad y transporte terrestre y aéreo"/>
    <s v="En millones de dólares americanos"/>
    <s v="El indicador refleja el gasto realizado por los turistas extranjeros dentro del territorio Boliviano, es decir las divisas generadas por el turismo."/>
    <s v="                  ∑DTR=∑GMV x ∑FT._x000a__x000a_∑DTR = Suma Divisas Turismo Receptivo_x000a_∑GMV = Suma del Gasto medio de viaje por nacionalidad y modo de transporte_x000a_∑FT = Suma del Flujo de Turistas por nacionalidad y modo de transporte_x000a_"/>
    <s v="Divisas por turismo receptivo es el resultado de la multiplicación del gasto medio de viaje por nacionalidad y modo de transporte por el flujo de turistas por nacionalidad y medio de transporte (P*Q)"/>
    <s v="El gasto medio de viaje se obtiene de la Encuesta Gasto de Turismo Receptivo realizado por el BCB, INE y VMT en el marco SIET._x000a_El flujo de turistas por nacionalidad es dato de la Dirección General de Migración y de la Dirección General de Aeronáutica Civil"/>
    <s v="NA"/>
    <s v="NA"/>
    <s v="2008-2017"/>
    <s v="La Encuesta Gasto de Turismo Receptivo se realiza cada dos a tres años."/>
    <n v="1"/>
    <s v="060215111"/>
    <s v="EGT_x000a_RA"/>
    <s v="Encuesta de Gasto de Turismo receptor y emisor_x000a__x000a_Registros administrativos"/>
    <s v="Encuesta y Registros Administrativos"/>
    <s v="EGT= Cada 2 a 3 años_x000a__x000a_RA= Mensual"/>
    <s v="2008-2017"/>
    <s v="Cobertura nacional"/>
    <s v="Nacional"/>
    <s v="EGT= Estructura del gasto turistíco, gasto medio diario, estadía media, gasto por turismo organizado y gasto medio de viaje._x000a__x000a_RA= Flujo de turistas por nacionalidad, flujo de turistas por modo de transporte y punto fronterizo."/>
    <s v="N.A"/>
    <s v="1) Instituto Nacional de Estadisticas (INE)._x000a_2) Ministerio de Gobierno (MG)._x000a_3) Ministerio de Culturas y Turismo (MCyT)._x000a_4) Banco Central de Bolivia (BCB)."/>
    <s v="1) Instituto Nacional de Estadisticas (INE)._x000a_2) Dirección General de Migración (DIGEMIG)._x000a_3) Viceministerio de Turismo (VMT)._x000a_4) Banco Central de Bolivia (BCB)._x000a_"/>
    <s v="1) Unidad de Estadísticas e Indicadores Económicos (UEIE)._x000a_2) Unidad de Sistemas (US)._x000a_3) Direción General de Turismo (DGT)_x000a_4) Unidad de Sector Externo"/>
    <s v="1) 2222333 (Int 869)_x000a_2) 2110960_x000a_3) 2117898_x000a_4) 2409090_x000a_"/>
    <n v="2015"/>
    <n v="692.6"/>
    <n v="1581"/>
    <m/>
    <n v="888.4"/>
    <n v="5"/>
    <n v="870.28"/>
    <n v="711"/>
    <n v="18.399999999999977"/>
    <n v="2.0711391265195833E-2"/>
    <n v="1047.96"/>
    <n v="785.1"/>
    <n v="92.5"/>
    <n v="0.10411976587122918"/>
    <n v="1225.6399999999999"/>
    <m/>
    <n v="-692.6"/>
    <n v="-0.77960378208014414"/>
    <n v="1403.3200000000002"/>
    <m/>
    <n v="-692.6"/>
    <n v="-0.77960378208014414"/>
    <n v="1581"/>
    <m/>
    <n v="-692.6"/>
    <n v="-0.77960378208014414"/>
    <s v="Anual"/>
    <s v="Entregado"/>
    <m/>
    <m/>
    <m/>
  </r>
  <r>
    <x v="1"/>
    <s v="03/05/2018"/>
    <x v="1"/>
    <s v="Soberanía productiva con diversificación desarrollo integral sin la dictadura del mercado capitalista"/>
    <s v="0602"/>
    <s v="País productor, transformador y exportador “Complejos productivos” y Turismo."/>
    <n v="5"/>
    <s v="6. 2.5"/>
    <n v="152"/>
    <s v="6.2.152"/>
    <s v="0602152"/>
    <s v="Se ha incrementado el número de turistas extranjeros a 2,6 millones."/>
    <s v="Complejos Productivos"/>
    <s v="Turisticos"/>
    <s v="Producto"/>
    <s v="Económica"/>
    <s v="Complejos Productivos"/>
    <n v="1"/>
    <m/>
    <s v="PD"/>
    <m/>
    <m/>
    <m/>
    <n v="25"/>
    <n v="0"/>
    <n v="1"/>
    <s v="Etapa 2"/>
    <m/>
    <m/>
    <s v="12.b Elaborar y aplicar instrumentos para vigilar los efectos en el desarrollo sostenible, a fin de lograr un turismo sostenible que cree puestos de trabajo y promueva la cultura y los productos locales"/>
    <m/>
    <m/>
    <x v="0"/>
    <m/>
    <n v="1"/>
    <s v="06021521"/>
    <x v="35"/>
    <s v="Insumo"/>
    <m/>
    <s v="1) Número de turistas por nacionalidad_x000a_2) Número de turistas Mayores de Edad_x000a_3) Número de turistas Menores de Edad_x000a_4) Punto fronterizo por el que ingresaron los turistas , según modo de transporte"/>
    <s v="Número de personas"/>
    <s v="El flujo de turistas extranjeros son todas aquellas personas que ingresan a nuestro país por más de un día y menor a un año."/>
    <s v="FTE = ∑TE (aéreo) + ∑FT (Terrestre) + ∑FT (ferroviario) + ∑FT (fluvial)_x000a__x000a_FTE = Flujo de turistas Extranjeros Total_x000a_∑TE (aéreo) = Flujo de turistas extranjeros que ingresan vía aérea, según nacionalidad_x000a_ ∑FT (Terrestre) = Flujo de turistas extranjeros que ingresan vía terrestre, según nacionalidad_x000a_∑FT (ferroviario) = Flujo de turistas extranjeros que ingresan vía férrea, según nacionalidad_x000a_∑FT (fluvial-lacustre) = Flujo de turistas extranjeros que ingresan vía fluvial-lacustre, según nacionalidad"/>
    <s v="Es la sumatoria del número de turistas extranjeros que ingresan a Bolivia por modo de transporte y nacionalidad."/>
    <s v="Dirección General de Migración._x000a_Instituto Nacional de Estadísticas._x000a_Dirección General de Aeronáutica Civil._x000a_Empresas Ferroviarias Andina y Oriental._x000a_Capitanías de Puerto de la Armada Boliviana"/>
    <s v="NA"/>
    <s v="NA"/>
    <s v="2008-2017"/>
    <s v="MCyT= Utiliza la información del número de viajeros extranjeros_x000a__x000a_INE y UDAPE= Recomienda utilizar el dato del número de visitantes extranjeros "/>
    <n v="1"/>
    <s v="060215211"/>
    <s v="RA"/>
    <s v="Registros administrativos por institución"/>
    <s v="Registro administrativo"/>
    <s v="Mensual"/>
    <s v="2008-2017"/>
    <s v="Cobertura nacional"/>
    <s v="Nacional"/>
    <s v="Número de extrajeros que ingresan a territorio Boliviano, modo de transporte, nacionalidad, sexo, edad (menores y mayores)"/>
    <s v="N.A"/>
    <s v="1) Ministerio de Gobierno (MG)_x000a_2) Instituto Nacional de Estadisticas (INE)._x000a_3) Empresa Ferroviaria Andina y Oriental._x000a_4) Fuerza Naval Boliviana (FNB)"/>
    <s v="1) Dirección General de Migración (DIGEMIG)._x000a_2) Instituto Nacional de Estadisticas (INE)._x000a_3) Empresa Ferroviaria Andina y Oriental._x000a_4) Armada Boliviana"/>
    <s v="1) Unidad de Sistemas._x000a_2) Unidad de Estadísticas e Indicadores Económicos (UEIE)._x000a_3) Unidad Estadística_x000a_4) Capitanías de puertos"/>
    <s v="1) 2110960_x000a_2) 2222333 (Int 869)_x000a_3) ……._x000a_4) 2751830"/>
    <n v="2015"/>
    <n v="1.1299999999999999"/>
    <n v="2.6"/>
    <m/>
    <n v="1.4700000000000002"/>
    <n v="5"/>
    <n v="1.4239999999999999"/>
    <n v="1.18"/>
    <n v="5.0000000000000044E-2"/>
    <n v="3.4013605442176895E-2"/>
    <n v="1.718"/>
    <n v="1.42"/>
    <n v="0.29000000000000004"/>
    <n v="0.19727891156462585"/>
    <n v="2.012"/>
    <m/>
    <n v="-1.1299999999999999"/>
    <n v="-0.76870748299319713"/>
    <n v="2.306"/>
    <m/>
    <n v="-1.1299999999999999"/>
    <n v="-0.76870748299319713"/>
    <n v="2.6"/>
    <m/>
    <n v="-1.1299999999999999"/>
    <n v="-0.76870748299319713"/>
    <s v="Semestral"/>
    <s v="Entregado"/>
    <m/>
    <m/>
    <m/>
  </r>
  <r>
    <x v="1"/>
    <s v="03/05/2018"/>
    <x v="1"/>
    <s v="Soberanía productiva con diversificación desarrollo integral sin la dictadura del mercado capitalista"/>
    <s v="0602"/>
    <s v="País productor, transformador y exportador “Complejos productivos” y Turismo."/>
    <n v="6"/>
    <s v="6. 2.6"/>
    <n v="153"/>
    <s v="6.2.153"/>
    <s v="0602153"/>
    <s v="Se ha logrado un flujo de 4,5 millones de turistas nacionales."/>
    <s v="Complejos Productivos"/>
    <s v="Turisticos"/>
    <s v="Producto"/>
    <s v="Económica"/>
    <s v="Complejos Productivos"/>
    <n v="1"/>
    <m/>
    <s v="PD"/>
    <m/>
    <m/>
    <m/>
    <n v="25"/>
    <n v="0"/>
    <n v="1"/>
    <s v="Etapa 2"/>
    <m/>
    <m/>
    <s v="12.b Elaborar y aplicar instrumentos para vigilar los efectos en el desarrollo sostenible, a fin de lograr un turismo sostenible que cree puestos de trabajo y promueva la cultura y los productos locales"/>
    <m/>
    <m/>
    <x v="0"/>
    <m/>
    <n v="1"/>
    <s v="06021531"/>
    <x v="36"/>
    <s v="Insumo"/>
    <m/>
    <s v="Número de turistas nacionales dentro el territorio nacional"/>
    <s v="Número de personas"/>
    <s v="El flujo de turistas nacionales, son todos aquellos bolivianos que viajan a un lugar distinto a su residencia habitual, dentro del territorio nacional, menor a un año y que no reciban una remuneración en el lugar visitado"/>
    <s v="                                              FTN = ∑TNH + ∑TNFyA _x000a__x000a_FTTN = Flujo Total de Turistas nacionales._x000a_∑TNH = Sumatoria del flujo de turistas nacionales en establecimientos de hospedaje._x000a_∑TNFyA = Sumatoria del flujo de turistas nacionales en casas de Familiares, amigos y propios."/>
    <s v="Flujo de turistas nacionales que pernoctan al menos un día en un lugar diferente a su residencia."/>
    <s v="Viceministerio de Turismo"/>
    <s v="NA"/>
    <s v="NA"/>
    <s v="2008-2017"/>
    <s v="MCyT= Señala que la información del flujo de turistas nacionales es solo de ciudades capitales no existe información a nivel nacional_x000a__x000a_INE=Señala que _x000a_el calculo se realizó con el número de viajeros, dado que no se cuenta con la información del número de visitantes nacionales._x000a_"/>
    <n v="1"/>
    <s v="060215311"/>
    <s v="EGTI-E"/>
    <s v="Encuesta Gasto de Turismo Interno y Excursionismo"/>
    <s v="Encuesta"/>
    <s v="Puntual"/>
    <s v="2011-2017"/>
    <s v="Ciudades capitales"/>
    <s v="Ciudades capitales"/>
    <s v="Sexo, edad, motivo de viaje, estadía media, turismo organizado o independiente"/>
    <s v="Al no contar con registros administrativos del flujo de nacionales en territorio nacional se ha recurrido al porcentaje encontrado en la Encuesta de Turismo Interno y Excursionimo 2016 donde nos indica que el 55% se hospeda en establecimientos de hospedaje y el 45 en casa de familiares, amigos y casas propias u otros. (Sólo se toma en cuenta ciudades capitales)"/>
    <s v="Ministerio de Culturas y Turismo (MCyT)"/>
    <s v="Viceministerio de Turismo (VMT)"/>
    <s v="Dirección General de Turismo (DGT)"/>
    <n v="2117898"/>
    <n v="2015"/>
    <n v="2.85"/>
    <n v="3.5"/>
    <m/>
    <n v="0.64999999999999991"/>
    <n v="5"/>
    <n v="2.98"/>
    <n v="2.91"/>
    <n v="6.0000000000000053E-2"/>
    <n v="9.2307692307692396E-2"/>
    <n v="3.11"/>
    <n v="3.04"/>
    <n v="0.18999999999999995"/>
    <n v="0.29230769230769227"/>
    <n v="3.24"/>
    <m/>
    <n v="-2.85"/>
    <n v="-4.384615384615385"/>
    <n v="3.37"/>
    <m/>
    <n v="-2.85"/>
    <n v="-4.384615384615385"/>
    <n v="3.5"/>
    <m/>
    <n v="-2.85"/>
    <n v="-4.384615384615385"/>
    <s v="Anual"/>
    <s v="Entregado"/>
    <m/>
    <m/>
    <m/>
  </r>
  <r>
    <x v="1"/>
    <s v="03/05/2018"/>
    <x v="1"/>
    <s v="Soberanía productiva con diversificación desarrollo integral sin la dictadura del mercado capitalista"/>
    <s v="0602"/>
    <s v="País productor, transformador y exportador “Complejos productivos” y Turismo."/>
    <n v="7"/>
    <s v="6. 2.7"/>
    <n v="154"/>
    <s v="6.2.154"/>
    <s v="0602154"/>
    <s v="Se ha mejorado y ampliado la infraestructura y servicios turísticos con inversiones del sector privado y comunitario."/>
    <s v="Complejos Productivos"/>
    <s v="Turisticos"/>
    <s v="Producto"/>
    <s v="Económica"/>
    <s v="Complejos Productivos"/>
    <m/>
    <m/>
    <s v="PD"/>
    <m/>
    <m/>
    <m/>
    <n v="25"/>
    <n v="0"/>
    <n v="1"/>
    <s v="Etapa 2"/>
    <m/>
    <m/>
    <s v="12.b Elaborar y aplicar instrumentos para vigilar los efectos en el desarrollo sostenible, a fin de lograr un turismo sostenible que cree puestos de trabajo y promueva la cultura y los productos locales"/>
    <m/>
    <m/>
    <x v="0"/>
    <m/>
    <n v="1"/>
    <s v="06021541"/>
    <x v="37"/>
    <s v="Producto"/>
    <m/>
    <s v="Inversión en Infraestructura Turismo comunitario_x000a_"/>
    <s v="En Millones de Bolivianos"/>
    <s v="La inversión realizada por el sector público-comunitario para infraestructura y servicios turísticos"/>
    <s v="                         ITC = ∑ITCC+∑ITCN _x000a__x000a_ITC = Inversión  público-comunitario en turismo_x000a_∑ITCC = Sumatoria de las inversiones  público-comunitario complementarias hechas en turismo._x000a_∑ITC = Sumatoria de las inversiones nuevas hechas por el sector  público-comunitario en actividades relacionadas con el turismo."/>
    <s v="Total de inversión  público-comunitario destinada a proyectos turisticos complementarios y nuevos"/>
    <s v="Programa Nacional de Turismo Comunitario (PNTC)_x000a_Ministerio de Culturas y Turismo (MCyT)_x000a_"/>
    <s v="NA"/>
    <s v="NA"/>
    <s v="2015-2017"/>
    <s v="La información corresponde a la inversión realizada bajo el Programa Nacional de Turismo Comunitario que se cerro en la gestión 2017."/>
    <n v="1"/>
    <s v="060215411"/>
    <s v="PNTC_x000a_MCyT_x000a_ASFI"/>
    <s v="Estado de cuentas del Programa Nacional de Turismo Comunitario (PNTC)_x000a_Inversión realizada por el Ministerio de Culturas y Turismo en proyectos de turismo"/>
    <s v="Estado de Cuentas Financieras"/>
    <s v="Anual"/>
    <s v="2015-2017"/>
    <s v="Cobertura nacional"/>
    <s v="Nacional"/>
    <s v="Inversiones del sector Público y comunitario en Turismo Comunitario"/>
    <s v="El dato solo considera la inversión hecha por el sector publico en Turismo Comunitario queda pendiente el dato del sector privado."/>
    <s v="1) Programa Nacional de Turismo Comunitario_x000a_2) Ministerio de Culturas y Turismo_x000a_"/>
    <s v="1) Programa Nacional de Turismo Comunitario_x000a_2) Ministerio de Culturas y Turismo"/>
    <s v="1) Programa Nacional de Turismo Comunitario_x000a_2) Ministerio de Culturas y Turismo"/>
    <s v="1) Se ha cerrado_x000a_2) 2200910"/>
    <n v="2015"/>
    <n v="22.1"/>
    <s v="No aplica"/>
    <m/>
    <e v="#VALUE!"/>
    <n v="5"/>
    <m/>
    <m/>
    <n v="-22.1"/>
    <e v="#VALUE!"/>
    <e v="#VALUE!"/>
    <m/>
    <m/>
    <e v="#VALUE!"/>
    <e v="#VALUE!"/>
    <m/>
    <n v="-22.1"/>
    <e v="#VALUE!"/>
    <e v="#VALUE!"/>
    <m/>
    <n v="-22.1"/>
    <e v="#VALUE!"/>
    <e v="#VALUE!"/>
    <m/>
    <n v="-22.1"/>
    <e v="#VALUE!"/>
    <s v="Anual"/>
    <s v="Entregado"/>
    <m/>
    <m/>
    <m/>
  </r>
  <r>
    <x v="1"/>
    <s v="03/05/2018"/>
    <x v="1"/>
    <s v="Soberanía productiva con diversificación desarrollo integral sin la dictadura del mercado capitalista"/>
    <s v="0602"/>
    <s v="País productor, transformador y exportador “Complejos productivos” y Turismo."/>
    <n v="7"/>
    <s v="6. 2.7"/>
    <n v="154"/>
    <s v="6.2.154"/>
    <s v="0602154"/>
    <s v="Se ha mejorado y ampliado la infraestructura y servicios turísticos con inversiones del sector privado y comunitario."/>
    <s v="Complejos Productivos"/>
    <s v="Turisticos"/>
    <s v="Producto"/>
    <s v="Económica"/>
    <s v="Complejos Productivos"/>
    <m/>
    <m/>
    <s v="PD"/>
    <m/>
    <m/>
    <m/>
    <n v="25"/>
    <n v="0"/>
    <n v="1"/>
    <s v="Etapa 2"/>
    <m/>
    <m/>
    <s v="12.b Elaborar y aplicar instrumentos para vigilar los efectos en el desarrollo sostenible, a fin de lograr un turismo sostenible que cree puestos de trabajo y promueva la cultura y los productos locales"/>
    <m/>
    <m/>
    <x v="0"/>
    <m/>
    <s v="1.1"/>
    <s v="06021541.1"/>
    <x v="37"/>
    <s v="Producto"/>
    <m/>
    <s v="Inversión en Infraestructura sector privado"/>
    <s v="En Millones de Bolivianos"/>
    <s v="La inversión realizada por el sector privado para infraestructura y servicios turísticos"/>
    <s v="                        ITP = ∑ITPC+∑ITPN _x000a__x000a_ITP = Inversión en turismo Privado._x000a_∑ITPC = Sumatoria de las inversiones complementarias hechas por el sector privado en actividades relacionadas con el turismo._x000a_∑ITPN = Sumatoria de las inversiones nuevas hechas por el sector privado en actividades relacionadas con el turismo."/>
    <s v="Total de inversión privada destinada a proyectos turisticos  complementarios y nuevos"/>
    <s v="Autoridad de Supervisión del Sistema Financiero (ASFI)"/>
    <s v="NA"/>
    <s v="NA"/>
    <s v="2015-2017"/>
    <s v="No se cuenta con la información de la ASFI en cuanto a los créditos otorgados para inversiones en hospedaje, restaurantes, etc., relacionados con el turismo."/>
    <n v="1"/>
    <s v="06021541.11"/>
    <s v="PNTC_x000a_MCyT_x000a_ASFI"/>
    <s v="Reporte de los créditos otorgados para actividades relacionadas con el turismo"/>
    <s v="Reporte de créditos otorgados"/>
    <s v="Anual"/>
    <s v="2015-2017"/>
    <s v="Cobertura nacional"/>
    <s v="Nacional"/>
    <s v="Créditos otorgados al sector privado para emprendimientos relacionados con el turismo."/>
    <s v="El dato solo considera la inversión hecha por el sector publico en Turismo Comunitario queda pendiente el dato del sector privado."/>
    <s v="Autoridad de Supervisión del Sistema Financiero"/>
    <s v="Autoridad de Supervisión del Sistema Financiero"/>
    <s v="Autoridad de Supervisión del Sistema Financiero"/>
    <n v="2174444"/>
    <n v="2015"/>
    <s v="Se solicitó información"/>
    <s v="No aplica"/>
    <m/>
    <e v="#VALUE!"/>
    <n v="5"/>
    <m/>
    <m/>
    <e v="#VALUE!"/>
    <e v="#VALUE!"/>
    <e v="#VALUE!"/>
    <m/>
    <m/>
    <e v="#VALUE!"/>
    <e v="#VALUE!"/>
    <m/>
    <e v="#VALUE!"/>
    <e v="#VALUE!"/>
    <e v="#VALUE!"/>
    <m/>
    <e v="#VALUE!"/>
    <e v="#VALUE!"/>
    <e v="#VALUE!"/>
    <m/>
    <e v="#VALUE!"/>
    <e v="#VALUE!"/>
    <s v="Anual"/>
    <s v="Entregado"/>
    <m/>
    <m/>
    <m/>
  </r>
  <r>
    <x v="2"/>
    <s v="16/04/2018"/>
    <x v="0"/>
    <s v="Universalización de los servicios básicos"/>
    <s v="0203"/>
    <s v="El 100% de las bolivianas y los bolivianos cuentan con servicios  de energía eléctrica y luz"/>
    <n v="1"/>
    <s v="2.3.1"/>
    <n v="45"/>
    <s v="2.3.45"/>
    <s v="0203045"/>
    <s v="Se ha alcanzado un 97% de cobertura de energía eléctrica y luz a nivel nacional."/>
    <s v="Servicios Básicos"/>
    <s v="Electricidad"/>
    <s v="Resultado"/>
    <s v="Social"/>
    <s v="Servicios Básicos"/>
    <n v="1"/>
    <m/>
    <s v="RS"/>
    <m/>
    <m/>
    <s v="MOPSV"/>
    <e v="#DIV/0!"/>
    <n v="1"/>
    <n v="0"/>
    <s v="Etapa 1"/>
    <m/>
    <n v="7"/>
    <s v="7.1 De aquí a 2030, garantizar el acceso universal a servicios energéticos asequibles, fiables y modernos"/>
    <s v="7.1.1 Porcentaje de la población que tiene acceso a la electricidad_x000a_7.1.2 Porcentaje de la población cuya fuente primaria de energía consiste en combustibles y tecnología limpios_x000a_"/>
    <m/>
    <x v="2"/>
    <m/>
    <n v="1"/>
    <s v="02030451"/>
    <x v="38"/>
    <s v="Impacto"/>
    <m/>
    <s v="Nacional y Departamental por área urbana y rural"/>
    <s v="Porcentaje"/>
    <s v="Es el porcentaje de hogares con electricidad que cuentan con servicio eléctrico frente al número total de hogares del país. "/>
    <s v="CN =  (A/B)*100_x000a__x000a_Donde: _x000a_CN = % de Cobertura a nivel Nacional._x000a_A = Número de hogares que cuentan con energía eléctrica a nivel Nacional: suma de conexiones de usuarios regulados de la categoria residencial (URCR) y otras conexiones de hogares (OCH)._x000a_B = Número total de hogares a nivel nacional: proyeccion de poblacion*numero de personas por hogar."/>
    <s v="A = Número de hogares que cuentan con energía eléctrica a nivel Nacional._x000a_"/>
    <s v="URCR: Empresas Distribuidoras, _x000a_OCH: Instituto Nacional de Estadistica (Proyecciones de poblacion), Proyectos Ejecutados por Gobernaciones, PEVD. "/>
    <s v="B = Número total de hogares a nivel nacional._x000a_"/>
    <s v="Instituto Nacional de Estadistica (Proyecciones de poblacion, y numero de personas por hogar del censo 2012)"/>
    <s v="1976-2017"/>
    <s v="Se consideran hogares con electricidad a los que aceden a la misma a partir de red pública (Sistemas Interconectado Nacional y Sistemas Aislados) , paneles solares, motor, otro sistema.  "/>
    <n v="1"/>
    <s v="11"/>
    <s v="VMEEA"/>
    <s v="Viceministerio de Electricidad y Energías alternativas"/>
    <s v="Registro Administrativo y censo"/>
    <s v="Anual"/>
    <s v="1976-2017"/>
    <s v="Nacional (Urbano - Rural)"/>
    <s v="Departamental, municipal"/>
    <s v="Número de usuarios de la categoría residencial/ número de paneles solares instalados/ hogares con electricidad que comparten medidor/ otras conexiones.  "/>
    <s v="Hogares conectados al SIN y Sistemas Aislados"/>
    <s v="Ministerio de Energias"/>
    <s v="Viceministerio de Electricidad y Energías Alternativas "/>
    <s v="Dirección de Energías Alternativas"/>
    <s v="(2) 2128494"/>
    <d v="2015-12-01T00:00:00"/>
    <n v="0.874"/>
    <n v="0.97"/>
    <n v="1"/>
    <n v="9.5999999999999974E-2"/>
    <n v="5"/>
    <n v="0.89319999999999999"/>
    <n v="0.90300000000000002"/>
    <n v="2.9000000000000026E-2"/>
    <n v="0.3020833333333337"/>
    <n v="0.91239999999999999"/>
    <n v="0.90700000000000003"/>
    <n v="3.3000000000000029E-2"/>
    <n v="0.34375000000000039"/>
    <n v="0.93159999999999998"/>
    <n v="0.93"/>
    <n v="5.600000000000005E-2"/>
    <n v="0.58333333333333404"/>
    <n v="0.95079999999999998"/>
    <n v="0.95"/>
    <n v="7.5999999999999956E-2"/>
    <n v="0.79166666666666641"/>
    <n v="0.97"/>
    <n v="0.97"/>
    <n v="9.5999999999999974E-2"/>
    <n v="1"/>
    <s v="Anual"/>
    <m/>
    <m/>
    <m/>
    <m/>
  </r>
  <r>
    <x v="2"/>
    <s v="10/04/2018"/>
    <x v="0"/>
    <s v="Universalización de los servicios básicos"/>
    <s v="0203"/>
    <s v="El 100% de las bolivianas y los bolivianos cuentan con servicios  de energía eléctrica y luz"/>
    <n v="2"/>
    <s v="2.3.2"/>
    <n v="46"/>
    <s v="2.3.46"/>
    <s v="0203046"/>
    <s v="Se ha logrado el 100% de cobertura de energía eléctrica y luz en el área urbana."/>
    <s v="Servicios Básicos"/>
    <s v="Electricidad"/>
    <s v="Resultado"/>
    <s v="Social"/>
    <s v="Servicios Básicos"/>
    <n v="1"/>
    <m/>
    <s v="RS"/>
    <m/>
    <m/>
    <s v="MOPSV"/>
    <e v="#DIV/0!"/>
    <n v="1"/>
    <n v="0"/>
    <s v="Etapa 1"/>
    <m/>
    <n v="7"/>
    <s v="7.1 De aquí a 2030, garantizar el acceso universal a servicios energéticos asequibles, fiables y modernos"/>
    <s v="7.1.1 Porcentaje de la población que tiene acceso a la electricidad_x000a_7.1.2 Porcentaje de la población cuya fuente primaria de energía consiste en combustibles y tecnología limpios_x000a_"/>
    <m/>
    <x v="2"/>
    <m/>
    <n v="1"/>
    <s v="02030461"/>
    <x v="39"/>
    <s v="Impacto"/>
    <m/>
    <s v="Nacional y Departamental por área urbana y rural"/>
    <s v="Porcentaje"/>
    <s v="Es el porcentaje de hogares urbanos con electricidad que cuentan con servicio eléctrico frente al número total de hogares urbanos del país. "/>
    <s v="CU =  (AU/BU)*100_x000a__x000a_Donde: _x000a_CU = % de Cobertura en el área urbana._x000a_AU = Número de hogares que cuentan con energía eléctrica a nivel urbano: suma de conexiones de usuarios regulados de la categoria residencial (URCR) y otras conexiones de hogares (OCH)._x000a_BU = Número total de hogares en el área urbana: proyeccion de poblacion*numero de personas por hogar."/>
    <s v="AU = Número de hogares urbanos que cuentan con energía eléctrica a nivel Nacional."/>
    <s v="URCR: Empresas Distribuidoras, _x000a_OCH: Instituto Nacional de Estadistica (Proyecciones de poblacion), Proyectos Ejecutados por Gobernaciones, PEVD. "/>
    <s v="BU = Número total de hogares urbanos a nivel nacional"/>
    <s v="Instituto Nacional de Estadistica (Proyecciones de poblacion)"/>
    <s v="1976-2017"/>
    <s v="Se denomina Urbana una localidad que cuenta con más de 2000 habitantes._x000a_Se consideran hogares con electricidad a los que aceden a la misma a partir de red pública (Sistemas Interconectado Nacional y Sistemas Aislados) , paneles solares, motor, otro sistema. "/>
    <n v="1"/>
    <s v="020304611"/>
    <s v="VMEEA"/>
    <s v="Viceministerio de Electricidad y Energías alternativas"/>
    <s v="Registro Administrativo y censo"/>
    <s v="Anual"/>
    <s v="1976-2017"/>
    <s v="Nacional (Urbano - Rural)"/>
    <s v="Departamental, municipal"/>
    <s v="Número de usuarios de la categoría residencial/ número de paneles solares instalados/ hogares con electricidad que comparten medidor/ otras conexiones.  "/>
    <s v="Hogares conectados al SIN y Sistemas Aislados"/>
    <s v="Ministerio de Energias"/>
    <s v="Viceministerio de Electricidad y Energías Alternativas "/>
    <s v="Dirección de Energías Alternativas"/>
    <s v="(2) 2128494"/>
    <d v="2015-12-01T00:00:00"/>
    <n v="0.97199999999999998"/>
    <n v="1"/>
    <n v="1"/>
    <n v="2.8000000000000025E-2"/>
    <n v="5"/>
    <n v="0.97760000000000002"/>
    <n v="0.99"/>
    <n v="1.8000000000000016E-2"/>
    <n v="0.6428571428571429"/>
    <n v="0.98319999999999996"/>
    <n v="0.99"/>
    <n v="1.8000000000000016E-2"/>
    <n v="0.6428571428571429"/>
    <n v="0.98880000000000001"/>
    <n v="0.99"/>
    <n v="1.8000000000000016E-2"/>
    <n v="0.6428571428571429"/>
    <n v="0.99439999999999995"/>
    <n v="0.99"/>
    <n v="1.8000000000000016E-2"/>
    <n v="0.6428571428571429"/>
    <n v="1"/>
    <n v="1"/>
    <n v="2.8000000000000025E-2"/>
    <n v="1"/>
    <s v="Anual"/>
    <m/>
    <m/>
    <m/>
    <m/>
  </r>
  <r>
    <x v="2"/>
    <s v="10/04/2018"/>
    <x v="0"/>
    <s v="Universalización de los servicios básicos"/>
    <s v="0203"/>
    <s v="El 100% de las bolivianas y los bolivianos cuentan con servicios  de energía eléctrica y luz"/>
    <n v="3"/>
    <s v="2.3.3"/>
    <n v="47"/>
    <s v="2.3.47"/>
    <s v="0203047"/>
    <s v="Se ha alcanzado el 90% de cobertura de energía eléctrica y luz en el área rural."/>
    <s v="Servicios Básicos"/>
    <s v="Electricidad"/>
    <s v="Resultado"/>
    <s v="Social"/>
    <s v="Servicios Básicos"/>
    <n v="1"/>
    <m/>
    <s v="RS"/>
    <m/>
    <m/>
    <s v="MOPSV"/>
    <e v="#DIV/0!"/>
    <n v="1"/>
    <n v="0"/>
    <s v="Etapa 1"/>
    <m/>
    <n v="7"/>
    <s v="7.1 De aquí a 2030, garantizar el acceso universal a servicios energéticos asequibles, fiables y modernos"/>
    <s v="7.1.1 Porcentaje de la población que tiene acceso a la electricidad_x000a_7.1.2 Porcentaje de la población cuya fuente primaria de energía consiste en combustibles y tecnología limpios_x000a_"/>
    <m/>
    <x v="2"/>
    <m/>
    <n v="1"/>
    <s v="02030471"/>
    <x v="40"/>
    <s v="Impacto"/>
    <m/>
    <s v="Nacional y Departamental por área urbana y rural"/>
    <s v="Porcentaje"/>
    <s v="Es el porcentaje de hogares rurales con electricidad que cuentan con servicio eléctrico frente al número total de hogares rurales del país. "/>
    <s v="CR =  (AR/BR)*100_x000a__x000a_Donde: _x000a_CR = % de Cobertura del área rural._x000a_AR = Número de hogares que cuentan con energía eléctrica del área rural: suma de conexiones de usuarios regulados de la categoria residencial (URCR) y otras conexiones de hogares (OCH)._x000a_BR = Número total de hogares del área rural: proyeccion de poblacion*numero de personas por hogar del área rural."/>
    <s v="AR = Número de hogares rurales que cuentan con energía eléctrica a nivel Nacional"/>
    <s v="URCR: Empresas Distribuidoras, _x000a_OCH: Instituto Nacional de Estadistica (Proyecciones de poblacion), Proyectos Ejecutados por Gobernaciones, PEVD. "/>
    <s v="BR = Número total de hogares rurales a nivel nacional"/>
    <s v="Instituto Nacional de Estadistica (Proyecciones de poblacion)"/>
    <s v="1976-2017"/>
    <s v="Se denomina Rural una localidad que cuenta con menos de 2000 habitantes._x000a_Se consideran hogares con electricidad a los que aceden a la misma a partir de red pública (Sistemas Interconectado Nacional y Sistemas Aislados) , paneles solares, motor, otro sistema. "/>
    <n v="1"/>
    <s v="020304711"/>
    <s v="VMEEA"/>
    <s v="Viceministerio de Electricidad y Energías alternativas"/>
    <s v="Registro Administrativo y censo"/>
    <s v="Anual"/>
    <s v="1976-2017"/>
    <s v="Nacional (Urbano - Rural)"/>
    <s v="Departamental, municipal"/>
    <s v="Número de usuarios de la categoría residencial/ número de paneles solares instalados/ hogares con electricidad que comparten medidor/ otras conexiones.  "/>
    <s v="Hogares conectados al SIN y Sistemas Aislados"/>
    <s v="Ministerio de Energias"/>
    <s v="Viceministerio de Electricidad y Energías Alternativas "/>
    <s v="Dirección de Energías Alternativas"/>
    <s v="(2) 2128494"/>
    <d v="2015-12-01T00:00:00"/>
    <n v="0.68"/>
    <n v="0.9"/>
    <n v="1"/>
    <n v="0.21999999999999997"/>
    <n v="5"/>
    <n v="0.72400000000000009"/>
    <n v="0.73"/>
    <n v="4.9999999999999933E-2"/>
    <n v="0.22727272727272699"/>
    <n v="0.76800000000000002"/>
    <n v="0.73799999999999999"/>
    <n v="5.799999999999994E-2"/>
    <n v="0.26363636363636339"/>
    <n v="0.81200000000000006"/>
    <n v="0.81"/>
    <n v="0.13"/>
    <n v="0.59090909090909105"/>
    <n v="0.85600000000000009"/>
    <n v="0.86"/>
    <n v="0.17999999999999994"/>
    <n v="0.81818181818181801"/>
    <n v="0.9"/>
    <n v="0.9"/>
    <n v="0.21999999999999997"/>
    <n v="1"/>
    <s v="Anual"/>
    <m/>
    <m/>
    <m/>
    <m/>
  </r>
  <r>
    <x v="2"/>
    <s v="10/04/2018"/>
    <x v="2"/>
    <s v="Soberanía sobre nuestros recursos naturales "/>
    <s v="0702"/>
    <s v="Fortalecimiento de los procesos de industrialización y transformación en armonía y equilibrio con la Madre Tierra: eléctrico"/>
    <n v="20"/>
    <s v="7.2.20"/>
    <n v="215"/>
    <s v="7.2.215"/>
    <s v="0702215"/>
    <s v="Se ha alcanzado una potencia efectiva de hasta 4.878 MW para garantizar el abastecimiento de a demanda  interna y generar excedentes para  a  exportación mediante  la  implementación  de proyectos  de  generación.  Se  ha  incrementado la  generación  de  electricidad  a  2.954  MW  en Hidroeléctricas,  Termoeléctricas  y  Energías Alternativas. "/>
    <s v="Recursos Naturales"/>
    <s v="Energía"/>
    <s v="Resultado"/>
    <s v="Económica"/>
    <s v="Energía"/>
    <n v="1"/>
    <m/>
    <s v="RS"/>
    <m/>
    <m/>
    <s v="MEeH"/>
    <e v="#DIV/0!"/>
    <n v="1"/>
    <n v="0"/>
    <s v="Etapa 1"/>
    <m/>
    <n v="7"/>
    <s v="7.b De aquí a 2030, ampliar la infraestructura y mejorar la tecnología para prestar servicios energéticos modernos y sostenibles para todos en los países en desarrollo, en particular los países menos adelantados, los pequeños Estados insulares en desarrollo y los países en desarrollo sin litoral, en consonancia con sus respectivos programas de apoyo"/>
    <m/>
    <m/>
    <x v="2"/>
    <m/>
    <n v="1"/>
    <s v="07022151"/>
    <x v="41"/>
    <s v="Proceso"/>
    <m/>
    <s v="Nacional (Sistema Interconectado Nacional)"/>
    <s v="Porcentaje"/>
    <s v="El indicador mide la relación de megavatios instalados frente a los megavatios previstos al 2020, expresado en porcentaje."/>
    <s v="PPI =  (A/B)*100_x000a__x000a_Donde: _x000a_PPI = % de Potencia Instalada respecto a la meta PDES año 2020_x000a_A = Suma de la potencia instalada hasta el año de la línea base y potencia instalada adicional a través de proyectos de generación._x000a_B = Potencia total instalada Meta PDES año 2020_x000a_"/>
    <s v="Es la potencia total instalada en cada año de evaluación."/>
    <s v="Empresa Nacional de Electricidad (ENDE)"/>
    <s v="Es la potencia Meta PDES al año 2020."/>
    <s v="Empresa Nacional de Electricidad (ENDE)"/>
    <s v="1996 - 2017"/>
    <s v="Como proxy de la potencia efectiva, se considera la potencia instalada al tratarse de proyectos que no estan en operación comercial."/>
    <n v="1"/>
    <s v="070221511"/>
    <s v="VMEEA"/>
    <s v="Viceministerio de Electricidad y Energías alternativas"/>
    <s v="Registro administrativo"/>
    <s v="Mensual"/>
    <s v="1996 - 2017"/>
    <s v="Nacional "/>
    <s v="Nacional "/>
    <s v="Potencia instalada, potencia efectiva de las plantas en operación, tecnología y caracteristicas técnicas de las plantas generadoras."/>
    <s v="Se trabaja con una nueva meta sectorial al 2020 que considera la actualización de la cartera de proyectos de ENDE a diciembre de 2017, donde proyectos hidroeléctricos como Miguillas (203MW), Ivirizu (290MW), Banda Azul (93MW) y otros (560MW)  no ingresarán antes del 2020."/>
    <s v="Ministerio de Energias"/>
    <s v="Viceministerio de Electricidad y Energías Alternativas "/>
    <s v="Dirección General de Electricidad"/>
    <s v="(2) 2128494"/>
    <n v="2015"/>
    <n v="0.39442394423944238"/>
    <n v="1"/>
    <n v="1"/>
    <n v="0.60557605576055762"/>
    <n v="5"/>
    <n v="0.51553915539155393"/>
    <n v="0.4013940139401394"/>
    <n v="6.9700697006970236E-3"/>
    <n v="1.1509817197021016E-2"/>
    <n v="0.63665436654366547"/>
    <n v="0.42599425994259943"/>
    <n v="3.1570315703157048E-2"/>
    <n v="5.2132701421800973E-2"/>
    <n v="0.75776957769577691"/>
    <n v="0.46"/>
    <n v="6.5576055760557639E-2"/>
    <n v="0.10828706838185516"/>
    <n v="0.87888478884788845"/>
    <n v="0.71"/>
    <n v="0.31557605576055758"/>
    <n v="0.52111712931618137"/>
    <n v="1"/>
    <n v="0.74"/>
    <n v="0.34557605576055761"/>
    <n v="0.57065673662830063"/>
    <s v="Anual"/>
    <m/>
    <m/>
    <m/>
    <m/>
  </r>
  <r>
    <x v="2"/>
    <s v="10/04/2018"/>
    <x v="2"/>
    <s v="Soberanía sobre nuestros recursos naturales "/>
    <s v="0702"/>
    <s v="Fortalecimiento de los procesos de industrialización y transformación en armonía y equilibrio con la Madre Tierra: eléctrico"/>
    <n v="20"/>
    <m/>
    <m/>
    <m/>
    <s v="0702215"/>
    <s v="Se ha alcanzado una potencia efectiva de hasta 4.878 MW para garantizar el abastecimiento de a demanda  interna y generar excedentes para  a  exportación mediante  la  implementación  de proyectos  de  generación.  Se  ha  incrementado la  generación  de  electricidad  a  2.954  MW  en Hidroeléctricas,  Termoeléctricas  y  Energías Alternativas. "/>
    <m/>
    <m/>
    <s v="Resultado"/>
    <m/>
    <m/>
    <m/>
    <m/>
    <m/>
    <m/>
    <m/>
    <m/>
    <m/>
    <n v="0"/>
    <n v="0"/>
    <s v="Etapa 1"/>
    <m/>
    <n v="7"/>
    <s v="7.b De aquí a 2030, ampliar la infraestructura y mejorar la tecnología para prestar servicios energéticos modernos y sostenibles para todos en los países en desarrollo, en particular los países menos adelantados, los pequeños Estados insulares en desarrollo y los países en desarrollo sin litoral, en consonancia con sus respectivos programas de apoyo_x000a_7.2 De aquí a 2030, aumentar considerablemente la proporción de energía renovable en el conjunto de fuentes energéticas"/>
    <m/>
    <m/>
    <x v="2"/>
    <m/>
    <m/>
    <s v="0702215"/>
    <x v="42"/>
    <s v="Proceso"/>
    <m/>
    <s v="Nacional (Sistema Interconectado Nacional)"/>
    <s v="Porcentaje"/>
    <s v="El indicador mide la relación de megavatios instalados con hidroeléctricas frente a los megavatios previstos al 2020, expresado en porcentaje."/>
    <s v="PPIHE=  (A/B)*100_x000a__x000a_Donde: _x000a_PPIHE = % de Potencia Instalada respecto a la meta PDES 2020 con proyectos hidroeléctricos_x000a_A = Suma de la potencia instalada hasta el año de la línea base y potencia instalada adicional a través de proyectos de generación hidroeléctrica._x000a_B = Potencia total instalada Metas PDES al año 2020 con hidroeléctricas"/>
    <s v="Es la potencia total instalada en cada año de evaluación con hidroeléctricas"/>
    <s v="Empresa Nacional de Electricidad (ENDE)"/>
    <s v="Es la potencia Meta PDES  en hidroelétricas al año 2020."/>
    <s v="Empresa Nacional de Electricidad (ENDE)"/>
    <s v="1996 - 2017"/>
    <s v="Se detalla la diversificación de la matriz energetica._x000a_Como proxy de la potencia efectiva, se considera la potencia instalada al tratarse de proyectos que no estan en operación comercial."/>
    <n v="1"/>
    <s v="07022151"/>
    <s v="VMEEA"/>
    <s v="Viceministerio de Electricidad y Energías alternativas"/>
    <s v="Registro administrativo"/>
    <s v="Mensual"/>
    <s v="1996 - 2017"/>
    <s v="Nacional "/>
    <s v="Nacional "/>
    <s v="Potencia instalada, potencia efectiva de las plantas en operación, tecnología y caracteristicas técnicas de las plantas generadoras."/>
    <s v="Se trabaja con una nueva meta sectorial al 2020 que considera la actualización de la cartera de proyectos de ENDE a diciembre de 2017, donde proyectos hidroeléctricos como Miguillas (203MW), Ivirizu (290MW), Banda Azul (93MW) y otros (560MW)  no ingresarán antes del 2020."/>
    <s v="Ministerio de Energias"/>
    <s v="Viceministerio de Electricidad y Energías Alternativas "/>
    <s v="Dirección General de Electricidad"/>
    <s v="(2) 2128494"/>
    <n v="2015"/>
    <n v="0.24901247401247403"/>
    <n v="0.39485444854448543"/>
    <n v="0.57346901642753179"/>
    <n v="0.14584197453201139"/>
    <n v="5"/>
    <n v="0.27818086891887633"/>
    <n v="0.24470888661899898"/>
    <n v="-4.3035873934750557E-3"/>
    <n v="-2.9508565056697345E-2"/>
    <n v="0.30734926382527861"/>
    <n v="0.28832531280076995"/>
    <n v="3.9312838788295917E-2"/>
    <n v="0.26955777933236219"/>
    <n v="0.33651765873168088"/>
    <n v="0.32"/>
    <n v="7.0987525987525973E-2"/>
    <n v="0.48674276534801481"/>
    <n v="0.36568605363808315"/>
    <n v="0.21"/>
    <n v="-3.9012474012474041E-2"/>
    <n v="-0.26749825719008657"/>
    <n v="0.39485444854448543"/>
    <n v="0.2"/>
    <n v="-4.9012474012474022E-2"/>
    <n v="-0.3360656228753684"/>
    <s v="Anual"/>
    <m/>
    <m/>
    <m/>
    <m/>
  </r>
  <r>
    <x v="2"/>
    <s v="10/04/2018"/>
    <x v="2"/>
    <s v="Soberanía sobre nuestros recursos naturales "/>
    <s v="0702"/>
    <s v="Fortalecimiento de los procesos de industrialización y transformación en armonía y equilibrio con la Madre Tierra: eléctrico"/>
    <n v="20"/>
    <m/>
    <m/>
    <m/>
    <s v="0702215"/>
    <s v="Se ha alcanzado una potencia efectiva de hasta 4.878 MW para garantizar el abastecimiento de a demanda  interna y generar excedentes para  a  exportación mediante  la  implementación  de proyectos  de  generación.  Se  ha  incrementado la  generación  de  electricidad  a  2.954  MW  en Hidroeléctricas,  Termoeléctricas  y  Energías Alternativas. "/>
    <m/>
    <m/>
    <s v="Resultado"/>
    <m/>
    <m/>
    <m/>
    <m/>
    <m/>
    <m/>
    <m/>
    <m/>
    <m/>
    <n v="0"/>
    <n v="0"/>
    <s v="Etapa 1"/>
    <m/>
    <n v="7"/>
    <s v="7.b De aquí a 2030, ampliar la infraestructura y mejorar la tecnología para prestar servicios energéticos modernos y sostenibles para todos en los países en desarrollo, en particular los países menos adelantados, los pequeños Estados insulares en desarrollo y los países en desarrollo sin litoral, en consonancia con sus respectivos programas de apoyo"/>
    <m/>
    <m/>
    <x v="2"/>
    <m/>
    <m/>
    <s v="0702215"/>
    <x v="43"/>
    <s v="Proceso"/>
    <m/>
    <s v="Nacional (Sistema Interconectado Nacional)"/>
    <s v="Porcentaje"/>
    <s v="El indicador mide la relación de megavatios instalados con termoeléctricas frente a los megavatios previstos al 2020, expresado en porcentaje."/>
    <s v="PPITE=  (A/B)*100_x000a__x000a_Donde: _x000a_PPITE = % de Potencia Instalada respecto a la meta PDES 2020 con proyectos termoeléctricos_x000a_A = Suma de la potencia instalada hasta el año de la línea base y potencia instalada adicional a través de proyectos de generación termoeléctricas._x000a_B = Potencia total instalada Meta PDES al año 2020 con termoeléctricas_x000a_"/>
    <s v="Es la potencia total instalada en cada año de evaluación con termoeléctricas"/>
    <s v="Empresa Nacional de Electricidad (ENDE)"/>
    <s v="Es la potencia Meta PDES con termoeléctricas al año 2020."/>
    <s v="Empresa Nacional de Electricidad (ENDE)"/>
    <s v="1996 - 2017"/>
    <s v="Se detalla la diversificación de la matriz energetica._x000a_Como proxy de la potencia efectiva, se considera la potencia instalada al tratarse de proyectos que no estan en operación comercial."/>
    <n v="1"/>
    <s v="07022151"/>
    <s v="VMEEA"/>
    <s v="Viceministerio de Electricidad y Energías alternativas"/>
    <s v="Registro administrativo"/>
    <s v="Mensual"/>
    <s v="1996 - 2017"/>
    <s v="Nacional "/>
    <s v="Nacional "/>
    <s v="Potencia instalada, potencia efectiva de las plantas en operación, tecnología y caracteristicas técnicas de las plantas generadoras."/>
    <m/>
    <s v="Ministerio de Energias"/>
    <s v="Viceministerio de Electricidad y Energías Alternativas "/>
    <s v="Dirección General de Electricidad"/>
    <s v="(2) 2128494"/>
    <n v="2015"/>
    <n v="0.73548856548856545"/>
    <n v="0.51478064780647803"/>
    <n v="0.34441931794551883"/>
    <n v="-0.22070791768208742"/>
    <n v="5"/>
    <n v="0.69134698195214794"/>
    <n v="0.72272727272727266"/>
    <n v="-1.2761292761292786E-2"/>
    <n v="5.7819823118781068E-2"/>
    <n v="0.64720539841573044"/>
    <n v="0.68099133782483157"/>
    <n v="-5.4497227663733883E-2"/>
    <n v="0.24692012971747077"/>
    <n v="0.60306381487931304"/>
    <n v="0.62"/>
    <n v="-0.11548856548856545"/>
    <n v="0.52326426120751024"/>
    <n v="0.55892223134289554"/>
    <n v="0.72"/>
    <n v="-1.5488565488565476E-2"/>
    <n v="7.0176755103437433E-2"/>
    <n v="0.51478064780647803"/>
    <n v="0.69"/>
    <n v="-4.5488565488565502E-2"/>
    <n v="0.20610300693465941"/>
    <s v="Anual"/>
    <m/>
    <m/>
    <m/>
    <m/>
  </r>
  <r>
    <x v="2"/>
    <s v="10/04/2018"/>
    <x v="2"/>
    <s v="Soberanía sobre nuestros recursos naturales "/>
    <s v="0702"/>
    <s v="Fortalecimiento de los procesos de industrialización y transformación en armonía y equilibrio con la Madre Tierra: eléctrico"/>
    <n v="20"/>
    <m/>
    <m/>
    <m/>
    <s v="0702215"/>
    <s v="Se ha alcanzado una potencia efectiva de hasta 4.878 MW para garantizar el abastecimiento de a demanda  interna y generar excedentes para  a  exportación mediante  la  implementación  de proyectos  de  generación.  Se  ha  incrementado la  generación  de  electricidad  a  2.954  MW  en Hidroeléctricas,  Termoeléctricas  y  Energías Alternativas. "/>
    <m/>
    <m/>
    <s v="Resultado"/>
    <m/>
    <m/>
    <m/>
    <m/>
    <m/>
    <m/>
    <m/>
    <m/>
    <m/>
    <n v="0"/>
    <n v="0"/>
    <s v="Etapa 1"/>
    <m/>
    <n v="7"/>
    <s v="7.b De aquí a 2030, ampliar la infraestructura y mejorar la tecnología para prestar servicios energéticos modernos y sostenibles para todos en los países en desarrollo, en particular los países menos adelantados, los pequeños Estados insulares en desarrollo y los países en desarrollo sin litoral, en consonancia con sus respectivos programas de apoyo_x000a_7.2 De aquí a 2030, aumentar considerablemente la proporción de energía renovable en el conjunto de fuentes energéticas"/>
    <m/>
    <m/>
    <x v="2"/>
    <m/>
    <m/>
    <s v="0702215"/>
    <x v="44"/>
    <s v="Proceso"/>
    <m/>
    <s v="Nacional (Sistema Interconectado Nacional)"/>
    <s v="Porcentaje"/>
    <s v="El indicador mide la relación de megavatios con energías alternativas instalados frente a los megavatios previstos al 2020, expresado en porcentaje."/>
    <s v="PPIEA=  (A/B)*100_x000a__x000a_Donde: _x000a_PPIEA = % de Potencia Instalada respecto a la meta PDES 2020 con proyectos con energías alternativas_x000a_A = Suma de la potencia instalada hasta el año de la línea base y potencia instalada adicional a través de proyectos de generación con energías alternativas._x000a_B = Potencia total instalada Meta PDES al año 2020 con energías alternativas_x000a__x000a__x000a_"/>
    <s v="Es la potencia total instalada en cada año de evaluación con energías alternativas"/>
    <s v="Empresa Nacional de Electricidad (ENDE)"/>
    <s v="Es la potencia Meta PDES con energías alternativas al año 2020."/>
    <s v="Empresa Nacional de Electricidad (ENDE)"/>
    <s v="1996 - 2017"/>
    <s v="Se detalla la diversificación de la matriz energetica._x000a_Como proxy de la potencia efectiva, se considera la potencia instalada al tratarse de proyectos que no estan en operación comercial."/>
    <n v="1"/>
    <s v="07022151"/>
    <s v="VMEEA"/>
    <s v="Viceministerio de Electricidad y Energías alternativas"/>
    <s v="Registro administrativo"/>
    <s v="Mensual"/>
    <s v="1996 - 2017"/>
    <s v="Nacional "/>
    <s v="Nacional "/>
    <s v="Potencia instalada, potencia efectiva de las plantas en operación, tecnología y caracteristicas técnicas de las plantas generadoras."/>
    <m/>
    <s v="Ministerio de Energias"/>
    <s v="Viceministerio de Electricidad y Energías Alternativas "/>
    <s v="Dirección General de Electricidad"/>
    <s v="(2) 2128494"/>
    <n v="2015"/>
    <n v="1.5488565488565489E-2"/>
    <n v="9.0364903649036488E-2"/>
    <n v="8.2111665626949465E-2"/>
    <n v="7.4876338160470998E-2"/>
    <n v="5"/>
    <n v="3.046383312065969E-2"/>
    <n v="3.2584269662921349E-2"/>
    <n v="1.7095704174355859E-2"/>
    <n v="0.2283191805896978"/>
    <n v="4.543910075275389E-2"/>
    <n v="3.0702598652550529E-2"/>
    <n v="1.5214033163985039E-2"/>
    <n v="0.20318879819388511"/>
    <n v="6.0414368384848094E-2"/>
    <n v="0.06"/>
    <n v="4.4511434511434508E-2"/>
    <n v="0.59446596354698811"/>
    <n v="7.5389636016942291E-2"/>
    <n v="7.0000000000000007E-2"/>
    <n v="5.4511434511434517E-2"/>
    <n v="0.72801950323222941"/>
    <n v="9.0364903649036488E-2"/>
    <n v="0.11"/>
    <n v="9.4511434511434511E-2"/>
    <n v="1.262233661973194"/>
    <s v="Anual"/>
    <m/>
    <m/>
    <m/>
    <m/>
  </r>
  <r>
    <x v="2"/>
    <s v="10/04/2018"/>
    <x v="2"/>
    <s v="Soberanía sobre nuestros recursos naturales "/>
    <s v="0702"/>
    <s v="Fortalecimiento de los procesos de industrialización y transformación en armonía y equilibrio con la Madre Tierra: eléctrico"/>
    <n v="21"/>
    <s v="7.2.21"/>
    <n v="216"/>
    <s v="7.2.216"/>
    <s v="0702216"/>
    <s v="Se  ha  incrementado  la  potencia  efectiva  que permite  la generación de 2.592 MW de energía eléctrica  para  la  exportación  a  países  vecinos, posicionando al país como centro energético de la región. "/>
    <s v="Recursos Naturales"/>
    <s v="Energía"/>
    <s v="Resultado"/>
    <s v="Económica"/>
    <s v="Energía"/>
    <m/>
    <m/>
    <s v="RS"/>
    <m/>
    <m/>
    <s v="MEeH"/>
    <e v="#DIV/0!"/>
    <n v="1"/>
    <n v="0"/>
    <s v="Etapa 1"/>
    <m/>
    <n v="7"/>
    <m/>
    <m/>
    <s v="Complementar el indicador para cumplir también con la meta de exportación"/>
    <x v="2"/>
    <m/>
    <n v="1"/>
    <s v="07022161"/>
    <x v="45"/>
    <s v="Proceso"/>
    <m/>
    <s v="Nacional (Sistema Interconectado Nacional)"/>
    <s v="Porcentaje"/>
    <s v="El indicador mide la relación de megavatios instalados frente a los megavatios previstos al 2020 para exportación, expresado en porcentaje."/>
    <s v="PPIE =  (A/B)*100_x000a__x000a_Donde: _x000a_PPIE = % de Potencia Instalada respecto a la meta PDES 2020 destinado a exportación_x000a_A = Suma de la potencia instalada hasta el año de la línea base y potencia instalada adicional a través de proyectos de generación destinados a exportación._x000a_B = Potencia total instalada Meta PDES año 2020 para exportación._x000a__x000a_"/>
    <s v="Es la potencia instalada en el periodo 2016 a 2017, acorde al PDES 2016-2020, destinados a la exportación"/>
    <s v="Empresa Nacional de Electricidad (ENDE)"/>
    <s v="Es la potencia Meta PDES al año 2020 destinados a la exportación"/>
    <s v="Empresa Nacional de Electricidad (ENDE)"/>
    <s v="1996 - 2017"/>
    <s v="Los proyectos de exportación estan sujetos a acuerdos bilaterales que definen las condiciones de compra y venta de electricidad"/>
    <n v="1"/>
    <s v="070221611"/>
    <s v="VMEEA"/>
    <s v="Viceministerio de Electricidad y Energías alternativas"/>
    <s v="Registro administrativo"/>
    <s v="Mensual"/>
    <s v="1996 - 2017"/>
    <s v="Nacional "/>
    <s v="Nacional "/>
    <s v="Potencia instalada, potencia efectiva de las plantas en operación, tecnología y caracteristicas técnicas de las plantas generadoras."/>
    <s v="-"/>
    <s v="Ministerio de Energias"/>
    <s v="Viceministerio de Electricidad y Energías Alternativas "/>
    <s v="Dirección General de Electricidad"/>
    <s v="(2) 2128494"/>
    <n v="2015"/>
    <n v="0"/>
    <n v="1"/>
    <n v="1"/>
    <n v="1"/>
    <n v="5"/>
    <n v="0.2"/>
    <n v="0"/>
    <n v="0"/>
    <n v="0"/>
    <n v="0.4"/>
    <n v="0"/>
    <n v="0"/>
    <n v="0"/>
    <n v="0.60000000000000009"/>
    <n v="0"/>
    <n v="0"/>
    <n v="0"/>
    <n v="0.8"/>
    <n v="0.42"/>
    <n v="0.42"/>
    <n v="0.42"/>
    <n v="1"/>
    <n v="0.42"/>
    <n v="0.42"/>
    <n v="0.42"/>
    <s v="Anual"/>
    <m/>
    <m/>
    <m/>
    <m/>
  </r>
  <r>
    <x v="2"/>
    <s v="10/04/2018"/>
    <x v="2"/>
    <s v="Soberanía sobre nuestros recursos naturales "/>
    <s v="0702"/>
    <s v="Fortalecimiento de los procesos de industrialización y transformación en armonía y equilibrio con la Madre Tierra: eléctrico"/>
    <n v="22"/>
    <s v="7.2.22"/>
    <n v="217"/>
    <s v="7.2.217"/>
    <s v="0702217"/>
    <s v="Se  ha  extendido  las  líneas  de  transmisión  adicionales  de  4.043km  (2.822km  Nacional  y 1.221km de Exportación),  totalizando 7.483km. Ampliando  el  sistema  de  transmisión  y mejorando  la  confiabilidad  en  el  suministro  de energía en nuestro país. "/>
    <s v="Recursos Naturales"/>
    <s v="Energía"/>
    <s v="Resultado"/>
    <s v="Económica"/>
    <s v="Energía"/>
    <m/>
    <m/>
    <s v="RS"/>
    <m/>
    <m/>
    <s v="MEeH"/>
    <e v="#DIV/0!"/>
    <n v="1"/>
    <n v="0"/>
    <s v="Etapa 1"/>
    <m/>
    <n v="7"/>
    <s v="7.b De aquí a 2030, ampliar la infraestructura y mejorar la tecnología para prestar servicios energéticos modernos y sostenibles para todos en los países en desarrollo, en particular los países menos adelantados, los pequeños Estados insulares en desarrollo y los países en desarrollo sin litoral, en consonancia con sus respectivos programas de apoyo"/>
    <m/>
    <m/>
    <x v="2"/>
    <m/>
    <n v="1"/>
    <s v="07022171"/>
    <x v="46"/>
    <s v="Proceso"/>
    <m/>
    <s v="Nacional (Sistema Interconectado Nacional)"/>
    <s v="Porcentaje"/>
    <s v="El indicador mide la relación de líneas de transmisión extendidas frente a las líneas de transmisión previstas al 2020, expresado en porcentaje"/>
    <s v="PLT =  (A/B)*100_x000a__x000a_Donde: _x000a_PLT= % de líneas de transmisión extendidas_x000a_A = Líneas de transmisión extendidas_x000a_B = Líneas de transmisión extendidas Meta PDES año 2020_x000a__x000a_"/>
    <s v="Son las líneas de transmisión extendidas en cada año de evaluación"/>
    <s v="Empresa Nacional de Electricidad (ENDE)"/>
    <s v="Son las líneas de transmisión a ser extendidas en el marco de la Meta PDES al año 2020."/>
    <s v="Empresa Nacional de Electricidad (ENDE)"/>
    <s v="1996- 2017"/>
    <s v="De acuerdo a nueva programación a 2020 serán instaladas 2882km de líneas de transmisión, de las cuales 2055km son nuevas incorporaciones en infraestructura de transmisión, asimismo, 514km corresponden a corredores de exportación"/>
    <n v="1"/>
    <s v="070221711"/>
    <s v="VMEEA"/>
    <s v="Viceministerio de Electricidad y Energías alternativas"/>
    <s v="Registro administrativo"/>
    <s v="Mensual"/>
    <s v="1996 - 2017"/>
    <s v="Nacional "/>
    <s v="Nacional "/>
    <s v="Longitud de línea, nivel de tensión, otras caracteristicas técnicas"/>
    <s v="-"/>
    <s v="Ministerio de Energias"/>
    <s v="Viceministerio de Electricidad y Energías Alternativas "/>
    <s v="Dirección General de Electricidad"/>
    <s v="(2) 2128494"/>
    <n v="2014"/>
    <n v="0.45970867299211549"/>
    <n v="1"/>
    <n v="1"/>
    <n v="0.54029132700788451"/>
    <n v="5"/>
    <n v="0.56776693839369241"/>
    <n v="0.49035814512895898"/>
    <n v="3.0649472136843492E-2"/>
    <n v="5.6727677467227275E-2"/>
    <n v="0.67582520379526922"/>
    <n v="0.52682613924896426"/>
    <n v="6.7117466256848779E-2"/>
    <n v="0.12422458570368525"/>
    <n v="0.78388346919684615"/>
    <n v="0.62"/>
    <n v="0.16029132700788451"/>
    <n v="0.29667573583972295"/>
    <n v="0.89194173459842307"/>
    <n v="0.68"/>
    <n v="0.22029132700788456"/>
    <n v="0.40772693544397731"/>
    <n v="1"/>
    <n v="0.84"/>
    <n v="0.38029132700788448"/>
    <n v="0.7038634677219886"/>
    <s v="Anual"/>
    <m/>
    <m/>
    <m/>
    <m/>
  </r>
  <r>
    <x v="3"/>
    <m/>
    <x v="2"/>
    <s v="Soberanía sobre nuestros recursos naturales "/>
    <s v="0702"/>
    <s v="Fortalecimiento de los procesos de industrialización y transformación en armonía y equilibrio con la Madre Tierra: eléctrico"/>
    <n v="17"/>
    <s v="7.2.17"/>
    <n v="212"/>
    <s v="7.2.212"/>
    <s v="0702212"/>
    <s v="Se  ha  desarrollado  la  industrialización  y  transformación lográndose que al menos el 80% de los minerales  sean  exportados  con  un  proceso  de agregación de valor. "/>
    <s v="Recursos Naturales"/>
    <s v="Minería y Metalurgia"/>
    <s v="Resultado"/>
    <s v="Económica"/>
    <s v="Minería y Metalurgia"/>
    <n v="1"/>
    <m/>
    <s v="RS"/>
    <m/>
    <m/>
    <s v="MMyM"/>
    <e v="#DIV/0!"/>
    <n v="1"/>
    <n v="0"/>
    <s v="Etapa 1"/>
    <m/>
    <m/>
    <m/>
    <m/>
    <m/>
    <x v="1"/>
    <m/>
    <n v="1"/>
    <s v="07022121"/>
    <x v="47"/>
    <s v="Producto"/>
    <m/>
    <s v="Departamental y por mineral"/>
    <s v="Porcentaje"/>
    <s v="Grado o nivel de transformación de la producción nacional de concentrados a productos con mayor valor agregado"/>
    <s v="donde:_x000a_PDIMM    =  Porcentaje de Desarrollo de la Industria Minero Metalúrgica _x000a_VTEVA    =  Volumen Total de Exportación con Valor Agregado _x000a_VTME = Volumen Total de Minerales y Metálicos exportados"/>
    <s v="Volumen Total de Exportación con Valor Agregado (en TM)"/>
    <s v="SENARECOM y ADUANA"/>
    <s v="Volumen Total de Minerales y Metálicos exportados"/>
    <s v="SENARECOM y ADUANA"/>
    <s v="2000-2017"/>
    <s v="Dato preliminar de la gestión 2017"/>
    <n v="1"/>
    <s v="070221211"/>
    <s v="DEX"/>
    <s v="Declaración del Exportador"/>
    <s v="Registro administrativo"/>
    <s v="Trimestral, Anual"/>
    <s v="2000-2017"/>
    <s v="Nacional, Departamental"/>
    <s v="Nacional, Departamental"/>
    <s v="Volumen, valor y mineral de las exportaciones"/>
    <s v="Serie disponible con el factor actualizado sólo desde 2000"/>
    <s v="Ministerio de Minería y Metalurgia (MMM)"/>
    <s v="Viceministerio de Política Minera Regulación y Fiscalización (VPMRF)"/>
    <s v="Unidad de Análisis de Política Minera (UAPM)"/>
    <s v="Lic. Lorgio Justiniano_x000a_2900060"/>
    <d v="2015-12-01T00:00:00"/>
    <n v="0.22770000000000001"/>
    <n v="0.8"/>
    <m/>
    <n v="0.57230000000000003"/>
    <n v="5"/>
    <n v="0.34216000000000002"/>
    <n v="0.24399999999999999"/>
    <n v="1.6299999999999981E-2"/>
    <n v="2.8481565612440994E-2"/>
    <n v="0.45662000000000003"/>
    <n v="0.23400000000000001"/>
    <n v="6.3E-3"/>
    <n v="1.1008212475974138E-2"/>
    <n v="0.57108000000000003"/>
    <m/>
    <n v="-0.22770000000000001"/>
    <n v="-0.39786825091735106"/>
    <n v="0.68554000000000004"/>
    <m/>
    <n v="-0.22770000000000001"/>
    <n v="-0.39786825091735106"/>
    <n v="0.8"/>
    <n v="0.25"/>
    <n v="2.2299999999999986E-2"/>
    <n v="3.8965577494321134E-2"/>
    <m/>
    <m/>
    <m/>
    <m/>
    <m/>
  </r>
  <r>
    <x v="3"/>
    <m/>
    <x v="2"/>
    <s v="Soberanía sobre nuestros recursos naturales "/>
    <s v="0702"/>
    <s v="Fortalecimiento de los procesos de industrialización y transformación en armonía y equilibrio con la Madre Tierra: eléctrico"/>
    <n v="19"/>
    <s v="7.2.19"/>
    <n v="214"/>
    <s v="7.2.214"/>
    <s v="0702214"/>
    <s v="Se ha incrementado la capacidad de transformación (Vinto,  Karachipampa)  y  producción  (Colquiri, Huanuni  y  Coro  Coro)  de  las  empresas mineras estatales, privadas y cooperativas mineras."/>
    <s v="Recursos Naturales"/>
    <s v="Minería y Metalurgia"/>
    <s v="Resultado"/>
    <s v="Económica"/>
    <s v="Minería y Metalurgia"/>
    <m/>
    <m/>
    <s v="RS"/>
    <m/>
    <m/>
    <s v="MMyM"/>
    <e v="#DIV/0!"/>
    <n v="1"/>
    <n v="0"/>
    <s v="Etapa 1"/>
    <m/>
    <m/>
    <m/>
    <m/>
    <m/>
    <x v="1"/>
    <m/>
    <n v="1"/>
    <s v="07022141"/>
    <x v="48"/>
    <s v="Producto"/>
    <m/>
    <s v="Mineral (Estaño)"/>
    <s v="Porcentaje"/>
    <s v="Relación porcentual de variación de la producción anual registrada por la Empresa Minera Huanuni respecto a la producción proyectada al 2020 por la Empresa Minera Huanuni. "/>
    <s v="_x000a__x000a__x000a__x000a_donde:_x000a_PCPMEMH    = Porcentaje de Cumplimiento de la Producción Minera _x000a_PAn              =  Producción acumulada al año n (Periodo 2015-2020)_x000a_PP2020         =  Producción total acumulada y proyectada al 2020._x000a_"/>
    <s v="Producción acumulada Año n (Periodo 2015-2020)"/>
    <s v="Informes Tecnicos de la EMH"/>
    <s v="Proyeccion Total acumulada de la produccion al año 2020 "/>
    <s v="Informes Tecnicos de la EMH  "/>
    <s v="2015-2017"/>
    <s v="Dato preliminar de la gestión 2017._x000a_La proyeccion de produccion al 2020 es elaborada por la EMH"/>
    <n v="1"/>
    <s v="070221411"/>
    <s v="RP"/>
    <s v="Reporte de Producción"/>
    <s v="Registro administrativo"/>
    <s v="Anual y trimestral"/>
    <s v="2015-2017"/>
    <s v="Empresa Minera Huanuni-EMH"/>
    <s v="Empresa Minera Huanuni-EMH"/>
    <s v="Volumen y valor de la produccion de EMH"/>
    <m/>
    <s v="Ministerio de Minería y Metalurgia (MMM)"/>
    <m/>
    <s v="Direccion general de planificacion (DGP)"/>
    <n v="2312784"/>
    <d v="2015-12-01T00:00:00"/>
    <n v="0.14000000000000001"/>
    <n v="1"/>
    <m/>
    <n v="0.86"/>
    <n v="5"/>
    <n v="0.312"/>
    <n v="0.25879999999999997"/>
    <n v="0.11879999999999996"/>
    <n v="0.13813953488372088"/>
    <n v="0.48399999999999999"/>
    <n v="0.40260000000000001"/>
    <n v="0.2626"/>
    <n v="0.30534883720930234"/>
    <n v="0.65600000000000003"/>
    <n v="0.59309999999999996"/>
    <n v="0.45309999999999995"/>
    <n v="0.52686046511627904"/>
    <n v="0.82799999999999996"/>
    <n v="0.78359999999999996"/>
    <n v="0.64359999999999995"/>
    <n v="0.7483720930232558"/>
    <n v="0.99999999999999989"/>
    <n v="0.97399999999999998"/>
    <n v="0.83399999999999996"/>
    <n v="0.96976744186046504"/>
    <m/>
    <m/>
    <m/>
    <m/>
    <m/>
  </r>
  <r>
    <x v="3"/>
    <m/>
    <x v="2"/>
    <s v="Soberanía sobre nuestros recursos naturales "/>
    <s v="0702"/>
    <s v="Fortalecimiento de los procesos de industrialización y transformación en armonía y equilibrio con la Madre Tierra: eléctrico"/>
    <n v="19"/>
    <s v="7.2.19"/>
    <n v="214"/>
    <s v="7.2.214"/>
    <s v="0702214"/>
    <s v="Se ha incrementado la capacidad de transformación (Vinto,  Karachipampa)  y  producción  (Colquiri, Huanuni  y  Coro  Coro)  de  las  empresas mineras estatales, privadas y cooperativas mineras."/>
    <s v="Recursos Naturales"/>
    <s v="Minería y Metalurgia"/>
    <s v="Resultado"/>
    <s v="Económica"/>
    <s v="Minería y Metalurgia"/>
    <m/>
    <m/>
    <s v="RS"/>
    <m/>
    <m/>
    <s v="MMyM"/>
    <e v="#DIV/0!"/>
    <n v="1"/>
    <n v="0"/>
    <s v="Etapa 1"/>
    <m/>
    <m/>
    <m/>
    <m/>
    <m/>
    <x v="1"/>
    <m/>
    <n v="1"/>
    <s v="07022141"/>
    <x v="49"/>
    <s v="Producto"/>
    <m/>
    <s v="Mineral (Zinc)"/>
    <s v="Porcentaje"/>
    <s v="Relación porcentual de variación de la producción anual registrada por la Empresa Minera Colquiri respecto a la producción proyectada al 2020 por la Empresa Minera Colquiri. "/>
    <s v="_x000a__x000a__x000a__x000a_donde:_x000a_PCPMEMC    = Porcentaje de Cumplimiento de la Producción Minera _x000a_PAn              =  Producción acumulada al año n (Periodo 2015-2020)_x000a_PP2020         =  Producción total acumulada y proyectada al 2020._x000a_"/>
    <s v="Producción acumulada Año n (Periodo 2015-2020)"/>
    <s v="Informes Tecnicos de la EMC"/>
    <s v="Proyeccion Total acumulada de la produccion al año 2020 "/>
    <s v="Informes Tecnicos de la EMC"/>
    <s v="2015-2017"/>
    <s v="Dato preliminar de la gestión 2017._x000a_La proyeccion de produccion al 2020 es elaborada por la EMC"/>
    <n v="1"/>
    <s v="070221411"/>
    <s v="RP"/>
    <s v="Reporte de Producción"/>
    <s v="Registro administrativo"/>
    <s v="Anual y trimestral"/>
    <s v="2015-2017"/>
    <s v="Empresa Minera Colquiri- EMC"/>
    <s v="Empresa Minera Colquiri - EMC"/>
    <s v="Volumen y valor de la produccion de EMC"/>
    <m/>
    <s v="Ministerio de Minería y Metalurgia (MMM)"/>
    <m/>
    <s v="Direccion general de planificacion (DGP)"/>
    <n v="2312784"/>
    <d v="2015-12-01T00:00:00"/>
    <n v="0.12"/>
    <n v="1"/>
    <m/>
    <n v="0.88"/>
    <n v="5"/>
    <n v="0.29599999999999999"/>
    <n v="0.24660000000000001"/>
    <n v="0.12660000000000002"/>
    <n v="0.14386363636363639"/>
    <n v="0.47199999999999998"/>
    <n v="0.36570000000000003"/>
    <n v="0.24570000000000003"/>
    <n v="0.27920454545454548"/>
    <n v="0.64800000000000002"/>
    <n v="0.5"/>
    <n v="0.38"/>
    <n v="0.43181818181818182"/>
    <n v="0.82399999999999995"/>
    <n v="0.70069999999999999"/>
    <n v="0.58069999999999999"/>
    <n v="0.65988636363636366"/>
    <n v="0.99999999999999989"/>
    <n v="0.98380000000000001"/>
    <n v="0.86380000000000001"/>
    <n v="0.98159090909090907"/>
    <m/>
    <m/>
    <m/>
    <m/>
    <m/>
  </r>
  <r>
    <x v="3"/>
    <m/>
    <x v="2"/>
    <s v="Soberanía sobre nuestros recursos naturales "/>
    <s v="0702"/>
    <s v="Fortalecimiento de los procesos de industrialización y transformación en armonía y equilibrio con la Madre Tierra: eléctrico"/>
    <n v="19"/>
    <s v="7.2.19"/>
    <n v="214"/>
    <s v="7.2.214"/>
    <s v="0702214"/>
    <s v="Se ha incrementado la capacidad de transformación (Vinto,  Karachipampa)  y  producción  (Colquiri, Huanuni  y  Coro  Coro)  de  las  empresas mineras estatales, privadas y cooperativas mineras."/>
    <s v="Recursos Naturales"/>
    <s v="Minería y Metalurgia"/>
    <s v="Resultado"/>
    <s v="Económica"/>
    <s v="Minería y Metalurgia"/>
    <m/>
    <m/>
    <s v="RS"/>
    <m/>
    <m/>
    <s v="MMyM"/>
    <e v="#DIV/0!"/>
    <n v="1"/>
    <n v="0"/>
    <s v="Etapa 1"/>
    <m/>
    <m/>
    <m/>
    <m/>
    <m/>
    <x v="1"/>
    <m/>
    <n v="1"/>
    <s v="07022141"/>
    <x v="49"/>
    <s v="Producto"/>
    <m/>
    <s v="Mineral (Estaño)"/>
    <s v="Porcentaje"/>
    <s v="Relación porcentual de variación de la producción anual registrada por la Empresa Minera Colquiri respecto a la producción proyectada al 2020 por la Empresa Minera Colquiri. "/>
    <s v="_x000a__x000a__x000a__x000a_donde:_x000a_PCPMEMC    = Porcentaje de Cumplimiento de la Producción Minera _x000a_PAn              =  Producción acumulada al año n (Periodo 2015-2020)_x000a_PP2020         =  Producción total acumulada y proyectada al 2020._x000a_"/>
    <s v="Producción acumulada Año n (Periodo 2015-2020)"/>
    <s v="Informes Tecnicos de la EMC"/>
    <s v="Proyeccion Total acumulada de la produccion al año 2020 "/>
    <s v="Informes Tecnicos de la EMC"/>
    <s v="2015-2017"/>
    <s v="Dato preliminar de la gestión 2017._x000a_La proyeccion de produccion al 2020 es elaborada por la EMC"/>
    <n v="1"/>
    <s v="070221411"/>
    <s v="RP"/>
    <s v="Reporte de Producción"/>
    <s v="Registro administrativo"/>
    <s v="Anual y trimestral"/>
    <s v="2015-2017"/>
    <s v="Empresa Minera Colquiri- EMC"/>
    <s v="Empresa Minera Colquiri - EMC"/>
    <s v="Volumen y valor de la produccion de EMC"/>
    <m/>
    <s v="Ministerio de Minería y Metalurgia (MMM)"/>
    <m/>
    <s v="Direccion general de planificacion (DGP)"/>
    <n v="2312784"/>
    <d v="2015-12-01T00:00:00"/>
    <n v="0.14000000000000001"/>
    <n v="1"/>
    <m/>
    <n v="0.86"/>
    <n v="5"/>
    <n v="0.312"/>
    <n v="0.28749999999999998"/>
    <n v="0.14749999999999996"/>
    <n v="0.17151162790697672"/>
    <n v="0.48399999999999999"/>
    <n v="0.41499999999999998"/>
    <n v="0.27499999999999997"/>
    <n v="0.31976744186046507"/>
    <n v="0.65600000000000003"/>
    <n v="0.56579999999999997"/>
    <n v="0.42579999999999996"/>
    <n v="0.49511627906976741"/>
    <n v="0.82799999999999996"/>
    <n v="0.73329999999999995"/>
    <n v="0.59329999999999994"/>
    <n v="0.68988372093023254"/>
    <n v="0.99999999999999989"/>
    <n v="0.96960000000000002"/>
    <n v="0.8296"/>
    <n v="0.96465116279069774"/>
    <m/>
    <m/>
    <m/>
    <m/>
    <m/>
  </r>
  <r>
    <x v="3"/>
    <m/>
    <x v="2"/>
    <s v="Soberanía sobre nuestros recursos naturales "/>
    <s v="0702"/>
    <s v="Fortalecimiento de los procesos de industrialización y transformación en armonía y equilibrio con la Madre Tierra: eléctrico"/>
    <n v="19"/>
    <s v="7.2.19"/>
    <n v="214"/>
    <s v="7.2.214"/>
    <s v="0702214"/>
    <s v="Se ha incrementado la capacidad de transformación (Vinto,  Karachipampa)  y  producción  (Colquiri, Huanuni  y  Coro  Coro)  de  las  empresas mineras estatales, privadas y cooperativas mineras."/>
    <s v="Recursos Naturales"/>
    <s v="Minería y Metalurgia"/>
    <s v="Resultado"/>
    <s v="Económica"/>
    <s v="Minería y Metalurgia"/>
    <m/>
    <m/>
    <s v="RS"/>
    <m/>
    <m/>
    <s v="MMyM"/>
    <e v="#DIV/0!"/>
    <n v="1"/>
    <n v="0"/>
    <s v="Etapa 1"/>
    <m/>
    <m/>
    <m/>
    <m/>
    <m/>
    <x v="1"/>
    <m/>
    <n v="1"/>
    <s v="07022141"/>
    <x v="50"/>
    <s v="Producto"/>
    <m/>
    <s v="Cátodos de Cobre"/>
    <s v="Porcentaje"/>
    <s v="Relación porcentual de variación de la producción anual registrada por la Empresa Minera Corocoro respecto a la producción proyectada al 2020 por la Empresa Minera Corocoro. "/>
    <s v="_x000a__x000a__x000a__x000a_donde:_x000a_PCPMEMCC    = Porcentaje de Cumplimiento de la Producción Minera _x000a_PAn              =  Producción acumulada al año n (Periodo 2015-2020)_x000a_PP2020         =  Producción total acumulada y proyectada al 2020._x000a_"/>
    <s v="Producción Año n (Periodo 2016-2020)"/>
    <s v="Informes Tecnicos de la EMCC"/>
    <s v="Proyeccion Total acumulada de la produccion al año 2020 "/>
    <s v="Informes Tecnicos de la EMCC"/>
    <s v="2015-2017"/>
    <s v="Dato preliminar de la gestión 2017._x000a_La proyeccion de produccion al 2020 es elaborada por la EMCC"/>
    <n v="1"/>
    <s v="070221411"/>
    <s v="RP"/>
    <s v="Reporte de Producción"/>
    <s v="Registro administrativo"/>
    <s v="Anual y trimestral"/>
    <s v="2015-2017"/>
    <s v="Empresa Minera Corocoro- EMCC"/>
    <s v="Empresa Minera Corocoro- EMCC"/>
    <s v="Volumen y valor de la produccion de EMCC"/>
    <m/>
    <s v="Ministerio de Minería y Metalurgia (MMM)"/>
    <m/>
    <s v="Direccion general de planificacion (DGP)"/>
    <n v="2312784"/>
    <d v="2015-12-01T00:00:00"/>
    <n v="0.17"/>
    <n v="1"/>
    <m/>
    <n v="0.83"/>
    <n v="5"/>
    <n v="0.33599999999999997"/>
    <n v="0.36020000000000002"/>
    <n v="0.19020000000000001"/>
    <n v="0.22915662650602411"/>
    <n v="0.502"/>
    <n v="0.53120000000000001"/>
    <n v="0.36119999999999997"/>
    <n v="0.43518072289156623"/>
    <n v="0.66799999999999993"/>
    <n v="0.70279999999999998"/>
    <n v="0.53279999999999994"/>
    <n v="0.64192771084337341"/>
    <n v="0.83399999999999996"/>
    <n v="0.85909999999999997"/>
    <n v="0.68909999999999993"/>
    <n v="0.83024096385542168"/>
    <n v="0.99999999999999989"/>
    <n v="1.0155000000000001"/>
    <n v="0.84550000000000003"/>
    <n v="1.0186746987951809"/>
    <m/>
    <m/>
    <m/>
    <m/>
    <m/>
  </r>
  <r>
    <x v="3"/>
    <m/>
    <x v="2"/>
    <s v="Soberanía sobre nuestros recursos naturales "/>
    <s v="0702"/>
    <s v="Fortalecimiento de los procesos de industrialización y transformación en armonía y equilibrio con la Madre Tierra: eléctrico"/>
    <n v="19"/>
    <m/>
    <m/>
    <m/>
    <s v="0702214"/>
    <s v="Se ha incrementado la capacidad de transformación (Vinto,  Karachipampa)  y  producción  (Colquiri, Huanuni  y  Coro  Coro)  de  las  empresas mineras estatales, privadas y cooperativas mineras."/>
    <m/>
    <m/>
    <s v="Resultado"/>
    <m/>
    <m/>
    <m/>
    <m/>
    <m/>
    <m/>
    <m/>
    <m/>
    <m/>
    <n v="1"/>
    <n v="0"/>
    <s v="Etapa 1"/>
    <m/>
    <m/>
    <m/>
    <m/>
    <m/>
    <x v="1"/>
    <m/>
    <n v="1"/>
    <s v="07022141"/>
    <x v="51"/>
    <s v="Producto"/>
    <m/>
    <s v="Plomo Metálico"/>
    <s v="Porcentaje"/>
    <s v="Relación porcentual de variación de la transformación minera anual registrada por la Empresa Metalurgica Karachipampa respecto a la meta proyectada al 2020 por la Empresa Metalurgica Karachipampa. "/>
    <s v="_x000a__x000a__x000a__x000a_donde:_x000a_PCPMEMCC    = Porcentaje de Cumplimiento de la Transformación Minera _x000a_PAn              =  Producción acumulada al año n (Periodo 2015-2020)_x000a_PP2020         =  Producción total acumulada y proyectada al 2020._x000a_"/>
    <s v="Producción Año n (Periodo 2016-2020)"/>
    <s v="Informes Tecnicos de la EMK"/>
    <s v="Proyeccion Total acumulada de la produccion al año 2020 "/>
    <s v="Informes Tecnicos de la EMK"/>
    <s v="2015-2017"/>
    <s v="Dato preliminar de la gestión 2017._x000a_La proyeccion de transformación minera al 2020 es elaborada por la EMV"/>
    <n v="1"/>
    <s v="070221411"/>
    <s v="RP"/>
    <s v="Reporte de Producción"/>
    <s v="Registro administrativo"/>
    <s v="Anual y trimestral"/>
    <s v="2015-2017"/>
    <s v="Empresa Metalurgica Karachipampa- EMK"/>
    <s v="Empresa Metalurgica Karachipampa- EMK"/>
    <s v="Volumen y valor de la transformación minera de EMK"/>
    <m/>
    <s v="Ministerio de Minería y Metalurgia (MMM)"/>
    <m/>
    <s v="Direccion general de planificacion (DGP)"/>
    <n v="2312784"/>
    <d v="2015-12-01T00:00:00"/>
    <n v="0"/>
    <n v="1"/>
    <m/>
    <n v="1"/>
    <n v="5"/>
    <n v="0.2"/>
    <n v="1.5599999999999999E-2"/>
    <n v="1.5599999999999999E-2"/>
    <n v="1.5599999999999999E-2"/>
    <n v="0.4"/>
    <n v="1.7299999999999999E-2"/>
    <n v="1.7299999999999999E-2"/>
    <n v="1.7299999999999999E-2"/>
    <n v="0.60000000000000009"/>
    <m/>
    <n v="0"/>
    <n v="0"/>
    <n v="0.8"/>
    <m/>
    <n v="0"/>
    <n v="0"/>
    <n v="1"/>
    <m/>
    <n v="0"/>
    <n v="0"/>
    <m/>
    <m/>
    <m/>
    <m/>
    <m/>
  </r>
  <r>
    <x v="3"/>
    <m/>
    <x v="2"/>
    <s v="Soberanía sobre nuestros recursos naturales "/>
    <s v="0702"/>
    <s v="Fortalecimiento de los procesos de industrialización y transformación en armonía y equilibrio con la Madre Tierra: eléctrico"/>
    <n v="19"/>
    <m/>
    <m/>
    <m/>
    <s v="0702214"/>
    <s v="Se ha incrementado la capacidad de transformación (Vinto,  Karachipampa)  y  producción  (Colquiri, Huanuni  y  Coro  Coro)  de  las  empresas mineras estatales, privadas y cooperativas mineras."/>
    <m/>
    <m/>
    <s v="Resultado"/>
    <m/>
    <m/>
    <m/>
    <m/>
    <m/>
    <m/>
    <m/>
    <m/>
    <m/>
    <n v="1"/>
    <n v="0"/>
    <s v="Etapa 1"/>
    <m/>
    <m/>
    <m/>
    <m/>
    <m/>
    <x v="1"/>
    <m/>
    <n v="1"/>
    <s v="07022141"/>
    <x v="51"/>
    <s v="Producto"/>
    <m/>
    <s v="Plata Metálica"/>
    <s v="Porcentaje"/>
    <s v="Relación porcentual de variación de la transformación minera anual registrada por la Empresa Metalurgica Karachipampa respecto a la meta proyectada al 2020 por la Empresa Metalurgica Karachipampa. "/>
    <s v="_x000a__x000a__x000a__x000a_donde:_x000a_PCPMEMCC    = Porcentaje de Cumplimiento de la Transformación Minera _x000a_PAn              =  Producción acumulada al año n (Periodo 2015-2020)_x000a_PP2020         =  Producción total acumulada y proyectada al 2020._x000a_"/>
    <s v="Producción Año n (Periodo 2016-2020)"/>
    <s v="Informes Tecnicos de la EMK"/>
    <s v="Proyeccion Total acumulada de la produccion al año 2020 "/>
    <s v="Informes Tecnicos de la EMK"/>
    <s v="2015-2017"/>
    <s v="Dato preliminar de la gestión 2017._x000a_La proyeccion de transformación minera al 2020 es elaborada por la EMV"/>
    <n v="1"/>
    <s v="070221411"/>
    <s v="RP"/>
    <s v="Reporte de Producción"/>
    <s v="Registro administrativo"/>
    <s v="Anual y trimestral"/>
    <s v="2015-2017"/>
    <s v="Empresa Metalurgica Karachipampa- EMK"/>
    <s v="Empresa Metalurgica Karachipampa- EMK"/>
    <s v="Volumen y valor de la transformación minera de EMK"/>
    <m/>
    <s v="Ministerio de Minería y Metalurgia (MMM)"/>
    <m/>
    <s v="Direccion general de planificacion (DGP)"/>
    <n v="2312784"/>
    <d v="2015-12-01T00:00:00"/>
    <n v="0"/>
    <n v="1"/>
    <m/>
    <n v="1"/>
    <n v="5"/>
    <n v="0.2"/>
    <n v="1.78E-2"/>
    <n v="1.78E-2"/>
    <n v="1.78E-2"/>
    <n v="0.4"/>
    <n v="4.07E-2"/>
    <n v="4.07E-2"/>
    <n v="4.07E-2"/>
    <n v="0.60000000000000009"/>
    <m/>
    <n v="0"/>
    <n v="0"/>
    <n v="0.8"/>
    <m/>
    <n v="0"/>
    <n v="0"/>
    <n v="1"/>
    <m/>
    <n v="0"/>
    <n v="0"/>
    <m/>
    <m/>
    <m/>
    <m/>
    <m/>
  </r>
  <r>
    <x v="3"/>
    <m/>
    <x v="2"/>
    <s v="Soberanía sobre nuestros recursos naturales "/>
    <s v="0702"/>
    <s v="Fortalecimiento de los procesos de industrialización y transformación en armonía y equilibrio con la Madre Tierra: eléctrico"/>
    <n v="19"/>
    <s v="7.2.19"/>
    <n v="214"/>
    <s v="7.2.214"/>
    <s v="0702214"/>
    <s v="Se ha incrementado la capacidad de transformación (Vinto,  Karachipampa)  y  producción  (Colquiri, Huanuni  y  Coro  Coro)  de  las  empresas mineras estatales, privadas y cooperativas mineras."/>
    <s v="Recursos Naturales"/>
    <s v="Minería y Metalurgia"/>
    <s v="Resultado"/>
    <s v="Económica"/>
    <s v="Minería y Metalurgia"/>
    <m/>
    <m/>
    <s v="RS"/>
    <m/>
    <m/>
    <s v="MMyM"/>
    <e v="#DIV/0!"/>
    <n v="1"/>
    <n v="0"/>
    <s v="Etapa 1"/>
    <m/>
    <m/>
    <m/>
    <m/>
    <m/>
    <x v="1"/>
    <m/>
    <n v="1"/>
    <s v="07022141"/>
    <x v="52"/>
    <s v="Producto"/>
    <m/>
    <s v="Estaño metálico"/>
    <s v="Porcentaje"/>
    <s v="Relación porcentual de variación de la transformación minera anual registrada por la Empresa Metalurgica Vinto respecto a la meta proyectada al 2020 por la Empresa Metalurgica Vinto. "/>
    <s v="_x000a__x000a__x000a__x000a_donde:_x000a_PCPMEMCC    = Porcentaje de Cumplimiento de la Transformación Minera _x000a_PAn              =  Producción acumulada al año n (Periodo 2015-2020)_x000a_PP2020         =  Producción total acumulada y proyectada al 2020._x000a_"/>
    <s v="Producción Año n (Periodo 2016-2020)"/>
    <s v="Informes Tecnicos de la EMV"/>
    <s v="Proyeccion Total acumulada de la produccion al año 2020 "/>
    <s v="Informes Tecnicos de la EMV"/>
    <s v="2015-2017"/>
    <s v="Dato preliminar de la gestión 2017._x000a_La proyeccion de transformación minera al 2020 es elaborada por la EMV"/>
    <n v="1"/>
    <s v="070221411"/>
    <s v="RP"/>
    <s v="Reporte de Producción"/>
    <s v="Registro administrativo"/>
    <s v="Anual y trimestral"/>
    <s v="2015-2017"/>
    <s v="Empresa Metalurgica Vinto- EMV"/>
    <s v="Empresa Metalurgica Vinto- EMV"/>
    <s v="Volumen y valor de la transformación minera de EMV"/>
    <m/>
    <s v="Ministerio de Minería y Metalurgia (MMM)"/>
    <m/>
    <s v="Direccion general de planificacion (DGP)"/>
    <n v="2312784"/>
    <d v="2015-12-01T00:00:00"/>
    <n v="0.15429999999999999"/>
    <n v="1"/>
    <m/>
    <n v="0.84570000000000001"/>
    <n v="5"/>
    <n v="0.32344000000000001"/>
    <n v="0.3216"/>
    <n v="0.1673"/>
    <n v="0.19782428757242521"/>
    <n v="0.49258000000000002"/>
    <n v="0.48370000000000002"/>
    <n v="0.32940000000000003"/>
    <n v="0.38949982263213906"/>
    <n v="0.66171999999999997"/>
    <n v="0.65300000000000002"/>
    <n v="0.49870000000000003"/>
    <n v="0.58968901501714555"/>
    <n v="0.83086000000000004"/>
    <n v="0.8236"/>
    <n v="0.66930000000000001"/>
    <n v="0.79141539553032991"/>
    <n v="1"/>
    <n v="1"/>
    <n v="0.84570000000000001"/>
    <n v="1"/>
    <m/>
    <m/>
    <m/>
    <m/>
    <m/>
  </r>
  <r>
    <x v="4"/>
    <m/>
    <x v="0"/>
    <s v="Universalización de los servicios básicos"/>
    <s v="0206"/>
    <s v="Las bolivianas y bolivianos cuentan con servicio de gas domiciliario"/>
    <n v="1"/>
    <s v="2.6.1"/>
    <n v="73"/>
    <s v="2.6.73"/>
    <s v="0206073"/>
    <s v="La cobertura de gas domiciliario llega al menos al 50% de los hogares."/>
    <s v="Servicios Básicos"/>
    <s v="Gas domiciliario"/>
    <s v="Resultado"/>
    <s v="Social"/>
    <s v="Servicios Básicos"/>
    <n v="1"/>
    <m/>
    <s v="RS"/>
    <m/>
    <m/>
    <s v="MOPSV"/>
    <e v="#DIV/0!"/>
    <n v="1"/>
    <n v="0"/>
    <s v="Etapa 1"/>
    <m/>
    <n v="1"/>
    <s v="1.4 De aquí a 2030, garantizar que todos los hombres y mujeres, en particular los pobres y los vulnerables, tengan los mismos derechos a los recursos económicos y acceso a los servicios básicos, la propiedad y el control de la tierra y otros bienes, la herencia, los recursos naturales, las nuevas tecnologías apropiadas y los servicios financieros, incluida la microfinanciación_x000a_7.1 De aqui a 2030, aumentar el acceso universal a servicios energeticos asequibles, fiables y modernos"/>
    <s v="1.4.1* Proporción de la población que vive en hogares con acceso a servicios básicos_x000a_7.1.2 Proporcion de la poblacion cuya fuente primaria de energia son los combustibles y tecnologías limpias"/>
    <s v="Indicador referido al servicio de gas domiciliario"/>
    <x v="0"/>
    <m/>
    <n v="1"/>
    <s v="02060731"/>
    <x v="53"/>
    <s v="Impacto"/>
    <m/>
    <s v="Nacional, departamental"/>
    <s v="Porcentaje"/>
    <s v="La sumatoria de las instalaciones del sistema convencional y el sistema virtual entre el total de instalaciones adicionales a partir de la linea base establecidas en el PDES "/>
    <s v="TC= ((Instalaciones convencionales + instalaciones virtuales)/Cantidad de instalaciones establecidos en el PDES)*100"/>
    <s v="Sumatoria de las instalaciones del sistema convencional y el sistema virtual a nivel nacional y departamental"/>
    <s v="Yacimientos Petroliferos Fiscales Bolivianos"/>
    <s v="Total de instalaciones adicionales a partir de la linea base establecidas en el PDES "/>
    <s v="PDES"/>
    <s v="2015-2017"/>
    <s v="La meta del PDES es alcanzar 500.000 instalaciones adicionales a partir la linea base para llegar al 50% de cobertura nacional al 2020."/>
    <n v="1"/>
    <s v="020607311"/>
    <s v="MH"/>
    <s v="Ministerio de Hidrocarburos"/>
    <s v="Registro administrativo"/>
    <s v="Anual"/>
    <s v="1997-2017"/>
    <s v="Nacional excepto Tarija (2016-2017 Departamental)"/>
    <s v="Nacional excepto Tarija"/>
    <s v="Conexiones domiciliarias de gas natural"/>
    <m/>
    <s v="MH"/>
    <s v="Viceministerio de Planificacion y Desarrollo Hidrocarburifero"/>
    <s v="Dirección General de Planificacion y Desarrollo Hidrocarburifero"/>
    <s v="2374050 - 402"/>
    <d v="2015-12-01T00:00:00"/>
    <n v="0"/>
    <n v="1"/>
    <m/>
    <n v="1"/>
    <n v="5"/>
    <n v="0.2"/>
    <n v="0.21788199999999999"/>
    <n v="0.21788199999999999"/>
    <n v="0.21788199999999999"/>
    <n v="0.4"/>
    <n v="0.43486799999999998"/>
    <n v="0.43486799999999998"/>
    <n v="0.43486799999999998"/>
    <n v="0.60000000000000009"/>
    <m/>
    <n v="0"/>
    <n v="0"/>
    <n v="0.8"/>
    <m/>
    <n v="0"/>
    <n v="0"/>
    <n v="1"/>
    <m/>
    <n v="0"/>
    <n v="0"/>
    <s v="Anual"/>
    <m/>
    <m/>
    <m/>
    <m/>
  </r>
  <r>
    <x v="4"/>
    <m/>
    <x v="0"/>
    <s v="Universalización de los servicios básicos"/>
    <s v="0206"/>
    <s v="Las bolivianas y bolivianos cuentan con servicio de gas domiciliario"/>
    <n v="2"/>
    <s v="2.6.2"/>
    <n v="74"/>
    <s v="2.6.74"/>
    <s v="0206074"/>
    <s v="958 mil viviendas cuentan con gas domiciliario con Sistema Convencional de Distribución."/>
    <s v="Servicios Básicos"/>
    <s v="Gas domiciliario"/>
    <s v="Producto"/>
    <s v="Social"/>
    <s v="Servicios Básicos"/>
    <m/>
    <m/>
    <s v="PD"/>
    <m/>
    <m/>
    <m/>
    <e v="#DIV/0!"/>
    <n v="1"/>
    <n v="0"/>
    <s v="Etapa 1"/>
    <m/>
    <n v="1"/>
    <s v="1.4 De aquí a 2030, garantizar que todos los hombres y mujeres, en particular los pobres y los vulnerables, tengan los mismos derechos a los recursos económicos y acceso a los servicios básicos, la propiedad y el control de la tierra y otros bienes, la herencia, los recursos naturales, las nuevas tecnologías apropiadas y los servicios financieros, incluida la microfinanciación_x000a_7.1 De aqui a 2030, aumentar el acceso universal a servicios energeticos asequibles, fiables y modernos"/>
    <s v="1.4.1* Proporción de la población que vive en hogares con acceso a servicios básicos_x000a_7.1.2 Proporcion de la poblacion cuya fuente primaria de energia son los combustibles y tecnologías limpias"/>
    <s v="Indicador referido al servicio de gas domiciliario"/>
    <x v="0"/>
    <m/>
    <n v="1"/>
    <s v="02060741"/>
    <x v="54"/>
    <s v="Impacto"/>
    <m/>
    <s v="Nacional"/>
    <s v="Porcentaje"/>
    <s v="La sumatoria de las instalaciones del sistema convencional  entre el total de instalaciones adicionales a partir de la linea base establecidas en el PDES (400 mil)"/>
    <s v="TC= ((Instalaciones convencionales )/Cantidad de instalaciones Convencionales establecidos en el PDES)*100"/>
    <s v="Sumatoria de las instalaciones del sistema convencional  a nivel nacional"/>
    <s v="Yacimientos Petroliferos Fiscales Bolivianos_x000a_"/>
    <s v="Total de instalaciones convencionales adicionales a partir de la linea base establecidas en el PDES "/>
    <s v="PDES"/>
    <s v="2015-2017"/>
    <s v="La meta del PDES es alcanzar 400.000 instalaciones convencionales adicionales a la linea base para llegar a 958 mil viviendas con sistema convencional de distribucion de gas natural"/>
    <n v="1"/>
    <s v="020607411"/>
    <s v="MH"/>
    <s v="Ministerio de Hidrocarburos"/>
    <s v="Registro administrativo"/>
    <s v="Anual"/>
    <s v="1997-2017"/>
    <s v="Chuquisaca, La Paz, Cochabamba, Oruro, Potosí y Santa Cruz"/>
    <s v="Chuquisaca, La Paz, Cochabamba, Oruro, Potosí y Santa Cruz"/>
    <s v="Conexiones domiciliarias de gas natural (sistema convencional)"/>
    <m/>
    <s v="MH_x000a_YPFB"/>
    <s v="Viceministerio de Planificacion y Desarrollo Hidrocarburifero"/>
    <s v="Dirección General de Planificacion y Desarrollo Hidrocarburifero"/>
    <s v="2374050 - 402"/>
    <d v="2015-12-01T00:00:00"/>
    <n v="0"/>
    <n v="1"/>
    <m/>
    <n v="1"/>
    <n v="5"/>
    <n v="0.2"/>
    <n v="0.25560749999999999"/>
    <n v="0.25560749999999999"/>
    <n v="0.25560749999999999"/>
    <n v="0.4"/>
    <n v="0.47471750000000001"/>
    <n v="0.47471750000000001"/>
    <n v="0.47471750000000001"/>
    <n v="0.60000000000000009"/>
    <m/>
    <n v="0"/>
    <n v="0"/>
    <n v="0.8"/>
    <m/>
    <n v="0"/>
    <n v="0"/>
    <n v="1"/>
    <m/>
    <n v="0"/>
    <n v="0"/>
    <s v="Anual"/>
    <m/>
    <m/>
    <m/>
    <m/>
  </r>
  <r>
    <x v="4"/>
    <m/>
    <x v="0"/>
    <s v="Universalización de los servicios básicos"/>
    <s v="0206"/>
    <s v="Las bolivianas y bolivianos cuentan con servicio de gas domiciliario"/>
    <n v="3"/>
    <s v="2.6.3"/>
    <n v="75"/>
    <s v="2.6.75"/>
    <s v="0206075"/>
    <s v="124 mil viviendas cuentan con gas domiciliario bajo el Sistema Virtual de Distribución o GNL"/>
    <s v="Servicios Básicos"/>
    <s v="Gas domiciliario"/>
    <s v="Producto"/>
    <s v="Social"/>
    <s v="Servicios Básicos"/>
    <m/>
    <m/>
    <s v="PD"/>
    <m/>
    <m/>
    <m/>
    <e v="#DIV/0!"/>
    <n v="1"/>
    <n v="0"/>
    <s v="Etapa 1"/>
    <m/>
    <n v="1"/>
    <s v="1.4 De aquí a 2030, garantizar que todos los hombres y mujeres, en particular los pobres y los vulnerables, tengan los mismos derechos a los recursos económicos y acceso a los servicios básicos, la propiedad y el control de la tierra y otros bienes, la herencia, los recursos naturales, las nuevas tecnologías apropiadas y los servicios financieros, incluida la microfinanciación_x000a_7.1 De aqui a 2030, aumentar el acceso universal a servicios energeticos asequibles, fiables y modernos"/>
    <s v="1.4.1* Proporción de la población que vive en hogares con acceso a servicios básicos_x000a_7.1.2 Proporcion de la poblacion cuya fuente primaria de energia son los combustibles y tecnologías limpias"/>
    <s v="Indicador referido al servicio de gas domiciliario"/>
    <x v="0"/>
    <m/>
    <n v="1"/>
    <s v="02060751"/>
    <x v="55"/>
    <s v="Impacto"/>
    <m/>
    <s v="Nacional"/>
    <s v="Porcentaje"/>
    <s v="La sumatoria de las instalaciones del sistema virtual  entre el total de instalaciones adicionales a partir de la linea base establecidas en el PDES (100 mil)"/>
    <s v="TC= ((Instalaciones virtuales )/Cantidad de instalaciones virtuales establecidos en el PDES)*100"/>
    <s v="Sumatoria de las instalaciones del sistema virtual  a nivel nacional"/>
    <s v="Yacimientos Petroliferos Fiscales Bolivianos_x000a_"/>
    <s v="Total de instalaciones virtuales adicionales a partir de la linea base establecidas en el PDES "/>
    <s v="PDES"/>
    <s v="2015-2017"/>
    <s v="La meta del PDES es alcanzar 100.000 instalaciones virtuales adicionales a la linea base para llegar a 124 mil viviendas con sistema virtual de distribucion de gas natural"/>
    <n v="1"/>
    <s v="020607511"/>
    <s v="MH"/>
    <s v="Ministerio de Hidrocarburos"/>
    <s v="Registro administrativo"/>
    <s v="Anual"/>
    <s v="2013-2017"/>
    <s v="La Paz, Oruro, Potosí, Santa Cruz, Beni y Pando"/>
    <s v="La Paz, Oruro, Potosí, Santa Cruz, Beni y Pando"/>
    <s v="Conexiones domiciliarias de gas natural (sistema virtual)"/>
    <m/>
    <s v="MH_x000a_YPFB"/>
    <s v="Viceministerio de Planificacion y Desarrollo Hidrocarburifero"/>
    <s v="Dirección General de Planificacion y Desarrollo Hidrocarburifero"/>
    <s v="2374050 - 402"/>
    <d v="2015-12-01T00:00:00"/>
    <n v="0"/>
    <n v="1"/>
    <m/>
    <n v="1"/>
    <n v="5"/>
    <n v="0.2"/>
    <n v="6.6979999999999998E-2"/>
    <n v="6.6979999999999998E-2"/>
    <n v="6.6979999999999998E-2"/>
    <n v="0.4"/>
    <n v="0.27546999999999999"/>
    <n v="0.27546999999999999"/>
    <n v="0.27546999999999999"/>
    <n v="0.60000000000000009"/>
    <m/>
    <n v="0"/>
    <n v="0"/>
    <n v="0.8"/>
    <m/>
    <n v="0"/>
    <n v="0"/>
    <n v="1"/>
    <m/>
    <n v="0"/>
    <n v="0"/>
    <s v="Anual"/>
    <m/>
    <m/>
    <m/>
    <m/>
  </r>
  <r>
    <x v="4"/>
    <m/>
    <x v="2"/>
    <s v="Soberanía sobre nuestros recursos naturales "/>
    <s v="0702"/>
    <s v="Fortalecimiento de los procesos de industrialización y transformación en armonía y equilibrio con la Madre Tierra: eléctrico"/>
    <n v="4"/>
    <s v="7.2.4"/>
    <n v="199"/>
    <s v="7.2.199"/>
    <s v="0702199"/>
    <s v="Se ha incrementado la producción de gas natural a mínimo 73 millones de metros 3/día. "/>
    <s v="Recursos Naturales"/>
    <s v="Hidrocarburos"/>
    <s v="Resultado"/>
    <s v="Económica"/>
    <s v="Hidrocarburos"/>
    <n v="1"/>
    <m/>
    <s v="RS"/>
    <m/>
    <m/>
    <s v="MEeH"/>
    <e v="#DIV/0!"/>
    <n v="1"/>
    <n v="0"/>
    <s v="Etapa 1"/>
    <m/>
    <n v="9"/>
    <m/>
    <m/>
    <m/>
    <x v="0"/>
    <m/>
    <n v="1"/>
    <s v="07021991"/>
    <x v="56"/>
    <s v="Proceso"/>
    <m/>
    <s v="Nacional"/>
    <s v="Porcentaje"/>
    <s v="Incremento en la produccion promedio anual de gas natural con respecto a la produccion establecida en el PDES para el año 2020 (73 MMmcd)"/>
    <s v="Produccion Gas Natural= (Produccion Anual de Gas Natural/Produccion de gas Natural Establecida en el PDES) * 100"/>
    <s v="Produccion Promedio anual en campos de Explotacion existentes y nuevos campos descubiertos"/>
    <s v="Yacimientos Petroliferos Fiscales Bolivianos_x000a_"/>
    <s v="Produccion de Gas Natural  como meta establecida en el PDES (73 MMmcd)"/>
    <s v="YPFB"/>
    <s v="2015-2017"/>
    <s v="El PDES establece como Meta a los 73 MMmcd de produccion fiscalizada de Gas Natural. "/>
    <n v="1"/>
    <s v="070219911"/>
    <s v="YPFB"/>
    <s v="Produccion Fiscalizada de Gas Natural"/>
    <s v="Registro administrativo"/>
    <s v="Anual"/>
    <s v="1997-2017"/>
    <s v="Nacional"/>
    <s v="Nacional"/>
    <s v="Produccion fiscalizada de gas Natural"/>
    <m/>
    <s v="MH_x000a_YPFB"/>
    <s v="Viceministerio de Planificacion y Desarrollo Hidrocarburifero"/>
    <s v="Dirección General de Planificacion y Desarrollo Hidrocarburifero"/>
    <s v="2374050 - 402"/>
    <d v="2015-12-01T00:00:00"/>
    <n v="0.83230000000000004"/>
    <n v="1.0079"/>
    <m/>
    <n v="0.17559999999999998"/>
    <n v="5"/>
    <n v="0.86742000000000008"/>
    <n v="0.77593999999999996"/>
    <n v="-5.6360000000000077E-2"/>
    <n v="-0.32095671981776813"/>
    <n v="0.90254000000000001"/>
    <n v="0.74902999999999997"/>
    <n v="-8.3270000000000066E-2"/>
    <n v="-0.47420273348519404"/>
    <n v="0.93766000000000005"/>
    <m/>
    <n v="-0.83230000000000004"/>
    <n v="-4.7397494305239185"/>
    <n v="0.97277999999999998"/>
    <m/>
    <n v="-0.83230000000000004"/>
    <n v="-4.7397494305239185"/>
    <n v="1.0079"/>
    <m/>
    <n v="-0.83230000000000004"/>
    <n v="-4.7397494305239185"/>
    <s v="Anual"/>
    <m/>
    <m/>
    <m/>
    <m/>
  </r>
  <r>
    <x v="4"/>
    <m/>
    <x v="2"/>
    <s v="Soberanía sobre nuestros recursos naturales "/>
    <s v="0702"/>
    <s v="Fortalecimiento de los procesos de industrialización y transformación en armonía y equilibrio con la Madre Tierra: eléctrico"/>
    <n v="5"/>
    <s v="7.2.5"/>
    <n v="200"/>
    <s v="7.2.200"/>
    <s v="0702200"/>
    <s v="Se  ha  incrementado  la  producción  de hidrocarburos líquidos a mínimo 69 mil barriles/día"/>
    <s v="Recursos Naturales"/>
    <s v="Hidrocarburos"/>
    <s v="Resultado"/>
    <s v="Económica"/>
    <s v="Hidrocarburos"/>
    <m/>
    <m/>
    <s v="RS"/>
    <m/>
    <m/>
    <s v="MEeH"/>
    <e v="#DIV/0!"/>
    <n v="1"/>
    <n v="0"/>
    <s v="Etapa 1"/>
    <m/>
    <m/>
    <s v="7,b.De aquí a 2030, ampliar la infraestructura y mejorar la_x000a_tecnología para prestar servicios energéticos modernos y sostenibles para todos en los países en desarrollo, en particular los países menos adelantados, los pequeños Estados insulares en desarrollo y los países en desarrollo sin_x000a_litoral, en consonancia con sus respectivos programas de apoyo_x000a_"/>
    <s v="7.b.1. Inversiones en eficiencia energética como_x000a_porcentaje del PIB y el importe de la inversión_x000a_extranjera directa en la transferencia financiera_x000a_para la infraestructura y la tecnología a los_x000a_servicios de desarrollo sostenible_x000a_"/>
    <m/>
    <x v="0"/>
    <m/>
    <n v="1"/>
    <s v="07022001"/>
    <x v="57"/>
    <s v="Producto"/>
    <m/>
    <s v="Nacional"/>
    <s v="Porcentaje"/>
    <s v="Incremento en la produccion promedio anual de hidrocarburos liquidos con respecto a la produccion establecida en el PDES para el año 2020 (69 Mil Barriles/dia)"/>
    <s v="Incremento de la Produccion de Hidrocarburos Liquidos= (Produccion Anual de Hidrocarburos Liquidos/Produccion d eHidrocarburos Liquidos Establecida en el PDES) * 100"/>
    <s v="Produccion Promedio anual en campos de Explotacion existentes y nuevos campos descubiertos"/>
    <s v="Yacimientos Petroliferos Fiscales Bolivianos_x000a_"/>
    <s v="Produccion de Hidrocarburos liquidos como meta establecida en el PDES (69 Mil Barriles/dia )"/>
    <s v="YPFB"/>
    <s v="2015-2017"/>
    <s v="El PDES establece como Meta a los 69 Mil Barriles/dia de produccion fiscalizada de Hidrocarburos Liquidos"/>
    <n v="1"/>
    <s v="070220011"/>
    <s v="YPFB"/>
    <s v="Produccion Fiscalizada de Hidrocarburos Liquidos"/>
    <s v="Registro administrativo"/>
    <s v="Anual"/>
    <s v="1997-2017"/>
    <s v="Nacional"/>
    <s v="Nacional"/>
    <s v="Produccion fiscalizada de Hidrocarburos Liquidos"/>
    <m/>
    <s v="MH_x000a_YPFB"/>
    <s v="Viceministerio de Planificacion y Desarrollo Hidrocarburifero"/>
    <s v="Dirección General de Planificacion y Desarrollo Hidrocarburifero"/>
    <s v="2374050 - 402"/>
    <d v="2015-12-01T00:00:00"/>
    <n v="0.88170000000000004"/>
    <n v="1.01"/>
    <m/>
    <n v="0.12829999999999997"/>
    <n v="5"/>
    <n v="0.90736000000000006"/>
    <n v="0.81989999999999996"/>
    <n v="-6.1800000000000077E-2"/>
    <n v="-0.48168355416991498"/>
    <n v="0.93302000000000007"/>
    <n v="0.75497999999999998"/>
    <n v="-0.12672000000000005"/>
    <n v="-0.98768511301636852"/>
    <n v="0.95867999999999998"/>
    <m/>
    <n v="-0.88170000000000004"/>
    <n v="-6.8721745908028078"/>
    <n v="0.98433999999999999"/>
    <m/>
    <n v="-0.88170000000000004"/>
    <n v="-6.8721745908028078"/>
    <n v="1.01"/>
    <m/>
    <n v="-0.88170000000000004"/>
    <n v="-6.8721745908028078"/>
    <s v="Anual"/>
    <m/>
    <m/>
    <m/>
    <m/>
  </r>
  <r>
    <x v="4"/>
    <m/>
    <x v="2"/>
    <s v="Soberanía sobre nuestros recursos naturales "/>
    <s v="0702"/>
    <s v="Fortalecimiento de los procesos de industrialización y transformación en armonía y equilibrio con la Madre Tierra: eléctrico"/>
    <n v="6"/>
    <s v="7.2.6"/>
    <n v="201"/>
    <s v="7.2.201"/>
    <s v="0702201"/>
    <s v="Se  ha  incrementado  la  producción  de  derivados como el GLP a mínimo 820 mil TM.  "/>
    <s v="Recursos Naturales"/>
    <s v="Hidrocarburos"/>
    <s v="Resultado"/>
    <s v="Económica"/>
    <s v="Hidrocarburos"/>
    <m/>
    <m/>
    <s v="RS"/>
    <m/>
    <m/>
    <s v="MEeH"/>
    <e v="#DIV/0!"/>
    <n v="1"/>
    <n v="0"/>
    <s v="Etapa 1"/>
    <m/>
    <m/>
    <s v="7,b.De aquí a 2030, ampliar la infraestructura y mejorar la_x000a_tecnología para prestar servicios energéticos modernos y sostenibles para todos en los países en desarrollo, en particular los países menos adelantados, los pequeños Estados insulares en desarrollo y los países en desarrollo sin_x000a_litoral, en consonancia con sus respectivos programas de apoyo_x000a_"/>
    <s v="7.b.1. Inversiones en eficiencia energética como_x000a_porcentaje del PIB y el importe de la inversión_x000a_extranjera directa en la transferencia financiera_x000a_para la infraestructura y la tecnología a los_x000a_servicios de desarrollo sostenible_x000a_"/>
    <m/>
    <x v="0"/>
    <m/>
    <n v="1"/>
    <s v="07022011"/>
    <x v="58"/>
    <s v="Proceso"/>
    <m/>
    <s v="Nacional"/>
    <s v="Porcentaje"/>
    <s v="Incremento en la produccion anual de gas licuado de petroleo con respecto a la produccion de GLP establecida en el PDES para el año 2020 (820 Mil TMA)"/>
    <s v="Produccion GLP= (Suma de produccion de plantas sepsaradoras de liquidos+planta en campo+refinerias)/Produccion de GLP Establecida en el PDES) * 100"/>
    <s v="Suma total de la produccion de GLP en Plantas de Separacion de Liquidos, Refinerias y Plantas de Procesamiento"/>
    <s v="Yacimientos Petroliferos Fiscales Bolivianos_x000a_"/>
    <s v="Produccion de GLP como meta establecida en el PDES (820 000 Toneladas metricas/año)"/>
    <s v="YPFB"/>
    <s v="2015-2017"/>
    <s v="El PDES establece como Meta 820 Mil TMA de produccion de GLP"/>
    <n v="1"/>
    <s v="070220111"/>
    <s v="YPFB"/>
    <s v="Produccion Fiscalizada de Gas Licuado de petroleo"/>
    <s v="Registro administrativo"/>
    <s v="Anual"/>
    <s v="1997-2017"/>
    <s v="Nacional"/>
    <s v="Nacional"/>
    <s v="Produccion de Gas Licuado de Petroleo"/>
    <m/>
    <s v="MH_x000a_YPFB"/>
    <s v="Viceministerio de Planificacion y Desarrollo Hidrocarburifero"/>
    <s v="Dirección General de Planificacion y Desarrollo Hidrocarburifero"/>
    <s v="2374050 - 402"/>
    <d v="2015-12-01T00:00:00"/>
    <n v="0.55110000000000003"/>
    <n v="1"/>
    <m/>
    <n v="0.44889999999999997"/>
    <n v="5"/>
    <n v="0.64088000000000001"/>
    <n v="0.52305000000000001"/>
    <n v="-2.8050000000000019E-2"/>
    <n v="-6.2486077077300112E-2"/>
    <n v="0.73066000000000009"/>
    <n v="0.53485000000000005"/>
    <n v="-1.6249999999999987E-2"/>
    <n v="-3.6199599019826216E-2"/>
    <n v="0.82044000000000006"/>
    <m/>
    <n v="-0.55110000000000003"/>
    <n v="-1.2276676319893074"/>
    <n v="0.91022000000000003"/>
    <m/>
    <n v="-0.55110000000000003"/>
    <n v="-1.2276676319893074"/>
    <n v="1"/>
    <m/>
    <n v="-0.55110000000000003"/>
    <n v="-1.2276676319893074"/>
    <s v="Anual"/>
    <m/>
    <m/>
    <m/>
    <m/>
  </r>
  <r>
    <x v="4"/>
    <m/>
    <x v="2"/>
    <s v="Soberanía sobre nuestros recursos naturales "/>
    <s v="0702"/>
    <s v="Fortalecimiento de los procesos de industrialización y transformación en armonía y equilibrio con la Madre Tierra: eléctrico"/>
    <n v="8"/>
    <m/>
    <m/>
    <m/>
    <s v="0702203"/>
    <s v="Se ha incrementado el valor total de la producción proveniente  del  gas  natural,  diésel  oíl,  gasolina especial y urea. "/>
    <m/>
    <m/>
    <s v="Resultado"/>
    <n v="1"/>
    <n v="0"/>
    <m/>
    <m/>
    <m/>
    <m/>
    <m/>
    <m/>
    <m/>
    <n v="1"/>
    <n v="0"/>
    <s v="Etapa 1"/>
    <m/>
    <m/>
    <m/>
    <m/>
    <m/>
    <x v="0"/>
    <m/>
    <n v="1"/>
    <s v="07022031"/>
    <x v="59"/>
    <s v="Proceso"/>
    <m/>
    <s v="Nacional"/>
    <s v="Porcentaje"/>
    <s v="Incremento en la produccion anual de diesel oil "/>
    <s v="Produccion Diesel Oil = Produccion anual de Diesel Oil/Produccion de DO Programada en el Plan Sectorial del MH) * 100"/>
    <s v="Produccion anual de Diesel Oil en miles de Metros cubicos"/>
    <s v="Yacimientos Petroliferos Fiscales Bolivianos_x000a_"/>
    <s v="Produccion de Diesel oil como meta establecida en el PSDI-MH para el año 2020 (2130,91 Miles metros cubicos /año)"/>
    <s v="YPFB"/>
    <s v="2015-2017"/>
    <s v="El PSDI establece como Meta 2130,91 Miles metros cubicos /año de produccion de Diesel Oil"/>
    <n v="1"/>
    <s v="070220311"/>
    <s v="YPFB"/>
    <s v="Produccion anual de Diesel Oil"/>
    <s v="Registro administrativo"/>
    <s v="Anual"/>
    <s v="1997-2017"/>
    <s v="Nacional"/>
    <s v="Nacional"/>
    <s v="Produccion anual de Diesel Oil"/>
    <m/>
    <s v="MH_x000a_YPFB"/>
    <s v="Viceministerio de Planificacion y Desarrollo Hidrocarburifero"/>
    <s v="Dirección General de Planificacion y Desarrollo Hidrocarburifero"/>
    <s v="2374050 - 402"/>
    <d v="2015-12-01T00:00:00"/>
    <n v="0.84119999999999995"/>
    <n v="1"/>
    <m/>
    <n v="0.15880000000000005"/>
    <m/>
    <n v="0.87295999999999996"/>
    <n v="0.85057000000000005"/>
    <n v="9.3700000000001005E-3"/>
    <n v="5.900503778337593E-2"/>
    <n v="0.90471999999999997"/>
    <n v="0.89883000000000002"/>
    <n v="5.763000000000007E-2"/>
    <n v="0.36290931989924463"/>
    <n v="0.93647999999999998"/>
    <m/>
    <n v="-0.84119999999999995"/>
    <n v="-5.297229219143575"/>
    <n v="0.96823999999999999"/>
    <m/>
    <n v="-0.84119999999999995"/>
    <n v="-5.297229219143575"/>
    <n v="1"/>
    <m/>
    <n v="-0.84119999999999995"/>
    <n v="-5.297229219143575"/>
    <s v="Anual"/>
    <m/>
    <m/>
    <m/>
    <m/>
  </r>
  <r>
    <x v="4"/>
    <m/>
    <x v="2"/>
    <s v="Soberanía sobre nuestros recursos naturales "/>
    <s v="0702"/>
    <s v="Fortalecimiento de los procesos de industrialización y transformación en armonía y equilibrio con la Madre Tierra: eléctrico"/>
    <n v="8"/>
    <s v="7.2.8"/>
    <n v="203"/>
    <s v="7.2.203"/>
    <s v="0702203"/>
    <s v="Se ha incrementado el valor total de la producción proveniente  del  gas  natural,  diésel  oíl,  gasolina especial y urea. "/>
    <s v="Recursos Naturales"/>
    <s v="Hidrocarburos"/>
    <s v="Resultado"/>
    <s v="Económica"/>
    <s v="Hidrocarburos"/>
    <n v="1"/>
    <m/>
    <s v="RS"/>
    <m/>
    <m/>
    <s v="MEeH"/>
    <e v="#DIV/0!"/>
    <n v="1"/>
    <n v="0"/>
    <s v="Etapa 1"/>
    <m/>
    <m/>
    <m/>
    <m/>
    <m/>
    <x v="0"/>
    <m/>
    <n v="2"/>
    <s v="07022032"/>
    <x v="60"/>
    <s v="Proceso"/>
    <m/>
    <s v="Nacional"/>
    <s v="Porcentaje"/>
    <s v="Incremento en la produccion anual de Gasolina"/>
    <s v="Produccion Gasolina = Produccion anual de Gasolina/Produccion de Gasolina Programada en el Plan Sectorial del MH) * 100"/>
    <s v="Produccion anual de Gasolina Especial en miles de Metros cubicos"/>
    <s v="Yacimientos Petroliferos Fiscales Bolivianos_x000a_"/>
    <s v="Produccion de Gasolina Especial como meta establecida en el PSDI-MH para el año 2020 (1959,05 Miles metros cubicos /año)"/>
    <s v="YPFB"/>
    <s v="2015-2017"/>
    <s v="El PDES establece como Meta 1959,05 Miles metros cubicos /año de produccion de Gasolina Especial"/>
    <n v="1"/>
    <s v="070220321"/>
    <s v="YPFB"/>
    <s v="Produccion Anual de Gasolina especial"/>
    <s v="Registro administrativo"/>
    <s v="Anual"/>
    <s v="1997-2017"/>
    <s v="Nacional"/>
    <s v="Nacional"/>
    <s v="Produccion Anual de Gasolina especial"/>
    <m/>
    <s v="MH_x000a_YPFB"/>
    <s v="Viceministerio de Planificacion y Desarrollo Hidrocarburifero"/>
    <s v="Dirección General de Planificacion y Desarrollo Hidrocarburifero"/>
    <s v="2374050 - 402"/>
    <d v="2015-12-01T00:00:00"/>
    <n v="0.77100000000000002"/>
    <n v="1"/>
    <m/>
    <n v="0.22899999999999998"/>
    <n v="5"/>
    <n v="0.81679999999999997"/>
    <n v="0.84050000000000002"/>
    <n v="6.9500000000000006E-2"/>
    <n v="0.30349344978165943"/>
    <n v="0.86260000000000003"/>
    <n v="0.89701028559761098"/>
    <n v="0.12601028559761096"/>
    <n v="0.5502632558847641"/>
    <n v="0.90839999999999999"/>
    <m/>
    <n v="-0.77100000000000002"/>
    <n v="-3.3668122270742362"/>
    <n v="0.95419999999999994"/>
    <m/>
    <n v="-0.77100000000000002"/>
    <n v="-3.3668122270742362"/>
    <n v="1"/>
    <m/>
    <n v="-0.77100000000000002"/>
    <n v="-3.3668122270742362"/>
    <s v="Anual"/>
    <m/>
    <m/>
    <m/>
    <m/>
  </r>
  <r>
    <x v="5"/>
    <s v="20-04-2018"/>
    <x v="1"/>
    <s v="Soberanía productiva con diversificación desarrollo integral sin la dictadura del mercado capitalista"/>
    <s v="0602"/>
    <s v="País productor, transformador y exportador “Complejos productivos” y Turismo."/>
    <n v="1"/>
    <s v="6. 2.1"/>
    <n v="148"/>
    <s v="6.2.148"/>
    <s v="0602148"/>
    <s v="Se ha avanzado significativamente para que $us10.000 MM del PIB correspondan al sector agropecuario y agroindustrial en el futuro inmediato."/>
    <m/>
    <m/>
    <s v="Producto"/>
    <m/>
    <m/>
    <m/>
    <m/>
    <m/>
    <m/>
    <m/>
    <m/>
    <m/>
    <n v="1"/>
    <n v="0"/>
    <s v="Etapa 1"/>
    <m/>
    <s v="9.2"/>
    <s v="Promover una industrialización inclusiva y sostenible y, de aquí a 2030, aumentar significativamente la contribución de la industria al empleo y al producto interno bruto, de acuerdo con las circunstancias nacionales, y duplicar esa contribución en los países menos adelantados"/>
    <s v="9.2.1"/>
    <s v="Valor agregado por manufactura como porcentaje del PIB y per cápita"/>
    <x v="0"/>
    <m/>
    <n v="1"/>
    <s v="06021481"/>
    <x v="61"/>
    <s v="Producto"/>
    <s v="Eficacia: Miden nivel de cumplimiento de los objetivos_x000a_Calidad:  Evalúan atributos respecto a normas, referenias externas o satisfacción de los beneficiarios (usuarios)"/>
    <s v="Nacional y departamental"/>
    <s v="Millones de dólares"/>
    <s v="Es la sumatoria del Producto Interno Bruto de las actividades:_x000a__x000a_Agricultura, Silvicultura, Caza y Pesca _x000a_     - Productos Agrícolas no Industriales_x000a_     - Productos Agrícolas Industriales_x000a_     - Coca_x000a_     - Productos Pecuarios_x000a_     - Silvicultura, Caza y Pesca_x000a__x000a_Industrias Manufactureras_x000a_     - Alimentos_x000a_     - Bebidas y Tabaco"/>
    <s v="Sumatoria del Producto Interno Bruto a precios corrientes de las actividades:_x000a__x000a_Agricultura, Silvicultura, Caza y Pesca _x000a_     - Productos Agrícolas no Industriales_x000a_     - Productos Agrícolas Industriales_x000a_     - Coca_x000a_     - Productos Pecuarios_x000a_     - Silvicultura, Caza y Pesca_x000a__x000a_Industrias Manufactureras_x000a_     - Alimentos_x000a_     - Bebidas y Tabaco"/>
    <s v="PIB a precios corrientes de las actividades:_x000a__x000a_Agricultura, Silvicultura, Caza y Pesca _x000a_     - Productos Agrícolas no Industriales_x000a_     - Productos Agrícolas Industriales_x000a_     - Coca_x000a_     - Productos Pecuarios_x000a_     - Silvicultura, Caza y Pesca_x000a__x000a_Industrias Manufactureras_x000a_     - Alimentos_x000a_     - Bebidas y Tabaco"/>
    <s v="Cuentas Nacionales "/>
    <m/>
    <m/>
    <s v="1990-2016"/>
    <s v="Dato Preliminar del año 2016 y 2017."/>
    <n v="1"/>
    <s v="060214811"/>
    <s v="CN"/>
    <s v="Cuentas Nacionales"/>
    <s v="Datos Agregados"/>
    <s v="Anual"/>
    <s v="1990-2016(p)"/>
    <s v="Nacional"/>
    <s v="Departamental"/>
    <s v="Oferta y demanda total por componente; Oferta y demanda final por componente; Producto interno bruto por actividad económica; Producto interno bruto por tipo de gasto; Valor bruto de producción por actividad económica; Valor agregado bruto por actividad económica y Formación bruta de capital fijo"/>
    <m/>
    <s v="Instituto Nacional de Estadística - INE"/>
    <s v="Dirección de Cuentas Nacionales - DCN"/>
    <s v="Unidad de Sintesis Macroeconómica de Coyuntura - USMC"/>
    <s v="(591 )2222333"/>
    <n v="2015"/>
    <n v="5191"/>
    <n v="10000"/>
    <m/>
    <n v="4809"/>
    <n v="5"/>
    <n v="6152.8"/>
    <n v="5801"/>
    <n v="610"/>
    <n v="0.12684549802453732"/>
    <n v="7114.6"/>
    <n v="6534"/>
    <n v="1343"/>
    <n v="0.27926803909336662"/>
    <n v="8076.4"/>
    <m/>
    <n v="-5191"/>
    <n v="-1.0794343938448743"/>
    <n v="9038.2000000000007"/>
    <m/>
    <n v="-5191"/>
    <n v="-1.0794343938448743"/>
    <n v="10000"/>
    <m/>
    <n v="-5191"/>
    <n v="-1.0794343938448743"/>
    <m/>
    <m/>
    <m/>
    <m/>
    <m/>
  </r>
  <r>
    <x v="5"/>
    <s v="20-04-2018"/>
    <x v="1"/>
    <s v="Soberanía productiva con diversificación desarrollo integral sin la dictadura del mercado capitalista"/>
    <s v="0602"/>
    <s v="País productor, transformador y exportador “Complejos productivos” y Turismo."/>
    <n v="2"/>
    <s v="6. 2.2"/>
    <n v="149"/>
    <s v="6.2.149"/>
    <s v="0602149"/>
    <s v="Se ha logrado que al menos 14,4% del PIB corresponda a la industria manufacturera."/>
    <m/>
    <m/>
    <s v="Producto"/>
    <m/>
    <m/>
    <m/>
    <m/>
    <m/>
    <m/>
    <m/>
    <m/>
    <m/>
    <n v="1"/>
    <n v="0"/>
    <s v="Etapa 1"/>
    <m/>
    <s v="9.2"/>
    <s v="Promover una industrialización inclusiva y sostenible y, de aquí a 2030, aumentar significativamente la contribución de la industria al empleo y al producto interno bruto, de acuerdo con las circunstancias nacionales, y duplicar esa contribución en los países menos adelantados"/>
    <s v="9.2.1"/>
    <s v="Valor agregado por manufactura como porcentaje del PIB y per cápita"/>
    <x v="0"/>
    <m/>
    <n v="1"/>
    <s v="06021491"/>
    <x v="62"/>
    <s v="Producto"/>
    <s v="Eficacia: Miden nivel de cumplimiento de los objetivos_x000a_Calidad:  Evalúan atributos respecto a normas, referenias externas o satisfacción de los beneficiarios (usuarios)"/>
    <s v="Nacional y departamental"/>
    <s v="Porcentaje"/>
    <s v="Es la sumatoria del Producto Interno Bruto de las actividades:_x000a__x000a_Industrias Manufactureras_x000a_     - Alimentos_x000a_     - Bebidas y Tabaco_x000a_     - Textiles, Prendas de Vestir y Productos del Cuero_x000a_     - Madera y Productos de Madera_x000a_     - Productos de Refinación del Petróleo_x000a_     - Productos de Minerales no Metálicos_x000a_     - Otras Industrias Manufactureras_x000a__x000a_Sobre el total del valor del PIB."/>
    <s v="((Valor del PIB Industrial Manufacturero)/(Valor del PIB Total))x100"/>
    <s v="PIB industria manufacturera a precios corrientes"/>
    <s v="Cuentas Nacionales"/>
    <s v="PIB a precios corrientes"/>
    <s v="Cuentas Nacionales"/>
    <s v="1990-2016"/>
    <s v="Dato Preliminar del año 2016 y 2017."/>
    <n v="1"/>
    <s v="060214911"/>
    <s v="CN"/>
    <s v="Cuentas Nacionales"/>
    <s v="Datos Agregados"/>
    <s v="Anual"/>
    <s v="1990-2016(p)"/>
    <s v="Nacional"/>
    <s v="Departamental"/>
    <s v="Oferta y demanda total por componente; Oferta y demanda final por componente; Producto interno bruto por actividad económica; Producto interno bruto por tipo de gasto; Valor bruto de producción por actividad económica; Valor agregado bruto por actividad económica y Formación bruta de capital fijo"/>
    <m/>
    <s v="Instituto Nacional de Estadística - INE"/>
    <s v="Dirección de Cuentas Nacionales - DCN"/>
    <s v="Unidad de Sintesis Macroeconómica de Coyuntura - USMC"/>
    <s v="(591 )2222333"/>
    <n v="2015"/>
    <n v="0.1019"/>
    <n v="0.14399999999999999"/>
    <m/>
    <n v="4.2099999999999985E-2"/>
    <n v="5"/>
    <n v="0.11032"/>
    <n v="0.10979999999999999"/>
    <n v="7.8999999999999904E-3"/>
    <n v="0.18764845605700697"/>
    <n v="0.11874"/>
    <n v="0.10489999999999999"/>
    <n v="2.9999999999999888E-3"/>
    <n v="7.1258907363420193E-2"/>
    <n v="0.12716"/>
    <m/>
    <n v="-0.1019"/>
    <n v="-2.4204275534441817"/>
    <n v="0.13557999999999998"/>
    <m/>
    <n v="-0.1019"/>
    <n v="-2.4204275534441817"/>
    <n v="0.14399999999999999"/>
    <m/>
    <n v="-0.1019"/>
    <n v="-2.4204275534441817"/>
    <m/>
    <m/>
    <m/>
    <m/>
    <m/>
  </r>
  <r>
    <x v="5"/>
    <m/>
    <x v="3"/>
    <m/>
    <m/>
    <m/>
    <m/>
    <m/>
    <m/>
    <m/>
    <m/>
    <m/>
    <m/>
    <m/>
    <m/>
    <m/>
    <m/>
    <m/>
    <m/>
    <m/>
    <m/>
    <m/>
    <m/>
    <m/>
    <n v="1"/>
    <n v="0"/>
    <s v="Etapa 1"/>
    <m/>
    <m/>
    <m/>
    <m/>
    <m/>
    <x v="1"/>
    <m/>
    <m/>
    <m/>
    <x v="62"/>
    <s v="Producto"/>
    <s v="Eficacia: Miden nivel de cumplimiento de los objetivos_x000a_Calidad:  Evalúan atributos respecto a normas, referenias externas o satisfacción de los beneficiarios (usuarios)"/>
    <s v="Nacional y departamental"/>
    <s v="Porcentaje"/>
    <s v="Es la sumatoria del Producto Interno Bruto de las actividades:_x000a__x000a_Industrias Manufactureras_x000a_     - Alimentos_x000a_     - Bebidas y Tabaco_x000a_     - Textiles, Prendas de Vestir y Productos del Cuero_x000a_     - Madera y Productos de Madera_x000a_     - Productos de Minerales no Metálicos_x000a_     - Otras Industrias Manufactureras_x000a__x000a_Sobre el total del valor del PIB."/>
    <s v="((Valor del PIB Industrial Manufacturero sin Refinados)/(Valor del PIB Total))x100"/>
    <s v="PIB de la industria manufacturera sin considerar los productos de la refinación del petróleo, a precios corrientes"/>
    <s v="Cuentas Nacionales"/>
    <s v="PIB a precios corrientes"/>
    <s v="Cuentas Nacionales"/>
    <s v="Serie disponible actualizada desde 1990 hasta 2016"/>
    <s v="Dato Preliminar del año 2016 y 2017."/>
    <n v="1"/>
    <s v="1"/>
    <s v="CN"/>
    <s v="Cuentas Nacionales"/>
    <s v="Datos Agregados"/>
    <s v="Anual"/>
    <s v="1990-2016(p)"/>
    <s v="Nacional"/>
    <s v="Departamental"/>
    <s v="Oferta y demanda total por componente; Oferta y demanda final por componente; Producto interno bruto por actividad económica; Producto interno bruto por tipo de gasto; Valor bruto de producción por actividad económica; Valor agregado bruto por actividad económica y Formación bruta de capital fijo"/>
    <m/>
    <s v="Instituto Nacional de Estadística - INE"/>
    <s v="Dirección de Cuentas Nacionales - DCN"/>
    <s v="Unidad de Sintesis Macroeconómica de Coyuntura - USMC"/>
    <s v="(591 )2222333"/>
    <n v="2015"/>
    <n v="9.1200000000000003E-2"/>
    <n v="0.14399999999999999"/>
    <m/>
    <n v="5.2799999999999986E-2"/>
    <n v="5"/>
    <n v="0.10176"/>
    <n v="9.8299999999999998E-2"/>
    <n v="7.0999999999999952E-3"/>
    <n v="0.13446969696969691"/>
    <n v="0.11232"/>
    <n v="9.4E-2"/>
    <n v="2.7999999999999969E-3"/>
    <n v="5.3030303030302983E-2"/>
    <n v="0.12287999999999999"/>
    <m/>
    <n v="-9.1200000000000003E-2"/>
    <n v="-1.7272727272727277"/>
    <n v="0.13344"/>
    <m/>
    <n v="-9.1200000000000003E-2"/>
    <n v="-1.7272727272727277"/>
    <n v="0.14399999999999999"/>
    <m/>
    <n v="-9.1200000000000003E-2"/>
    <n v="-1.7272727272727277"/>
    <m/>
    <m/>
    <m/>
    <m/>
    <m/>
  </r>
  <r>
    <x v="5"/>
    <s v="20-04-2018"/>
    <x v="1"/>
    <s v="Soberanía productiva con diversificación desarrollo integral sin la dictadura del mercado capitalista"/>
    <s v="0609"/>
    <s v="Democratización de los medios y factores de producción con énfasis en el sector micro empresarial y comunitario."/>
    <n v="1"/>
    <s v="6.9.1"/>
    <n v="179"/>
    <s v="6.9.179"/>
    <s v="0609179"/>
    <s v="Se ha incrementado a $us3.644 MM el Valor Bruto de Producción de las MyPEs."/>
    <m/>
    <m/>
    <s v="Producto"/>
    <m/>
    <m/>
    <m/>
    <m/>
    <m/>
    <m/>
    <m/>
    <m/>
    <m/>
    <n v="1"/>
    <n v="0"/>
    <s v="Etapa 1"/>
    <m/>
    <s v="9.2"/>
    <s v="Promover una industrialización inclusiva y sostenible y, de aquí a 2030, aumentar significativamente la contribución de la industria al empleo y al producto interno bruto, de acuerdo con las circunstancias nacionales, y duplicar esa contribución en los países menos adelantados"/>
    <s v="9.2.1"/>
    <s v="Valor agregado por manufactura como porcentaje del PIB y per cápita"/>
    <x v="0"/>
    <m/>
    <n v="1"/>
    <s v="06091791"/>
    <x v="63"/>
    <s v="Producto"/>
    <m/>
    <s v="Nacional y departamental"/>
    <s v="Millones de dólares"/>
    <s v="Valor bruto de producción (VBP) de las MyPES de la Industria Manufacturera sin considerar productos de refinación del petróleo y minerales metálicos. _x000a__x000a_Para determinar el VBP el INE realizó una Encuesta; en base a esta encuenta y la clasificación de unidades productivas (Resolución Ministerial MDPyEP/DESPACHO/N° 180/2016 de 01/08/2016), se determinado el porcentaje aproximado con el que contribuyen la unidades productivas a la generación del VBP: _x000a__x000a_- 20% Micro Empresas;_x000a_- 5% Pequeñas;_x000a_- 26% Medianas; y _x000a_- 49% Grandes"/>
    <s v="Sumatoria del Valor bruto de producción (VBP) de las MyPES de la Industria Manufacturera sin considerar productos de refinación del petróleo y minerales metálicos. _x000a__x000a_- Carnes frescas y elaboradas_x000a_- Productos lácteos_x000a_- Productos de molinería y panadería_x000a_- Azúcar y confitería_x000a_- Productos alimenticios diversos_x000a_- Bebidas_x000a_- Tabaco elaborado_x000a_- Textiles, prendas de vestir y prod. del cuero_x000a_- Madera y productos de madera_x000a_- Papel y productos de papel_x000a_- Substancias y productos químicos_x000a_- Productos de minerales no metálicos_x000a_- Productos metálicos, maquinaria y equipo_x000a_- Productos manufacturados diversos_x000a_"/>
    <s v="Sumatoria del Valor bruto de producción (VBP) de las MyPES de la Industria Manufacturera sin considerar productos de refinación del petróleo y minerales metálicos. "/>
    <s v="Cuentas Nacionales"/>
    <s v="VBP a precios corrientes"/>
    <s v="Cuentas Nacionales"/>
    <s v="Serie disponible actualizada desde 1990 hasta 2016"/>
    <s v="Dato Preliminar del año 2016 y 2017."/>
    <n v="1"/>
    <s v="060917911"/>
    <s v="CN"/>
    <s v="Cuentas Nacionales"/>
    <s v="Datos Agregados"/>
    <s v="Anual"/>
    <s v="1990-2016(p)"/>
    <s v="Nacional"/>
    <s v="Departamental"/>
    <s v="Oferta y demanda total por componente; Oferta y demanda final por componente; Producto interno bruto por actividad económica; Producto interno bruto por tipo de gasto; Valor bruto de producción por actividad económica; Valor agregado bruto por actividad económica y Formación bruta de capital fijo"/>
    <s v="INE en 2018 realizará una  la encuesta anual a la industria para las mediana y grandes"/>
    <s v="Instituto Nacional de Estadística - INE"/>
    <s v="Dirección de Cuentas Nacionales - DCN"/>
    <s v="Unidad de Sintesis Macroeconómica de Coyuntura - USMC"/>
    <s v="(591 )2222333"/>
    <n v="2015"/>
    <n v="2473"/>
    <n v="3644"/>
    <m/>
    <n v="1171"/>
    <n v="5"/>
    <n v="2707.2"/>
    <n v="2713"/>
    <n v="240"/>
    <n v="0.20495303159692571"/>
    <n v="2941.4"/>
    <m/>
    <n v="-2473"/>
    <n v="-2.1118701964133217"/>
    <n v="3175.6"/>
    <m/>
    <n v="-2473"/>
    <n v="-2.1118701964133217"/>
    <n v="3409.8"/>
    <m/>
    <n v="-2473"/>
    <n v="-2.1118701964133217"/>
    <n v="3644"/>
    <m/>
    <n v="-2473"/>
    <n v="-2.1118701964133217"/>
    <m/>
    <m/>
    <m/>
    <m/>
    <m/>
  </r>
  <r>
    <x v="5"/>
    <s v="20-04-2018"/>
    <x v="1"/>
    <s v="Soberanía productiva con diversificación desarrollo integral sin la dictadura del mercado capitalista"/>
    <s v="0609"/>
    <s v="Democratización de los medios y factores de producción con énfasis en el sector micro empresarial y comunitario."/>
    <n v="5"/>
    <s v="6.9.5"/>
    <n v="183"/>
    <s v="6.9.183"/>
    <s v="0609183"/>
    <s v="Se ha incrementado en PyMEs hasta:• 30% el acceso a financiamiento• 20% el acceso a formación• 20% acceso a tecnología."/>
    <m/>
    <m/>
    <s v="Producto"/>
    <m/>
    <m/>
    <m/>
    <m/>
    <m/>
    <m/>
    <m/>
    <m/>
    <m/>
    <n v="1"/>
    <n v="0"/>
    <s v="Etapa 1"/>
    <m/>
    <s v="9.3"/>
    <s v="Aumentar el acceso de las pequeñas industrias y otras empresas, particularmente en los países en desarrollo, a los servicios financieros, incluidos créditos asequibles, y su integración en las cadenas de valor y los mercados"/>
    <s v="9.3.2"/>
    <s v="9.3.2 Porcentaje de las industrias a pequeña escala que han obtenido un préstamo o una línea de crédito"/>
    <x v="2"/>
    <m/>
    <n v="1"/>
    <s v="06091831"/>
    <x v="64"/>
    <s v="Producto"/>
    <s v="Eficacia: Miden nivel de cumplimiento de los objetivos_x000a_Calidad:  Evalúan atributos respecto a normas, referenias externas o satisfacción de los beneficiarios (usuarios)"/>
    <s v="Nacional y departamental"/>
    <s v="Porcentaje"/>
    <s v="Saldo de cartera de créditos de las  PyMEs (Persona natural y Jurídica)"/>
    <s v="((Saldo de cartera de creditos de las PyMEs del Año - Saldo de cartera de creditos de las PyMEs del Año Base-2015)/Saldo de cartera de creditos de las PyMEs del Año Base-2015))x100"/>
    <s v="Es el saldo de cartera de créditos  de las PyMEs del año respecto al saldo de cartera de créditos de las PyMEs del año base (2015)."/>
    <s v="ASFI"/>
    <s v="Saldo de cartera de créditos de las PyMEs del año base (2015)."/>
    <s v="ASFI"/>
    <s v="2013-2017"/>
    <s v="* Las PyMEs son la Media Empresa en la clasificación de ASFI._x000a__x000a_- No se cuenta con información del acceso a formación y acceso a tecnología."/>
    <n v="1"/>
    <s v="060918311"/>
    <m/>
    <s v="Saldo de cartera de créditos empresariales"/>
    <s v="Registro administrativo"/>
    <s v="Mensual_x000a_Anual"/>
    <s v="2013-2017"/>
    <s v="Nacional"/>
    <s v="Departamental"/>
    <s v="Saldo de cartera de créditos empresariales:_x000a__x000a_• Gran empresa_x000a_• Mediana empresa_x000a_• Pequeña empresa_x000a_• Microempresa_x000a_"/>
    <m/>
    <m/>
    <m/>
    <m/>
    <m/>
    <n v="2015"/>
    <n v="0.22470000000000001"/>
    <n v="0.3"/>
    <m/>
    <n v="7.5299999999999978E-2"/>
    <n v="5"/>
    <n v="0.23976"/>
    <n v="0.15540000000000001"/>
    <n v="-6.93E-2"/>
    <n v="-0.92031872509960189"/>
    <n v="0.25481999999999999"/>
    <n v="0.26319999999999999"/>
    <n v="3.8499999999999979E-2"/>
    <n v="0.51128818061088965"/>
    <n v="0.26988000000000001"/>
    <m/>
    <n v="-0.22470000000000001"/>
    <n v="-2.9840637450199212"/>
    <n v="0.28493999999999997"/>
    <m/>
    <n v="-0.22470000000000001"/>
    <n v="-2.9840637450199212"/>
    <n v="0.3"/>
    <m/>
    <n v="-0.22470000000000001"/>
    <n v="-2.9840637450199212"/>
    <m/>
    <m/>
    <m/>
    <m/>
    <m/>
  </r>
  <r>
    <x v="5"/>
    <s v="20-04-2018"/>
    <x v="1"/>
    <s v="Soberanía productiva con diversificación desarrollo integral sin la dictadura del mercado capitalista"/>
    <s v="0609"/>
    <s v="Democratización de los medios y factores de producción con énfasis en el sector micro empresarial y comunitario."/>
    <n v="6"/>
    <s v="6.9.6"/>
    <n v="184"/>
    <s v="6.9.184"/>
    <s v="0609184"/>
    <s v="Se ha incrementado en MyPEs hasta:• 35% el acceso a financiamiento• 15% el acceso a formación• 10% acceso a tecnología."/>
    <m/>
    <m/>
    <s v="Producto"/>
    <m/>
    <m/>
    <m/>
    <m/>
    <m/>
    <m/>
    <m/>
    <m/>
    <m/>
    <n v="1"/>
    <n v="0"/>
    <s v="Etapa 1"/>
    <m/>
    <s v="9.3"/>
    <s v="Aumentar el acceso de las pequeñas industrias y otras empresas, particularmente en los países en desarrollo, a los servicios financieros, incluidos créditos asequibles, y su integración en las cadenas de valor y los mercados"/>
    <s v="9.3.2"/>
    <s v="9.3.2 Porcentaje de las industrias a pequeña escala que han obtenido un préstamo o una línea de crédito"/>
    <x v="2"/>
    <m/>
    <n v="1"/>
    <s v="06091841"/>
    <x v="65"/>
    <s v="Producto"/>
    <s v="Eficacia: Miden nivel de cumplimiento de los objetivos_x000a_Calidad:  Evalúan atributos respecto a normas, referenias externas o satisfacción de los beneficiarios (usuarios)"/>
    <s v="Nacional y departamental"/>
    <s v="Porcentaje"/>
    <s v="Saldo de cartera de créditos de las  MyPEs (Persona natural y Jurídica)"/>
    <s v="((Saldo de cartera de creditos de las MyPEs del Año - Saldo de cartera de creditos de las MyPEs del Año Base-2015)/Saldo de cartera de creditos de las MyPEs del Año Base-2015))x100"/>
    <s v="Es el saldo de cartera de créditos  de las MyPEs del año respecto al saldo de cartera de créditos de las MyPEs del año base (2015)."/>
    <s v="ASFI"/>
    <s v="Saldo de cartera de créditos de las MyPEs del año base (2015)."/>
    <s v="ASFI"/>
    <s v="2013-2017"/>
    <s v="* Las MyPEs son la Media Empresa en la clasificación de ASFI._x000a__x000a_- No se cuenta con información del acceso a formación y acceso a tecnología."/>
    <n v="1"/>
    <s v="060918411"/>
    <m/>
    <s v="Saldo de cartera de créditos empresariales"/>
    <s v="Registro administrativo"/>
    <s v="Mensual_x000a_Anual"/>
    <s v="2013-2017"/>
    <s v="Nacional"/>
    <s v="Departamental"/>
    <s v="Saldo de cartera de créditos empresariales:_x000a__x000a_• Gran empresa_x000a_• Mediana empresa_x000a_• Pequeña empresa_x000a_• Microempresa_x000a_"/>
    <m/>
    <m/>
    <m/>
    <m/>
    <m/>
    <n v="2015"/>
    <n v="9.35E-2"/>
    <n v="0.35"/>
    <m/>
    <n v="0.25649999999999995"/>
    <n v="5"/>
    <n v="0.14479999999999998"/>
    <n v="0.16839999999999999"/>
    <n v="7.4899999999999994E-2"/>
    <n v="0.29200779727095522"/>
    <n v="0.1961"/>
    <n v="0.25519999999999998"/>
    <n v="0.16169999999999998"/>
    <n v="0.63040935672514631"/>
    <n v="0.24739999999999998"/>
    <m/>
    <n v="-9.35E-2"/>
    <n v="-0.36452241715399619"/>
    <n v="0.29869999999999997"/>
    <m/>
    <n v="-9.35E-2"/>
    <n v="-0.36452241715399619"/>
    <n v="0.35"/>
    <m/>
    <n v="-9.35E-2"/>
    <n v="-0.36452241715399619"/>
    <m/>
    <m/>
    <m/>
    <m/>
    <m/>
  </r>
  <r>
    <x v="5"/>
    <s v="20-04-2018"/>
    <x v="1"/>
    <s v="Soberanía productiva con diversificación desarrollo integral sin la dictadura del mercado capitalista"/>
    <s v="06012"/>
    <s v="Aprovechamiento de los beneficios de los tratados comerciales, con promoción a la exportación de los productos elaborados en el país."/>
    <n v="1"/>
    <s v="6.12.1"/>
    <n v="189"/>
    <s v="6.12.189"/>
    <s v="06012189"/>
    <s v="Se ha incrementado al 28% la participación del valor de las exportaciones de la industria manufacturera en el total exportado."/>
    <m/>
    <m/>
    <s v="Producto"/>
    <m/>
    <m/>
    <m/>
    <m/>
    <m/>
    <m/>
    <m/>
    <m/>
    <m/>
    <n v="1"/>
    <n v="0"/>
    <s v="Etapa 2"/>
    <m/>
    <s v="17.11"/>
    <s v="Aumentar significativamente las exportaciones de los países en desarrollo, en particular con miras a duplicar la participación de los países menos adelantados en las exportaciones mundiales de aquí a 2020"/>
    <s v="17.11.1"/>
    <s v="Participación de los países en desarrollo y los países menos adelantados en las exportaciones mundiales"/>
    <x v="0"/>
    <m/>
    <n v="1"/>
    <s v="060121891"/>
    <x v="66"/>
    <s v="Producto"/>
    <m/>
    <s v="Por producto_x000a_Por país destino_x000a_Por valor"/>
    <s v="Porcentaje"/>
    <s v="Exportaciones de la industria manufacturera (sin incluir minerales metálico y refinados el petróleo) en relación al total de las exportaciones."/>
    <s v="((Valor de las exportaciones de la Industria Manifacturera*) / (Valor de las exportaciones totales))x100  _x000a__x000a_* No se incluye productos metalicos y refinados el petroleo."/>
    <s v="Valor de las exportaciones de la Industria Manifacturera*_x000a__x000a_* No se incluye productos metalicos y refinados el petroleo."/>
    <s v="INE -En base a registros de la Aduana Nacional"/>
    <s v="Valor de las exportaciones totales"/>
    <s v="INE -En base a registros de la Aduana Nacional"/>
    <s v="1992-2018"/>
    <s v="Para este indicador se utiliza la clasificación por actividad económica"/>
    <n v="1"/>
    <s v="0601218911"/>
    <s v="SIDUNEA _x000a_SUMA"/>
    <s v="Registros de Exportaciones de la Aduana Nacional declarados en:_x000a_Sistema Aduanero Automatizado – SIDUNEA_x000a_Sistema Único de Modernización Aduanera - SUMA_x000a_"/>
    <s v="Registros Administrativos"/>
    <s v="Mensual"/>
    <s v="1992 - 2018"/>
    <s v="Nacional"/>
    <s v="Nacional _x000a_Departamental"/>
    <s v="Volumen y Valor de las Exportaciones Nacionales, País Destino, Clasificadores Internacionales y Nacionales de Exportaciones"/>
    <s v="Las Exportaciones son Nacionales (No incluye reexportaciones ni efectos personales)._x000a_Datos Preliminares para los periodos 2016-2017._x000a_"/>
    <s v="Instituto Nacional de Estadística - INE "/>
    <s v="Dirección de Estadísticas e Indicadores Económicos y Sociales - DEIES "/>
    <s v="Unidad de Estadísticas e Indicadores Económicos "/>
    <s v="Telf. 2222333 Int. 485"/>
    <n v="2015"/>
    <n v="0.157"/>
    <n v="0.28000000000000003"/>
    <m/>
    <n v="0.12300000000000003"/>
    <n v="5"/>
    <n v="0.18160000000000001"/>
    <n v="0.19500000000000001"/>
    <n v="3.8000000000000006E-2"/>
    <n v="0.30894308943089427"/>
    <n v="0.20619999999999999"/>
    <n v="0.13239999999999999"/>
    <n v="-2.4600000000000011E-2"/>
    <n v="-0.20000000000000004"/>
    <n v="0.23080000000000001"/>
    <m/>
    <n v="-0.157"/>
    <n v="-1.276422764227642"/>
    <n v="0.25540000000000002"/>
    <m/>
    <n v="-0.157"/>
    <n v="-1.276422764227642"/>
    <n v="0.28000000000000003"/>
    <m/>
    <n v="-0.157"/>
    <n v="-1.276422764227642"/>
    <m/>
    <m/>
    <m/>
    <m/>
    <m/>
  </r>
  <r>
    <x v="5"/>
    <s v="20-04-2018"/>
    <x v="1"/>
    <s v="Soberanía productiva con diversificación desarrollo integral sin la dictadura del mercado capitalista"/>
    <s v="06012"/>
    <s v="Aprovechamiento de los beneficios de los tratados comerciales, con promoción a la exportación de los productos elaborados en el país."/>
    <n v="3"/>
    <s v="6.12.3"/>
    <n v="191"/>
    <s v="6.12.191"/>
    <s v="06012191"/>
    <s v="Se han alcanzado 800 mil TM de volumen de exportación de productos agropecuarios."/>
    <m/>
    <m/>
    <s v="Producto"/>
    <m/>
    <m/>
    <m/>
    <m/>
    <m/>
    <m/>
    <m/>
    <m/>
    <m/>
    <n v="1"/>
    <n v="0"/>
    <s v="Etapa 2"/>
    <m/>
    <s v="17.11"/>
    <s v="Aumentar significativamente las exportaciones de los países en desarrollo, en particular con miras a duplicar la participación de los países menos adelantados en las exportaciones mundiales de aquí a 2020"/>
    <s v="17.11.1"/>
    <s v="Participación de los países en desarrollo y los países menos adelantados en las exportaciones mundiales"/>
    <x v="0"/>
    <m/>
    <n v="1"/>
    <s v="060121911"/>
    <x v="67"/>
    <s v="Producto"/>
    <s v="Por producto, por país destino, por valor"/>
    <s v="Por producto_x000a_Por país destino_x000a_Por valor"/>
    <s v="Miles de Toneladas"/>
    <s v="Volumen de la exportaciones en miles de toneladas brutas de productos agropecuarios"/>
    <s v="Sumatoria del volumen de las exportaciones de productos agropecuarios (En miles de toneladas brutas)"/>
    <s v="Sumatoria del volumen de las exportaciones de productos agropecuarios (En miles de toneladas brutas)"/>
    <s v="INE -En base a registros de la Aduana Nacional"/>
    <m/>
    <m/>
    <s v="1992-2018"/>
    <s v="Para este indicador se utiliza la clasificación por actividad económica"/>
    <n v="1"/>
    <s v="0601219111"/>
    <s v="SIDUNEA _x000a_SUMA"/>
    <s v="Registros de Exportaciones de la Aduana Nacional declarados en:_x000a_Sistema Aduanero Automatizado – SIDUNEA_x000a_Sistema Único de Modernización Aduanera - SUMA_x000a_"/>
    <s v="Registros Administrativos"/>
    <s v="Mensual"/>
    <s v="1992 - 2018"/>
    <s v="Nacional"/>
    <s v="Nacional _x000a_Departamental"/>
    <s v="Volumen y Valor de las Exportaciones Nacionales, País Destino, Clasificadores Internacionales y Nacionales de Exportaciones"/>
    <s v="Las Exportaciones son Nacionales (No incluye reexportaciones ni efectos personales)._x000a_Datos Preliminares para los periodos 2016-2017._x000a_"/>
    <s v="Instituto Nacional de Estadística - INE "/>
    <s v="Dirección de Estadísticas e Indicadores Económicos y Sociales - DEIES "/>
    <s v="Unidad de Estadísticas e Indicadores Económicos "/>
    <s v="Telf. 2222333 Int. 485"/>
    <n v="2015"/>
    <n v="387"/>
    <n v="800"/>
    <m/>
    <n v="413"/>
    <n v="5"/>
    <n v="469.6"/>
    <n v="381"/>
    <n v="-6"/>
    <n v="-1.4527845036319613E-2"/>
    <n v="552.20000000000005"/>
    <n v="235"/>
    <n v="-152"/>
    <n v="-0.36803874092009686"/>
    <n v="634.79999999999995"/>
    <m/>
    <n v="-387"/>
    <n v="-0.93704600484261502"/>
    <n v="717.4"/>
    <m/>
    <n v="-387"/>
    <n v="-0.93704600484261502"/>
    <n v="800"/>
    <m/>
    <n v="-387"/>
    <n v="-0.93704600484261502"/>
    <m/>
    <m/>
    <m/>
    <m/>
    <m/>
  </r>
  <r>
    <x v="6"/>
    <m/>
    <x v="4"/>
    <s v="Integración complementaria de los pueblos con soberanía "/>
    <s v="1001"/>
    <s v="Acuerdos Internacionales para resolver la crisis climática que incorporan la posición boliviana sobre el cambio climático."/>
    <n v="1"/>
    <m/>
    <m/>
    <m/>
    <s v="1001278"/>
    <s v="Se ha promovido activamente la incorporación de los principios de equidad y responsabilidades comunes pero diferenciadas, el fortalecimiento de medios de implementación, mecanismos no basados en el mercado, justicia climática y mecanismos de cumplimiento internacional, en las decisiones y resoluciones de la Convención Marco de Naciones Unidas sobre Cambio Climático (CMNUCC)."/>
    <s v="Inegración de los pueblos"/>
    <s v="Acuerdos Internacionales"/>
    <s v="Proceso"/>
    <s v="Política e Institucional"/>
    <s v="Acuerdos Internacionales"/>
    <m/>
    <m/>
    <s v="PC"/>
    <m/>
    <m/>
    <m/>
    <n v="100"/>
    <n v="0"/>
    <n v="1"/>
    <s v="Etapa 1"/>
    <m/>
    <m/>
    <m/>
    <m/>
    <m/>
    <x v="1"/>
    <m/>
    <n v="1"/>
    <s v="10012781"/>
    <x v="68"/>
    <s v="Proceso"/>
    <m/>
    <s v="Número"/>
    <s v="Número de estrategias anuales elaboradas conjuntamente con la APMT, MRE y VMA, a fin de negociar la posición país en la Convención Marco de Naciones Unidas sobre Cambio Climático (CMNUCC), promoviendo la incorporación de los principios de equidad y responsabilidades comunes pero diferenciadas, el fortalecimiento de medios de implementación, mecanismos no basados en el mercado, justicia climática y mecanismos de cumplimiento internacional._x000a__x000a_* Elaboración de Estrategia de negociación.- son acciones que se llevan a cabo con el fin de cumplir los objetivos propuestos que muchas veces son plamados o descritos en documentos."/>
    <s v="Suma del número de estrategias de negociación elaboradas e implementadas en el proceso de negociacion de la Convención Marco de Naciones Unidas sobre Cambio Climático (CMNUCC)."/>
    <s v="Número de estrategias de negociación elaboradas e implementadas"/>
    <s v="MRE"/>
    <m/>
    <m/>
    <m/>
    <m/>
    <m/>
    <m/>
    <m/>
    <s v="MRE"/>
    <s v="Archivo del MRE"/>
    <s v="Registro administrativo"/>
    <s v="Anual"/>
    <s v="Anual"/>
    <s v="Nacional"/>
    <s v="Nacional"/>
    <s v="Decisiones_x000a_Resoluciones"/>
    <s v="El 2015 se elaboro una estrategia de negociación de incorporación del respeto a la protección de la integridad ambiental de la Madre Tierra y justicia climática en la Convención Marco de Naciones Unidas sobre Cambio Climático (CMNUCC) en decisiones de la COP 18 y en el Acuerdo de Paris._x000a__x000a_Del 2016 al 2020, se prevee elaborar 5 estrategias de negociación."/>
    <s v="Ministerio de Relaciones Exteriores (coordinando con la APMT y el VMA)"/>
    <s v="Viceministerio de Relaciones Exteriores"/>
    <s v="Dirección General de Relaciones Multilaterales"/>
    <n v="2408900"/>
    <n v="2015"/>
    <n v="1"/>
    <n v="5"/>
    <m/>
    <n v="4"/>
    <n v="5"/>
    <n v="1.8"/>
    <n v="1"/>
    <n v="0"/>
    <n v="0"/>
    <n v="2.6"/>
    <n v="2"/>
    <n v="1"/>
    <n v="0.25"/>
    <n v="3.4000000000000004"/>
    <m/>
    <n v="-1"/>
    <n v="-0.25"/>
    <n v="4.2"/>
    <m/>
    <n v="-1"/>
    <n v="-0.25"/>
    <n v="5"/>
    <m/>
    <n v="-1"/>
    <n v="-0.25"/>
    <m/>
    <m/>
    <m/>
    <m/>
    <m/>
  </r>
  <r>
    <x v="6"/>
    <m/>
    <x v="4"/>
    <s v="Integración complementaria de los pueblos con soberanía "/>
    <s v="1002"/>
    <s v="Reconocimiento Internacional de los Derechos de la Madre Tierra."/>
    <n v="1"/>
    <m/>
    <m/>
    <m/>
    <s v="1002279"/>
    <s v="Se ha conformado el grupo de trabajo sobre armonía con la naturaleza que trabaja la propuesta de Declaración de los Derechos de la Madre Tierra."/>
    <s v="Inegración de los pueblos"/>
    <s v="Acuerdos Internacionales"/>
    <s v="Producto"/>
    <s v="Política e Institucional"/>
    <s v="Acuerdos Internacionales"/>
    <m/>
    <m/>
    <s v="PD"/>
    <m/>
    <m/>
    <m/>
    <n v="50"/>
    <n v="0"/>
    <n v="1"/>
    <s v="Etapa 1"/>
    <m/>
    <m/>
    <m/>
    <m/>
    <m/>
    <x v="1"/>
    <m/>
    <n v="1"/>
    <s v="10022791"/>
    <x v="69"/>
    <s v="Proceso"/>
    <m/>
    <s v="Número"/>
    <s v="Número de reuniones para la conformación del Grupo de Trabajo sobre armonía con la naturaleza que trabaja la Declaracion de los Derechos de la Madre Tierra._x000a__x000a_*Este tipo de reuniones se desarrrolla en espacios internacionales de negociación  generados por NNUU, permitiendo a Bolivia intercambiar criterios con otros pais a fin de obtener apoyo en este caso particular la conformación del grupo de trabajo"/>
    <s v="Suma del número de reuniones para la conformación del Grupo de Trabajo   sobre armonía con la naturaleza que trabaja la Declaracion de los Derechos de la Madre Tierra"/>
    <s v="Número de reuniones para la conformación del Grupo de Trabajo sobre armonía con la naturaleza que trabaja la Declaracion de los Derechos de la Madre Tierra"/>
    <s v="MRE"/>
    <m/>
    <m/>
    <m/>
    <m/>
    <m/>
    <n v="1"/>
    <s v="100227911"/>
    <s v="MRE"/>
    <s v="Archivo del MRE"/>
    <s v="Registro administrativo"/>
    <s v="Anual"/>
    <s v="Anual"/>
    <s v="Nacional"/>
    <s v="Nacional"/>
    <s v="Decisiones_x000a_Resoluciones, Actas"/>
    <s v="El 2015, no se realizo ninguna renión en el marco de la conformacion del grupo de trabajo._x000a__x000a_Del 2016 al 2020 se pretende realizar 10  reniones en el marco de la conformacion del grupo de trabajo."/>
    <s v="Ministerio de Relaciones Exteriores"/>
    <s v="Viceministerio de Relaciones Exteriores"/>
    <s v="Dirección General de Relaciones Multilaterales"/>
    <n v="2408900"/>
    <n v="2015"/>
    <n v="0"/>
    <n v="10"/>
    <m/>
    <n v="10"/>
    <n v="5"/>
    <n v="2"/>
    <n v="2"/>
    <n v="2"/>
    <n v="0.2"/>
    <n v="4"/>
    <n v="2"/>
    <n v="2"/>
    <n v="0.2"/>
    <n v="6"/>
    <m/>
    <n v="0"/>
    <n v="0"/>
    <n v="8"/>
    <m/>
    <n v="0"/>
    <n v="0"/>
    <n v="10"/>
    <m/>
    <n v="0"/>
    <n v="0"/>
    <m/>
    <m/>
    <m/>
    <m/>
    <m/>
  </r>
  <r>
    <x v="6"/>
    <m/>
    <x v="4"/>
    <s v="Integración complementaria de los pueblos con soberanía "/>
    <s v="1002"/>
    <s v="Reconocimiento Internacional de los Derechos de la Madre Tierra."/>
    <n v="2"/>
    <m/>
    <m/>
    <m/>
    <s v="1002280"/>
    <s v="Se ha presentado la propuesta de Bolivia sobre la Declaración de los Derechos de la Madre Tierra al grupo de trabajo sobre Armonía con la naturaleza para su consideración en Naciones Unidas (NNUU)."/>
    <s v="Inegración de los pueblos"/>
    <s v="Acuerdos Internacionales"/>
    <s v="Producto"/>
    <s v="Política e Institucional"/>
    <s v="Acuerdos Internacionales"/>
    <m/>
    <m/>
    <s v="PD"/>
    <m/>
    <m/>
    <m/>
    <n v="50"/>
    <n v="0"/>
    <n v="1"/>
    <s v="Etapa 1"/>
    <m/>
    <m/>
    <m/>
    <m/>
    <m/>
    <x v="1"/>
    <m/>
    <n v="1"/>
    <s v="10022801"/>
    <x v="70"/>
    <s v="Producto"/>
    <m/>
    <s v="Número"/>
    <s v="Propuesta elaborada y presentada sobre  la Declaración de los Derechos de la Madre Tierra  en Naciones Unidas (NNUU)."/>
    <s v="Propuesta elaborada y presentada sobre  la Declaración de los Derechos de la Madre Tierra  en Naciones Unidas (NNUU)."/>
    <s v="Propuesta elaborada y presentada sobre  la Declaración de los Derechos de la Madre Tierra  en Naciones Unidas (NNUU)."/>
    <s v="MRE"/>
    <m/>
    <m/>
    <m/>
    <m/>
    <m/>
    <n v="1"/>
    <s v="100228011"/>
    <s v="MRE"/>
    <s v="Archivo del MRE"/>
    <s v="Registro administrativo"/>
    <s v="Anual"/>
    <s v="Anual"/>
    <s v="Nacional"/>
    <s v="Nacional"/>
    <s v="Propuesta elaborada y presentada"/>
    <s v="El 2009 Naciones Unidas Reconoció el concepto y termino de Madre Tierra._x000a__x000a_Al 2020 se presentara la propuesta de Bolivia sobre la Declaración de los Derechos de la Madre Tierra"/>
    <s v="Ministerio de Relaciones Exteriores"/>
    <s v="Viceministerio de Relaciones Exteriores"/>
    <s v="Dirección General de Relaciones Multilaterales"/>
    <n v="2408900"/>
    <n v="2015"/>
    <n v="0"/>
    <n v="1"/>
    <m/>
    <n v="1"/>
    <n v="5"/>
    <n v="0.2"/>
    <n v="0"/>
    <n v="0"/>
    <n v="0"/>
    <n v="0.4"/>
    <n v="0"/>
    <n v="0"/>
    <n v="0"/>
    <n v="0.60000000000000009"/>
    <m/>
    <n v="0"/>
    <n v="0"/>
    <n v="0.8"/>
    <m/>
    <n v="0"/>
    <n v="0"/>
    <n v="1"/>
    <m/>
    <n v="0"/>
    <n v="0"/>
    <m/>
    <m/>
    <m/>
    <m/>
    <m/>
  </r>
  <r>
    <x v="7"/>
    <m/>
    <x v="4"/>
    <s v="Integración complementaria de los pueblos con soberanía "/>
    <s v="1003"/>
    <s v="Construcción de mecanismos para el Desarrollo Integral y la Integración entre los Estados y sus Pueblos."/>
    <n v="1"/>
    <m/>
    <m/>
    <m/>
    <s v="1003281"/>
    <s v="Se han fortalecido los mecanismos de integración regional, en el marco de la soberanía de los pueblos, sin hegemonismos imperiales entre ellos, UNASUR, CELAC, MERCOSUR, CAN y otros correspondientes a la cooperación Sur - Sur."/>
    <s v="Inegración de los pueblos"/>
    <s v="Acuerdos Internacionales"/>
    <s v="Proceso"/>
    <s v="Política e Institucional"/>
    <s v="Acuerdos Internacionales"/>
    <m/>
    <m/>
    <s v="PC"/>
    <m/>
    <m/>
    <m/>
    <n v="16.666666666666668"/>
    <n v="0"/>
    <n v="1"/>
    <s v="Etapa 1"/>
    <m/>
    <m/>
    <m/>
    <m/>
    <m/>
    <x v="1"/>
    <m/>
    <n v="1"/>
    <s v="10032811"/>
    <x v="71"/>
    <s v="Proceso"/>
    <m/>
    <s v="Nacional"/>
    <s v="Número"/>
    <s v="- Se toma en cuenta los instrumentos internacionales celebrados en espacios de integracion: Decisiones, Resoluciones, Directivas, Declaraciones y otros instrumentos de carácter económico o comercial._x000a_- Celebración de Instrumentos Internacionales: es el acto a través del cual los sujetos de derecho internacional manifiestan su consentimiento en un documento."/>
    <s v="Suma del número de instrumentos internacionales celebrados en espacios de integracion, para facilitar el comercio exterior, entre 2016-2020"/>
    <s v="Número de instrumentos internacionales celebrados en espacios de integracion, como UNASUR, CAN, MERCOSUR Y ALADI, para facilitar el comercio exterior."/>
    <s v="MRE_x000a_"/>
    <m/>
    <m/>
    <s v="2015-2018"/>
    <m/>
    <n v="1"/>
    <s v="100328111"/>
    <s v="MRE"/>
    <s v="Archivo del MRE"/>
    <s v="Registro administrativo"/>
    <s v="Anual"/>
    <s v="Anual"/>
    <s v="Nacional"/>
    <s v="Nacional"/>
    <s v="Informes_x000a_Decisiones, Resoluciones, Directivas, Declaraciones y otros instrumentos de carácter económico o comercial."/>
    <s v="- El 2015 se celebraron 7 instrumentos internacionales: 4 corresponden a acuerdos firmados y/o ratificados. (Memorándum de Entendimiento de Aguas Profundas con la República de Uruguay, Declaración de la Isla de Esteves con Perú, Comunicado Conjunto con Paraguay y Ratificación por Brasil del Acuerdo de Concesión de un Depósito Franco a Bolivia en el Puerto de Paranaguá); y 3 corresponden a Decisiones para optimizar el comercio en países de la CAN, suscritas en la 115va Sesión Ordinaria de Comisión Económica._x000a__x000a_- Del 2016 al 2020 se tiene como objetivo que 25 instrumentos internacionales celebrados en el marco de la UNASUR, MERCOSUR y CAN  sean en beneficio del comercio boliviano."/>
    <s v="Ministerio de Relaciones Exteriores - MRE"/>
    <s v="Viceministerio de Comercio Exterior e Integracion - VCEI"/>
    <s v="Direccion General de Integracion y Cooperacion Economica - DGICE"/>
    <n v="2408900"/>
    <n v="2015"/>
    <n v="0"/>
    <n v="25"/>
    <m/>
    <n v="25"/>
    <n v="5"/>
    <n v="5"/>
    <n v="9"/>
    <n v="9"/>
    <n v="0.36"/>
    <n v="10"/>
    <n v="17"/>
    <n v="17"/>
    <n v="0.68"/>
    <n v="15"/>
    <m/>
    <n v="0"/>
    <n v="0"/>
    <n v="20"/>
    <m/>
    <n v="0"/>
    <n v="0"/>
    <n v="25"/>
    <m/>
    <n v="0"/>
    <n v="0"/>
    <m/>
    <m/>
    <m/>
    <m/>
    <m/>
  </r>
  <r>
    <x v="7"/>
    <m/>
    <x v="4"/>
    <s v="Integración complementaria de los pueblos con soberanía "/>
    <s v="1003"/>
    <s v="Construcción de mecanismos para el Desarrollo Integral y la Integración entre los Estados y sus Pueblos."/>
    <n v="1"/>
    <m/>
    <m/>
    <m/>
    <s v="1003281"/>
    <s v="Se han fortalecido los mecanismos de integración regional, en el marco de la soberanía de los pueblos, sin hegemonismos imperiales entre ellos, UNASUR, CELAC, MERCOSUR, CAN y otros correspondientes a la cooperación Sur - Sur."/>
    <s v="Inegración de los pueblos"/>
    <s v="Acuerdos Internacionales"/>
    <s v="Proceso"/>
    <s v="Política e Institucional"/>
    <s v="Acuerdos Internacionales"/>
    <m/>
    <m/>
    <m/>
    <m/>
    <m/>
    <m/>
    <m/>
    <n v="0"/>
    <n v="1"/>
    <s v="Etapa 1"/>
    <m/>
    <m/>
    <m/>
    <m/>
    <m/>
    <x v="1"/>
    <m/>
    <n v="2"/>
    <s v="10032812"/>
    <x v="72"/>
    <s v="Proceso"/>
    <m/>
    <s v="Nacional"/>
    <s v="Número"/>
    <s v="Propuestas elaboradas y  negociadas en espacios de UNASUR"/>
    <s v="Suma del número de propuestas elaboradas y negociadas en espacios de UNASUR, entre 2016-2020."/>
    <s v="Número de propuestas elaboradas y negociadas en espacios de UNASUR."/>
    <s v="MRE"/>
    <m/>
    <m/>
    <s v="2015-2018"/>
    <m/>
    <n v="1"/>
    <s v="100328121"/>
    <s v="MRE"/>
    <s v="Archivo del MRE"/>
    <s v="Registro administrativo"/>
    <s v="Anual"/>
    <s v="Anual"/>
    <s v="Nacional"/>
    <s v="Nacional"/>
    <s v="Informes de participación en UNASUR"/>
    <s v="- En el 2015, se elaboró una propuesta que fue negociada y considerada en el documento final de UNASUR._x000a__x000a_- Del 2016 al 2020 se elaborarán 5 propuestas para ser negociadas en el marco de la UNASUR, desde una visión de los pueblos, sin hegemonismo imperial._x000a__x000a_- En el primer trimestre de la gestion 2018 se reporto 1 propuesta negociada en el marco de la UNASUR."/>
    <s v="Ministerio de Relaciones Exteriores - MRE"/>
    <s v="Viceministerio de Relaciones Exteriores - VRE "/>
    <s v="Dirección General de Relaciones Multilaterales - DGRM"/>
    <n v="2408900"/>
    <n v="2015"/>
    <n v="0"/>
    <n v="5"/>
    <m/>
    <n v="5"/>
    <n v="5"/>
    <n v="1"/>
    <n v="1"/>
    <n v="1"/>
    <n v="0.2"/>
    <n v="2"/>
    <n v="2"/>
    <n v="2"/>
    <n v="0.4"/>
    <n v="3"/>
    <n v="3"/>
    <n v="3"/>
    <n v="0.6"/>
    <n v="4"/>
    <m/>
    <n v="0"/>
    <n v="0"/>
    <n v="5"/>
    <m/>
    <n v="0"/>
    <n v="0"/>
    <m/>
    <m/>
    <m/>
    <m/>
    <m/>
  </r>
  <r>
    <x v="7"/>
    <m/>
    <x v="4"/>
    <s v="Integración complementaria de los pueblos con soberanía "/>
    <s v="1003"/>
    <s v="Construcción de mecanismos para el Desarrollo Integral y la Integración entre los Estados y sus Pueblos."/>
    <n v="1"/>
    <m/>
    <m/>
    <m/>
    <s v="1003281"/>
    <s v="Se han fortalecido los mecanismos de integración regional, en el marco de la soberanía de los pueblos, sin hegemonismos imperiales entre ellos, UNASUR, CELAC, MERCOSUR, CAN y otros correspondientes a la cooperación Sur - Sur."/>
    <s v="Inegración de los pueblos"/>
    <s v="Acuerdos Internacionales"/>
    <s v="Proceso"/>
    <s v="Política e Institucional"/>
    <s v="Acuerdos Internacionales"/>
    <m/>
    <m/>
    <m/>
    <m/>
    <m/>
    <m/>
    <m/>
    <n v="0"/>
    <n v="1"/>
    <s v="Etapa 1"/>
    <m/>
    <n v="17"/>
    <s v="17.6. Mejorar la cooperación regional e internacional Norte-Sur, Sur-Sur y triangular en materia de ciencia, tecnología e innovación y el acceso a estas, y aumentar el intercambio de conocimientos en condiciones mutuamente convenidas, incluso mejorando la coordinación entre los mecanismos existentes, en particular a nivel de las Naciones Unidas, y mediante un mecanismo mundial de facilitación de tecnología."/>
    <s v="17.6.1. Número de acuerdos y programas de cooperación en materia de ciencia y tecnología celebrados entre países, desglosado por tipo de cooperación._x000a_"/>
    <s v="PROXY (Número de Estados o Repúblicas con programas de cooperación en materia de ciencia o tecnología, suscritos por los países, para el caso la cooperación Sur-Sur)"/>
    <x v="3"/>
    <m/>
    <n v="3"/>
    <s v="10032813"/>
    <x v="73"/>
    <s v="Proceso"/>
    <m/>
    <s v="Nacional"/>
    <s v="Porcentaje"/>
    <s v="Relacionamiento del Estado Plurinacional de Bolivia con países,  para el fortalecimiento de la cooperación Sur Sur  (Para PDES al 2020, se espera llegar a 9 países y para ODS al 2030, se espera llegar a 12 países)"/>
    <s v="(Número de Estados o Repúblicas con Programas de cooperación Sur-Sur suscritos/Meta PDES (ODS) del número de Estados o Repúblicas con Programas de cooperación Sur-Sur suscritos)*100"/>
    <s v="El numerador hace alusión al número de Países o Estados con los cuales Bolivia ha suscrito al menos un Programa de Cooperación Sur-Sur"/>
    <s v="Base de datos y Archivo del MPD-VIPFE en la Unidad de Negociación del Financiamiento"/>
    <s v="Meta del número de países con los cuales Bolivia suscribirá Programas  de cooperación Sur-Sur para el 2020 (PDES) y 2030 (ODS)"/>
    <s v="Base de datos y Archivo del MPD-VIPFE en la Unidad de Negociación del Financiamiento"/>
    <s v="2013-2018"/>
    <s v="Para la suscripción de cada Programa se requiere de forma previa la existencia de un Convenio Marco, y a partir del mismo se celebran Programas bienalmente, los mismos que contienen proyectos"/>
    <n v="1"/>
    <s v="100328131"/>
    <s v="MPD-VIPFE"/>
    <s v="Acta de Reuniones de Comisión Mixtas Celebradas y suscritas"/>
    <s v="Registros Adminsitrativos"/>
    <s v="Anual "/>
    <s v="2013-2018"/>
    <s v="Nacional"/>
    <s v="Nacional"/>
    <s v="- Número de Programas y Proyectos suscritos. _x000a_- Nombre y número de Estados o Repúblicas con los que se tienen Programas suscritos._x000a_- Sectores de los Proyectos de cooperación Sur Sur"/>
    <s v="- Para PDES al 2020, se espera llegar a 9 países con los que se tengan Programas de cooperación Sur-Sur suscritos._x000a__x000a_- Para los ODS al 2030, se espera llegar a 12 países con Programas de cooperación Sur-Sur suscritos."/>
    <s v="Ministerio de Planificación del Desarrollo - MPD"/>
    <s v="Viceministerio de Inversión Públicas y Financiamiento Externo - VIPFE"/>
    <s v="Unidad de Negociación del Financiamiento - UNF"/>
    <s v="2189000 Int. 901"/>
    <n v="2015"/>
    <n v="0.66666666666666663"/>
    <n v="1"/>
    <n v="1"/>
    <n v="0.33333333333333337"/>
    <n v="5"/>
    <n v="0.73333333333333328"/>
    <n v="0.77777777777777779"/>
    <n v="0.11111111111111116"/>
    <n v="0.33333333333333343"/>
    <n v="0.8"/>
    <n v="0.88888888888888884"/>
    <n v="0.22222222222222221"/>
    <n v="0.66666666666666652"/>
    <n v="0.8666666666666667"/>
    <m/>
    <n v="-0.66666666666666663"/>
    <n v="-1.9999999999999998"/>
    <n v="0.93333333333333335"/>
    <m/>
    <n v="-0.66666666666666663"/>
    <n v="-1.9999999999999998"/>
    <n v="1"/>
    <m/>
    <n v="-0.66666666666666663"/>
    <n v="-1.9999999999999998"/>
    <m/>
    <m/>
    <m/>
    <m/>
    <m/>
  </r>
  <r>
    <x v="7"/>
    <m/>
    <x v="4"/>
    <s v="Integración complementaria de los pueblos con soberanía "/>
    <s v="1003"/>
    <s v="Construcción de mecanismos para el Desarrollo Integral y la Integración entre los Estados y sus Pueblos."/>
    <n v="3"/>
    <m/>
    <m/>
    <m/>
    <s v="1003283"/>
    <s v="Se ha fortalecido el ALBA - TCP y la CELAC como un instrumento de liberación de los pueblos promoviendo su liderazgo político e ideológico en la región y entre los países del sur."/>
    <s v="Inegración de los pueblos"/>
    <s v="Acuerdos Internacionales"/>
    <s v="Proceso"/>
    <s v="Política e Institucional"/>
    <s v="Acuerdos Internacionales"/>
    <m/>
    <m/>
    <s v="PC"/>
    <m/>
    <m/>
    <m/>
    <n v="16.666666666666668"/>
    <n v="0"/>
    <n v="1"/>
    <s v="Etapa 1"/>
    <m/>
    <m/>
    <m/>
    <m/>
    <m/>
    <x v="1"/>
    <m/>
    <n v="1"/>
    <s v="10032831"/>
    <x v="74"/>
    <s v="Proceso"/>
    <m/>
    <s v="Nacional"/>
    <s v="Número"/>
    <s v="Número de reuniones asistidas en las diferentes instancias del ALBA-TCP"/>
    <s v="Suma del número de reuniones asistidas en las diferentes instancias del ALBA-TCP, entre 2016-2020"/>
    <s v="Número de reuniones asistidas en las diferentes instancias del ALBA-TCP"/>
    <s v="MRE"/>
    <m/>
    <m/>
    <s v="2015-2018"/>
    <m/>
    <n v="1"/>
    <s v="100328311"/>
    <s v="MRE"/>
    <s v="Documentos del MRE"/>
    <s v="Registro administrativo"/>
    <s v="Anual"/>
    <s v="Anual"/>
    <s v="Nacional"/>
    <s v="Nacional"/>
    <s v="Informes, Declaraciones, Pronunciamientos, Recomendaciones y otros instrumentos de carácter económico, comecial, social o político emanados de las diferentes instancias del ALBA-TCP y de reuniones de Alto Nivel"/>
    <s v="- En el año 2015 se participó en 2 reuniones en el marco del ALBA-TCP_x000a__x000a_- Para el periodo 2016-2020 se plantea concretar 12 participaciones en el marco del ALBA-TCP, lo que permite un mejor  posicionamiento  del país en este foro de integración._x000a__x000a_- En el primer trimestre de la gestión 2018 se reporto 2 participaciones en el marco del ALBA-TCP."/>
    <s v="Ministerio de Relaciones Exteriores - MRE"/>
    <s v="Viceministerio de Comercio Exterior e Integracion - VCEI"/>
    <s v="Direccion General de Integracion y Cooperacion Economica - DGICE"/>
    <n v="2408900"/>
    <n v="2015"/>
    <n v="0"/>
    <n v="12"/>
    <m/>
    <n v="12"/>
    <n v="5"/>
    <n v="2.4"/>
    <n v="2"/>
    <n v="2"/>
    <n v="0.16666666666666666"/>
    <n v="4.8"/>
    <n v="6"/>
    <n v="6"/>
    <n v="0.5"/>
    <n v="7.1999999999999993"/>
    <n v="8"/>
    <n v="8"/>
    <n v="0.66666666666666663"/>
    <n v="9.6"/>
    <m/>
    <n v="0"/>
    <n v="0"/>
    <n v="12"/>
    <m/>
    <n v="0"/>
    <n v="0"/>
    <m/>
    <m/>
    <m/>
    <m/>
    <m/>
  </r>
  <r>
    <x v="7"/>
    <m/>
    <x v="4"/>
    <s v="Integración complementaria de los pueblos con soberanía "/>
    <s v="1003"/>
    <s v="Construcción de mecanismos para el Desarrollo Integral y la Integración entre los Estados y sus Pueblos."/>
    <n v="3"/>
    <m/>
    <m/>
    <m/>
    <s v="1003283"/>
    <s v="Se ha fortalecido el ALBA - TCP y la CELAC como un instrumento de liberación de los pueblos promoviendo su liderazgo político e ideológico en la región y entre los países del sur."/>
    <s v="Inegración de los pueblos"/>
    <s v="Acuerdos Internacionales"/>
    <s v="Proceso"/>
    <s v="Política e Institucional"/>
    <s v="Acuerdos Internacionales"/>
    <m/>
    <m/>
    <m/>
    <m/>
    <m/>
    <m/>
    <m/>
    <n v="0"/>
    <n v="1"/>
    <s v="Etapa 1"/>
    <m/>
    <m/>
    <m/>
    <m/>
    <m/>
    <x v="1"/>
    <m/>
    <n v="2"/>
    <s v="10032832"/>
    <x v="75"/>
    <s v="Proceso"/>
    <m/>
    <s v="Nacional"/>
    <s v="Número"/>
    <s v="Se contabiliza el número de propuestas elaboaradas y negociadas en la CELAC con un enfoque de liberación de los pueblos, promoviendo su liderazgo político e ideológico en la Región "/>
    <s v="Suma del número de propuestas elaboradas y negociadas en la CELAC, entre 2016-2020"/>
    <s v="Número de propuestas elaboradas y negociadas en la CELAC con un enfoque de liberación de los pueblos, promoviendo su liderazgo político e ideológico en la Región"/>
    <s v="MRE"/>
    <m/>
    <m/>
    <s v="2015-2018"/>
    <m/>
    <n v="1"/>
    <s v="100328321"/>
    <s v="MRE"/>
    <s v="Archivo del MRE"/>
    <s v="Registro administrativo"/>
    <s v="Anual"/>
    <s v="Anual"/>
    <s v="Nacional"/>
    <s v="Nacional"/>
    <s v="Documentos elaborados que incorporan la propuesta boliviana de liberación de los pueblos"/>
    <s v="- En el año 2015, se elaboró una propuesta que fue negociada en el marco de la CELAC, de la cual resultó la incorporación de temas de la política Internacional boliviana, tanto en las Declaraciones Especiales, como en la Declaración de Belén y El Plan de Acción 2015 de la III Cumbre de la CELAC. _x000a__x000a_- Para el periodo 2016-2020 se pretende negociar 8 propuestas  en la CELAC con un enfoque de liberación de los pueblos promoviendo el liderazgo político e ideológico en la Región. _x000a__x000a_- En el primer trimestre de la gestión 2018  se negocio 1  propuestas  en la CELAC con un enfoque de liberación de los pueblos promoviendo el liderazgo político e ideológico en la Región. "/>
    <s v="Ministerio de Relaciones Exteriores - MRE"/>
    <s v="Viceministerio de Relaciones Exteriores -VCEI"/>
    <s v="Dirección General de Relaciones Multilaterales - DGRM"/>
    <n v="2408900"/>
    <n v="2015"/>
    <n v="0"/>
    <n v="8"/>
    <m/>
    <n v="8"/>
    <n v="5"/>
    <n v="1.6"/>
    <n v="1"/>
    <n v="1"/>
    <n v="0.125"/>
    <n v="3.2"/>
    <n v="4"/>
    <n v="4"/>
    <n v="0.5"/>
    <n v="4.8000000000000007"/>
    <n v="5"/>
    <n v="5"/>
    <n v="0.625"/>
    <n v="6.4"/>
    <m/>
    <n v="0"/>
    <n v="0"/>
    <n v="8"/>
    <m/>
    <n v="0"/>
    <n v="0"/>
    <m/>
    <m/>
    <m/>
    <m/>
    <m/>
  </r>
  <r>
    <x v="7"/>
    <m/>
    <x v="4"/>
    <s v="Integración complementaria de los pueblos con soberanía "/>
    <s v="1003"/>
    <s v="Construcción de mecanismos para el Desarrollo Integral y la Integración entre los Estados y sus Pueblos."/>
    <n v="4"/>
    <m/>
    <m/>
    <m/>
    <s v="1003284"/>
    <s v="Se ha incorporado un enfoque integral (comercial, social, inversiones, cooperación y participación de los pueblos) en los mecanismos de integración bajo los principios de complementariedad y solidaridad hacia una cultura de paz y respeto a la vida."/>
    <s v="Inegración de los pueblos"/>
    <s v="Acuerdos Internacionales"/>
    <s v="Proceso"/>
    <s v="Política e Institucional"/>
    <s v="Acuerdos Internacionales"/>
    <m/>
    <m/>
    <s v="PC"/>
    <m/>
    <m/>
    <m/>
    <n v="16.666666666666668"/>
    <n v="0"/>
    <n v="1"/>
    <s v="Etapa 1"/>
    <m/>
    <m/>
    <m/>
    <m/>
    <m/>
    <x v="1"/>
    <m/>
    <n v="1"/>
    <s v="10032841"/>
    <x v="76"/>
    <s v="Producto"/>
    <m/>
    <s v="Nacional"/>
    <s v="Porcentaje"/>
    <s v="Se mostrará el avance en la elaboración del Plan de Desarrollo Integral Fronterizo Bolivia - Perú, el cual tiene un  enfoque integral, para el desarrollo de las comunidades y fortalecimiento de comercio en la zona de integración fronteriza Perú – Bolivia, bajo los principios de complemetariedad y solidaridad. El mismo será presentado al MPD."/>
    <s v="(Número de actividades realizadas para elaborar el Plan de Desarrollo Integral Fronterizo Bolivia - Perú/Número de actividades programadas para elaborar el Plan de Desarrollo Integral Fronterizo Bolivia - Perú)*100"/>
    <s v="Número de actividades realizadas para elaborar el Plan de Desarrollo Integral Fronterizo Bolivia - Perú"/>
    <s v="MRE"/>
    <s v="Número de actividades programadas para elaborar el Plan de Desarrollo Integral Fronterizo Bolivia - Perú"/>
    <s v="MRE"/>
    <s v="2016-2018"/>
    <m/>
    <n v="1"/>
    <s v="100328411"/>
    <s v="MRE"/>
    <s v="Archivo del MRE"/>
    <s v="Registro administrativo"/>
    <s v="Anual"/>
    <s v="Anual"/>
    <s v="Nacional"/>
    <s v="Nacional"/>
    <s v="Informes de avance del Plan de Desarrollo Integral Fronterizo Bolivia - Perú"/>
    <s v="- Al 2015 se cuenta 1 Plan de integración del desarrollo del sector amazónico de la zona de integración fronteriza Perú- Bolivia negociado._x000a__x000a_'- Hasta el 2018 se remitirá al MPD, 1 Plan de integración del desarrollo del sector amazónico de la zona de integración fronteriza Perú- Bolivia, el mismo se encuentra en proceso de elaboración."/>
    <s v="Ministerio de Relaciones Exteriores - MRE"/>
    <s v="Viceministerio de Comercio Exterior e Integracion - VCEI"/>
    <s v="Direccion General de Integracion y Cooperacion Economica - DGICE"/>
    <n v="2408900"/>
    <n v="2015"/>
    <n v="0"/>
    <n v="1"/>
    <m/>
    <n v="1"/>
    <n v="5"/>
    <n v="0.33333333333333331"/>
    <n v="0.2"/>
    <n v="0.2"/>
    <n v="0.2"/>
    <n v="0.66666666666666663"/>
    <n v="0.5"/>
    <n v="0.5"/>
    <n v="0.5"/>
    <n v="1"/>
    <m/>
    <n v="0"/>
    <n v="0"/>
    <m/>
    <m/>
    <m/>
    <m/>
    <m/>
    <m/>
    <m/>
    <m/>
    <m/>
    <m/>
    <m/>
    <m/>
    <m/>
  </r>
  <r>
    <x v="7"/>
    <m/>
    <x v="4"/>
    <s v="Integración complementaria de los pueblos con soberanía "/>
    <s v="1004"/>
    <s v="Fortalecimiento de los procesos de Integración Multilateral y profundización del Relacionamiento Bilateral."/>
    <n v="1"/>
    <m/>
    <m/>
    <m/>
    <s v="1004285"/>
    <s v="Se ha fortalecido nuestra diplomacia de los pueblos y nuestro país es un ejemplo en políticas sociales, económicas y ambientales anticapitalistas, antiimperialistas y anticolonialistas; Bolivia difunde y exporta sus políticas liberadoras y de soberanía de los pueblos en el mundo, en los organismos internacionales y a través de Naciones Unidas."/>
    <s v="Inegración de los pueblos"/>
    <s v="Acuerdos Internacionales"/>
    <s v="Proceso"/>
    <s v="Política e Institucional"/>
    <s v="Acuerdos Internacionales"/>
    <m/>
    <m/>
    <s v="PC"/>
    <m/>
    <m/>
    <m/>
    <n v="10"/>
    <n v="0"/>
    <n v="1"/>
    <s v="Etapa 1"/>
    <m/>
    <m/>
    <m/>
    <m/>
    <m/>
    <x v="1"/>
    <m/>
    <n v="1"/>
    <s v="10042851"/>
    <x v="77"/>
    <s v="Proceso"/>
    <m/>
    <s v="Nacional"/>
    <s v="Número"/>
    <s v="El indicador mostrará las participaciones de las organizaciones sociales en los organimos internacionales (OEA, UNASUR, MERCOSUR, CELAC, ALBA-TCP o NNUU), como muestra de las politicas liberadoras y soberania de nuestros pueblos"/>
    <s v="Suma del número de participaciones de organizaciones sociales que garantizan la representacion boliviana  en los organimos internacionales, entre 2016-2020 "/>
    <s v="Número de participaciones de organizaciones sociales en los organimos internacionales (OEA, UNASUR, MERCOSUR, CELAC, ALBA-TCP o NNUU)."/>
    <s v="MRE"/>
    <m/>
    <m/>
    <s v="2015-2018"/>
    <m/>
    <n v="1"/>
    <s v="100428511"/>
    <s v="MRE"/>
    <s v="Archivo del MRE"/>
    <s v="Registro administrativo"/>
    <s v="Anual"/>
    <s v="Anual"/>
    <s v="Nacional"/>
    <s v="Nacional"/>
    <s v="Informes sobre las participaciones de organizaciones sociales en distintos espacios como OEA, CAN, MERCOSUR, CELAC, ALBA-TCP o NNUU"/>
    <s v="- El 2015 se participó en 4 espacios internacionales  (ONU, OEA, UNASUR y MERCOSUR) con los delegados de las organizaciones indígena originaria campesinas y de comunidades interculturales de Bolivia._x000a__x000a_- Entre 2016 y 2020 se concretarán 16 participaciones de organizaciones sociales ante: OEA, UNASUR, MERCOSUR, CELAC,  ALBA-TCP o NNUU._x000a__x000a_- En el primer trimestre de la gestion 2018 se reporto 1 participación de organizaciones sociales ante NNUU."/>
    <s v="Ministerio de Relaciones Exteriores - MRE"/>
    <s v="Viceministerio de Relaciones Exteriores - VRE "/>
    <s v="Dirección General de Relaciones Multilaterales - DGRM"/>
    <n v="2408900"/>
    <n v="2015"/>
    <n v="0"/>
    <n v="16"/>
    <m/>
    <n v="16"/>
    <n v="5"/>
    <n v="3.2"/>
    <n v="5"/>
    <n v="5"/>
    <n v="0.3125"/>
    <n v="6.4"/>
    <n v="10"/>
    <n v="10"/>
    <n v="0.625"/>
    <n v="9.6000000000000014"/>
    <n v="11"/>
    <n v="11"/>
    <n v="0.6875"/>
    <n v="12.8"/>
    <m/>
    <n v="0"/>
    <n v="0"/>
    <n v="16"/>
    <m/>
    <n v="0"/>
    <n v="0"/>
    <m/>
    <m/>
    <m/>
    <m/>
    <m/>
  </r>
  <r>
    <x v="7"/>
    <m/>
    <x v="4"/>
    <s v="Integración complementaria de los pueblos con soberanía "/>
    <s v="1004"/>
    <s v="Fortalecimiento de los procesos de Integración Multilateral y profundización del Relacionamiento Bilateral."/>
    <n v="2"/>
    <m/>
    <m/>
    <m/>
    <s v="1004286"/>
    <s v="Se ha participado activamente en la institucionalización y planes de acción de ALADI,  ALBA - TCP, UNASUR, CELAC, CAN y MERCOSUR."/>
    <s v="Inegración de los pueblos"/>
    <s v="Acuerdos Internacionales"/>
    <s v="Proceso"/>
    <s v="Política e Institucional"/>
    <s v="Acuerdos Internacionales"/>
    <m/>
    <m/>
    <s v="PC"/>
    <m/>
    <m/>
    <m/>
    <n v="10"/>
    <n v="0"/>
    <n v="1"/>
    <s v="Etapa 1"/>
    <m/>
    <m/>
    <m/>
    <m/>
    <m/>
    <x v="1"/>
    <m/>
    <n v="1"/>
    <s v="10042861"/>
    <x v="78"/>
    <s v="Proceso"/>
    <m/>
    <s v="Nacional"/>
    <s v="Número "/>
    <s v="Participación en los diferentes espacios de integración (ALADI, ALBA - TCP, UNASUR, CELAC, CAN y MERCOSUR) que contribuyen a fortalecimiento institucional"/>
    <s v="Suma del número de participaciones realizadas en la ALADI, ALBA-TCP, UNASUR, CELAC, CAN y MERCOSUR, a fin de contribuir a su  fortalecimiento institucional, entre 2016-2020"/>
    <s v="Número de participaciones realizadas en la ALADI, ALBA-TCP, UNASUR, CELAC, CAN y MERCOSUR, a fin de contribuir a su fortalecimiento institucional."/>
    <s v="MRE"/>
    <m/>
    <m/>
    <m/>
    <m/>
    <n v="1"/>
    <s v="100428611"/>
    <s v="MRE"/>
    <s v="Archivo del MRE"/>
    <s v="Registro administrativo"/>
    <s v="Anual"/>
    <s v="Anual"/>
    <s v="Nacional"/>
    <s v="Nacional"/>
    <s v="Informes de participación en ALADI, ALBA-TCP, UNASUR, CELAC, CAN y MERCOSUR"/>
    <s v="- El 2015 se participó en 49 reuniones: _x000a_- ALADI-1 _x000a_- ALBA-TCP-2_x000a_- UNASUR-20_x000a_- CELAC-20_x000a_- CAN-1_x000a_- MERCOSUR-5_x000a__x000a_- Entre 2016 y 2020 se tiene la meta de participar en 110 reuniones en los siguientes espacios:_x000a_- ALADI_x000a_- ALBA-TCP_x000a_- UNASUR_x000a_- CELAC_x000a_- CAN_x000a_- MERCOSUR_x000a__x000a_- En el año 2017 hubo participación extraordinaria en la ALADI, debido a la realizacion de la Expo ALADI 2017 en la ciudad de Santa Cruz de la Sierra lo cual se refleja en un avance parcial al 2017 de 46 participaciones en reuniones de organiosmo internacionales."/>
    <s v="Ministerio de Relaciones Exteriores - MRE"/>
    <s v="Viceministerio de Comercio Exterior e Integracion - VCEI"/>
    <s v="Direccion General de Integracion y Cooperacion Economica - DGICE"/>
    <n v="2408900"/>
    <n v="2015"/>
    <n v="0"/>
    <n v="110"/>
    <m/>
    <n v="110"/>
    <n v="5"/>
    <n v="22"/>
    <n v="11"/>
    <n v="11"/>
    <n v="0.1"/>
    <n v="44"/>
    <n v="46"/>
    <n v="46"/>
    <n v="0.41818181818181815"/>
    <n v="66"/>
    <m/>
    <n v="0"/>
    <n v="0"/>
    <n v="88"/>
    <m/>
    <n v="0"/>
    <n v="0"/>
    <n v="110"/>
    <m/>
    <n v="0"/>
    <n v="0"/>
    <m/>
    <m/>
    <m/>
    <m/>
    <m/>
  </r>
  <r>
    <x v="7"/>
    <m/>
    <x v="4"/>
    <s v="Integración complementaria de los pueblos con soberanía "/>
    <s v="1004"/>
    <s v="Fortalecimiento de los procesos de Integración Multilateral y profundización del Relacionamiento Bilateral."/>
    <n v="3"/>
    <m/>
    <m/>
    <m/>
    <s v="1004287"/>
    <s v="Se han incluido en Resoluciones de NNUU y la OEA propuestas de Bolivia relativas a la cultura de la vida, de paz y elementos del modelo civilizatorio del Vivir Bien."/>
    <s v="Inegración de los pueblos"/>
    <s v="Acuerdos Internacionales"/>
    <s v="Proceso"/>
    <s v="Política e Institucional"/>
    <s v="Acuerdos Internacionales"/>
    <m/>
    <m/>
    <s v="PC"/>
    <m/>
    <m/>
    <m/>
    <n v="10"/>
    <n v="0"/>
    <n v="1"/>
    <s v="Etapa 1"/>
    <m/>
    <m/>
    <m/>
    <m/>
    <m/>
    <x v="1"/>
    <m/>
    <n v="1"/>
    <s v="10042871"/>
    <x v="79"/>
    <s v="Proceso"/>
    <m/>
    <s v="Nacional"/>
    <s v="Número "/>
    <s v="Se presentarán las propuestas a ser negociadas en las resoluciones de NNUU y OEA relativas a la cultura de la vida, de paz y elementos del modelo civilizatorio del Vivir Bien"/>
    <s v="Suma del número de propuestas elaboradas y negociadas en las resoluciones de NNUU y OEA, entre 2016-2020"/>
    <s v="Suma del número de propuestas elaboradas y negociadas en las resoluciones de NNUU y OEA"/>
    <s v="MRE"/>
    <m/>
    <m/>
    <m/>
    <m/>
    <n v="1"/>
    <s v="100428711"/>
    <s v="MRE"/>
    <s v="Archivo del MRE"/>
    <s v="Registro administrativo"/>
    <s v="Anual"/>
    <s v="Anual"/>
    <s v="Nacional"/>
    <s v="Nacional"/>
    <s v="Propuestas elaboradas para su negociación en NNUU y OEA _x000a_"/>
    <s v="- En el 2015 se elaboraron 9 Propuestas que fueron negociadas en NNUU y la OEA._x000a__x000a_- Para el periodo 2016-2020 se tiene la meta de elaborar y negociar 14 Propuestas en NNUU y la OEA._x000a__x000a_- En el primer trimestre de la gestión 2018 se reporto 1 una propuesta negociada en e marco de NNUU."/>
    <s v="Ministerio de Relaciones Exteriores - MRE"/>
    <s v="Viceministerio de Relaciones Exteriores - VRE "/>
    <s v="Dirección General de Relaciones Multilaterales - DGRM"/>
    <n v="2408900"/>
    <n v="2015"/>
    <n v="0"/>
    <n v="14"/>
    <m/>
    <n v="14"/>
    <n v="5"/>
    <n v="2.8"/>
    <n v="4"/>
    <n v="4"/>
    <n v="0.2857142857142857"/>
    <n v="5.6"/>
    <n v="7"/>
    <n v="7"/>
    <n v="0.5"/>
    <n v="8.3999999999999986"/>
    <n v="8"/>
    <n v="8"/>
    <n v="0.5714285714285714"/>
    <n v="11.2"/>
    <m/>
    <n v="0"/>
    <n v="0"/>
    <n v="14"/>
    <m/>
    <n v="0"/>
    <n v="0"/>
    <m/>
    <m/>
    <m/>
    <m/>
    <m/>
  </r>
  <r>
    <x v="7"/>
    <m/>
    <x v="4"/>
    <s v="Integración complementaria de los pueblos con soberanía "/>
    <s v="1004"/>
    <s v="Fortalecimiento de los procesos de Integración Multilateral y profundización del Relacionamiento Bilateral."/>
    <n v="4"/>
    <m/>
    <m/>
    <m/>
    <s v="1004288"/>
    <s v="Se han ampliado y fortalecido las relaciones bilaterales con los Estados y pueblos del Mundo en el marco de la soberanía y la autodeterminación de los pueblos."/>
    <s v="Inegración de los pueblos"/>
    <s v="Acuerdos Internacionales"/>
    <s v="Proceso"/>
    <s v="Política e Institucional"/>
    <s v="Acuerdos Internacionales"/>
    <m/>
    <m/>
    <s v="PC"/>
    <m/>
    <m/>
    <m/>
    <n v="10"/>
    <n v="0"/>
    <n v="1"/>
    <s v="Etapa 1"/>
    <m/>
    <n v="17"/>
    <m/>
    <m/>
    <m/>
    <x v="1"/>
    <m/>
    <n v="1"/>
    <s v="10042881"/>
    <x v="80"/>
    <s v="Proceso"/>
    <m/>
    <s v="Nacional"/>
    <s v="Número "/>
    <s v="Número de Visitas oficiales de Alto Nivel de carácter Bilateral que se realizan una vez que ambos paises deciden concertar un encuentro a nivel de Mandatarios de Estados o Ministros de Relaciones Exteriores de dos paises"/>
    <s v="Suma del número de Visitas oficiales de Alto Nivel realizadas entre 2016 - 2020"/>
    <s v="Número de Visitas oficiales de Alto Nivel de carácter Bilateral"/>
    <s v="MRE"/>
    <m/>
    <m/>
    <s v="2015-2018"/>
    <m/>
    <n v="1"/>
    <s v="100428811"/>
    <s v="MRE"/>
    <s v="Informes del MRE"/>
    <s v="Registro administrativo"/>
    <s v="Anual"/>
    <s v="Anual"/>
    <s v="Nacional"/>
    <s v="Nacional"/>
    <s v="Informes de las Visitas de Alto Nivel oficiales"/>
    <s v="- En el 2015 se coordinaron 11 visitas Oficiales de Alto Nivel de carácter Bilateral entre las más destacables: el Encuentro de Movimientos Sociales con el Papa Francisco en Santa Cruz y el Encuentro Presidencial y Primer Gabinete Binacional de Ministros Perú-Bolivia._x000a__x000a_- Para el periodo 2016-2020 se realizarán 63 Visitas Oficiales,  las cuales permiten dinamizar los temas más importantes y estratégicos de la Agenda Bilateral con los diferentes países del mundo._x000a__x000a_- En el primer trimestre de la gestión 2018 se reporto 3  Visitas oficiales de Alto Nivel. "/>
    <s v="Ministerio de Relaciones Exteriores - MRE"/>
    <s v="Viceministerio de Relaciones Exteriores - VRE "/>
    <s v="Direccion General de Relaciones Bilaterales - DGRB"/>
    <n v="2408900"/>
    <n v="2015"/>
    <n v="0"/>
    <n v="63"/>
    <m/>
    <n v="63"/>
    <n v="5"/>
    <n v="12.6"/>
    <n v="27"/>
    <n v="27"/>
    <n v="0.42857142857142855"/>
    <n v="25.2"/>
    <n v="39"/>
    <n v="39"/>
    <n v="0.61904761904761907"/>
    <n v="37.799999999999997"/>
    <n v="42"/>
    <n v="42"/>
    <n v="0.66666666666666663"/>
    <n v="50.4"/>
    <m/>
    <n v="0"/>
    <n v="0"/>
    <n v="63"/>
    <m/>
    <n v="0"/>
    <n v="0"/>
    <m/>
    <m/>
    <m/>
    <m/>
    <m/>
  </r>
  <r>
    <x v="7"/>
    <m/>
    <x v="4"/>
    <s v="Integración complementaria de los pueblos con soberanía "/>
    <s v="1004"/>
    <s v="Fortalecimiento de los procesos de Integración Multilateral y profundización del Relacionamiento Bilateral."/>
    <n v="4"/>
    <m/>
    <m/>
    <m/>
    <s v="1004288"/>
    <s v="Se han ampliado y fortalecido las relaciones bilaterales con los Estados y pueblos del Mundo en el marco de la soberanía y la autodeterminación de los pueblos."/>
    <s v="Inegración de los pueblos"/>
    <s v="Acuerdos Internacionales"/>
    <s v="Proceso"/>
    <s v="Política e Institucional"/>
    <s v="Acuerdos Internacionales"/>
    <m/>
    <m/>
    <m/>
    <m/>
    <m/>
    <m/>
    <m/>
    <n v="0"/>
    <n v="1"/>
    <s v="Etapa 1"/>
    <m/>
    <m/>
    <m/>
    <m/>
    <m/>
    <x v="1"/>
    <m/>
    <n v="2"/>
    <s v="10042882"/>
    <x v="81"/>
    <s v="Proceso"/>
    <m/>
    <s v="Nacional"/>
    <s v="Número "/>
    <s v="Número de Instrumentos Internacionales en el marco de la Ley de Celebración de Tratados (Ley 401), como ser: Memorandum de entendimiento, Actas, Acuerdos, Convenios y Tratados"/>
    <s v="Suma de los Instrumentos Internacionales suscritos en el marco de la Ley de Celebración de Tratados, entre 2016-2020"/>
    <s v="Número de instrumentos internacionales suscritos en el marco de la Ley de Celebración de Tratados "/>
    <s v="MRE"/>
    <m/>
    <m/>
    <s v="2015-2018"/>
    <m/>
    <n v="1"/>
    <s v="100428821"/>
    <s v="MRE"/>
    <s v="Archivos de Tratados del MRE"/>
    <s v="Registro administrativo"/>
    <s v="Anual"/>
    <s v="Anual"/>
    <s v="Nacional"/>
    <s v="Nacional"/>
    <s v="Instrumentos Internacionales suscritos de carácter político, económico - comercial, social y cultural."/>
    <s v="- En el 2015 se suscribieron 23 acuerdos bilaterales firmados en las áreas estratégicas para el Estado Plurinacional._x000a_ _x000a_- Entre 2016-2020 se suscribirán 120 Instrumentos Internacionales bilaterales en el marco del cumplimiento de la normativa de la Ley 401. Los mismos permitirán concretar acciones y compromisos entre Bolivia y otros países, fortaleciendo las relaciones bilaterales y posicionando temas políticos, económico - comerciales, sociales y culturales._x000a__x000a_- En el Primer trimestre de la gestión 2018 se reportó 3 instrumentos internacionales suscritos."/>
    <s v="Ministerio de Relaciones Exteriores - MRE"/>
    <s v="Viceministerio de Relaciones Exteriores - VRE "/>
    <s v="Direccion General de Relaciones Bilaterales - DGRB"/>
    <n v="2408900"/>
    <n v="2015"/>
    <n v="0"/>
    <n v="120"/>
    <m/>
    <n v="120"/>
    <n v="5"/>
    <n v="24"/>
    <n v="47"/>
    <n v="47"/>
    <n v="0.39166666666666666"/>
    <n v="48"/>
    <n v="84"/>
    <n v="84"/>
    <n v="0.7"/>
    <n v="72"/>
    <n v="87"/>
    <n v="87"/>
    <n v="0.72499999999999998"/>
    <n v="96"/>
    <m/>
    <n v="0"/>
    <n v="0"/>
    <n v="120"/>
    <m/>
    <n v="0"/>
    <n v="0"/>
    <m/>
    <m/>
    <m/>
    <m/>
    <m/>
  </r>
  <r>
    <x v="7"/>
    <m/>
    <x v="4"/>
    <s v="Integración complementaria de los pueblos con soberanía "/>
    <s v="1004"/>
    <s v="Fortalecimiento de los procesos de Integración Multilateral y profundización del Relacionamiento Bilateral."/>
    <n v="4"/>
    <m/>
    <m/>
    <m/>
    <s v="1004288"/>
    <s v="Se han ampliado y fortalecido las relaciones bilaterales con los Estados y pueblos del Mundo en el marco de la soberanía y la autodeterminación de los pueblos."/>
    <s v="Inegración de los pueblos"/>
    <s v="Acuerdos Internacionales"/>
    <s v="Proceso"/>
    <s v="Política e Institucional"/>
    <s v="Acuerdos Internacionales"/>
    <m/>
    <m/>
    <m/>
    <m/>
    <m/>
    <m/>
    <m/>
    <n v="0"/>
    <n v="1"/>
    <s v="Etapa 1"/>
    <m/>
    <m/>
    <m/>
    <m/>
    <m/>
    <x v="1"/>
    <m/>
    <n v="3"/>
    <s v="10042883"/>
    <x v="82"/>
    <s v="Proceso"/>
    <m/>
    <s v="Nacional"/>
    <s v="Número "/>
    <s v="La realización de mecanismos de diálogo bilateral permite trabajar los diferentes temas de la Agenda Bilateral, dar seguimiento y articular al trabajo de diferentes sectores, teniendo una periodicidad y estableciendo compromisos concretos para profundizar las relaciones bilaterales."/>
    <s v="Suma de reuniones de Mecanismos Bilaterales (Consultas Políticas, Comisiones Mixtas, Comisiones Bilaterales Sectoriales, Mecanismos de Cooperación, Comités de Fronteras y Gabinetes Binacionales Ministeriales), entre 2016-2020"/>
    <s v="Numero de reuniones de Mecanismos Bilaterales (Consultas Políticas, Comisiones Mixtas, Comisiones Bilaterales Sectoriales, Mecanismos de Cooperación, Comités de Fronteras y Gabinetes Binacionales Ministeriales)"/>
    <s v="MRE"/>
    <m/>
    <m/>
    <s v="2015-2018"/>
    <m/>
    <n v="1"/>
    <s v="100428831"/>
    <s v="MRE"/>
    <s v="Actas e Informes del MRE"/>
    <s v="Registro administrativo"/>
    <s v="Anual"/>
    <s v="Anual"/>
    <s v="Nacional"/>
    <s v="Nacional"/>
    <s v="políticos, económico - comerciales, sociales y culturales"/>
    <s v="- En 2015 se realizaron 16 Mecanismos Bilaterales sobre Diálogo Político, Temas Regionales, Cooperación, Seguridad y Defensa, Cooperación Económica._x000a__x000a_- Entre 2016-2020 se realizarán 78 Mecanismos Bilaterales sobre Diálogo Político, Temas Regionales, Cooperación, Seguridad y Defensa, Cooperación Económica._x000a__x000a_- En el primer trimestre de la gestion 2018 se reporto 2 mecanismos bilaterales."/>
    <s v="Ministerio de Relaciones Exteriores - MRE"/>
    <s v="Viceministerio de Relaciones Exteriores - VRE "/>
    <s v="Direccion General de Relaciones Bilaterales - DGRB"/>
    <n v="2408900"/>
    <n v="2015"/>
    <n v="0"/>
    <n v="78"/>
    <m/>
    <n v="78"/>
    <n v="5"/>
    <n v="15.6"/>
    <n v="12"/>
    <n v="12"/>
    <n v="0.15384615384615385"/>
    <n v="31.2"/>
    <n v="42"/>
    <n v="42"/>
    <n v="0.53846153846153844"/>
    <n v="46.8"/>
    <n v="44"/>
    <n v="44"/>
    <n v="0.5641025641025641"/>
    <n v="62.4"/>
    <m/>
    <n v="0"/>
    <n v="0"/>
    <n v="78"/>
    <m/>
    <n v="0"/>
    <n v="0"/>
    <m/>
    <m/>
    <m/>
    <m/>
    <m/>
  </r>
  <r>
    <x v="7"/>
    <m/>
    <x v="4"/>
    <s v="Integración complementaria de los pueblos con soberanía "/>
    <s v="1004"/>
    <s v="Fortalecimiento de los procesos de Integración Multilateral y profundización del Relacionamiento Bilateral."/>
    <n v="4"/>
    <m/>
    <m/>
    <m/>
    <s v="1004288"/>
    <s v="Se han ampliado y fortalecido las relaciones bilaterales con los Estados y pueblos del Mundo en el marco de la soberanía y la autodeterminación de los pueblos."/>
    <m/>
    <m/>
    <s v="Proceso"/>
    <m/>
    <m/>
    <m/>
    <m/>
    <m/>
    <m/>
    <m/>
    <m/>
    <m/>
    <m/>
    <m/>
    <s v="Etapa 1"/>
    <m/>
    <n v="17"/>
    <s v="17.6. Mejorar la cooperación regional e internacional Norte-Sur, Sur-Sur y triangular en materia de ciencia, tecnología e innovación y el acceso a estas, y aumentar el intercambio de conocimientos en condiciones mutuamente convenidas, incluso mejorando la coordinación entre los mecanismos existentes, en particular a nivel de las Naciones Unidas, y mediante un mecanismo mundial de facilitación de tecnología."/>
    <s v="17.6.1. Número de acuerdos y programas de cooperación en materia de ciencia y tecnología celebrados entre países, desglosado por tipo de cooperación._x000a_"/>
    <s v="PROXY (No se tiene el desgloce por tipo de cooperación)"/>
    <x v="4"/>
    <m/>
    <n v="4"/>
    <s v="10042884"/>
    <x v="83"/>
    <s v="Proceso"/>
    <m/>
    <s v="Nacional"/>
    <s v="Número"/>
    <s v="Número de instrumentos internacionales (Actas, Memorándums de Entendimiento, Acuerdos, Convenios o Tratados) suscritos en materia de ciencia y tecnología"/>
    <s v="Suma de instrumentos internacionales suscritos en materia de ciencia y tecnología, entre 2016-2030"/>
    <s v="Número de instrumentos internacionales suscritos en materia de ciencia y tecnología"/>
    <s v="MRE"/>
    <m/>
    <m/>
    <s v="2015-2018"/>
    <m/>
    <n v="1"/>
    <s v="100428841"/>
    <s v="MRE"/>
    <s v="Archivo del MRE"/>
    <s v="Registro administrativo"/>
    <s v="Anual"/>
    <s v="Anual"/>
    <s v="Nacional"/>
    <s v="Nacional"/>
    <s v="Actas, Memorándums de Entendimiento, Acuerdos, Convenios o Tratados suscritos en materia de ciencia y tecnología"/>
    <s v="- En el 2015 se suscribieron 12 instrumentos bilaterales en materia de ciencia y tecnologia."/>
    <s v="Ministerio de Relaciones Exteriores - MRE"/>
    <s v="Viceministerio de Relaciones Exteriores - VRE"/>
    <s v="Direccion General de Relaciones Bilaterales - DGRB"/>
    <n v="2408900"/>
    <n v="2015"/>
    <n v="12"/>
    <m/>
    <m/>
    <n v="-12"/>
    <n v="5"/>
    <n v="9.6"/>
    <n v="12"/>
    <n v="0"/>
    <n v="0"/>
    <n v="7.2"/>
    <n v="16"/>
    <n v="4"/>
    <n v="-0.33333333333333331"/>
    <n v="4.8000000000000007"/>
    <m/>
    <n v="-12"/>
    <n v="1"/>
    <n v="2.4000000000000004"/>
    <m/>
    <n v="-12"/>
    <n v="1"/>
    <n v="0"/>
    <m/>
    <n v="-12"/>
    <n v="1"/>
    <m/>
    <m/>
    <m/>
    <m/>
    <m/>
  </r>
  <r>
    <x v="7"/>
    <m/>
    <x v="4"/>
    <s v="Integración complementaria de los pueblos con soberanía "/>
    <s v="1004"/>
    <s v="Fortalecimiento de los procesos de Integración Multilateral y profundización del Relacionamiento Bilateral."/>
    <n v="5"/>
    <m/>
    <m/>
    <m/>
    <s v="1004289"/>
    <s v="Se ha promovido la apertura de nuevos mercados para la exportación de productos no tradicionales a través de las misiones diplomáticas en el exterior."/>
    <s v="Inegración de los pueblos"/>
    <s v="Acuerdos Internacionales"/>
    <s v="Proceso"/>
    <s v="Política e Institucional"/>
    <s v="Acuerdos Internacionales"/>
    <m/>
    <m/>
    <s v="PC"/>
    <m/>
    <m/>
    <m/>
    <n v="10"/>
    <n v="0"/>
    <n v="1"/>
    <s v="Etapa 1"/>
    <m/>
    <n v="17"/>
    <s v="17.10 Promover un sistema de comercio multilateral universal, basado en normas, abierto, no discriminatorio y equitativo en el marco de la Organización Mundial del Comercio, incluso mediante la conclusión de las negociaciones en el marco del Programa de Doha para el Desarrollo"/>
    <s v="17.10.1 Promedio arancelario ponderado en todo el mundo"/>
    <m/>
    <x v="0"/>
    <m/>
    <n v="1"/>
    <s v="10042891"/>
    <x v="84"/>
    <s v="Producto"/>
    <m/>
    <s v="Nacional"/>
    <s v="Número "/>
    <s v="Número de nuevos mercados de destino para exportación de productos"/>
    <s v="Suma de nuevos mercados aperturados, entre 2016-2020"/>
    <s v="Número de mercados aperturados"/>
    <s v="MRE"/>
    <m/>
    <m/>
    <s v="2015-2018"/>
    <m/>
    <n v="1"/>
    <s v="100428911"/>
    <s v="MRE"/>
    <s v="Archivo del MRE"/>
    <s v="Registro administrativo"/>
    <s v="Anual"/>
    <s v="Anual"/>
    <s v="Nacional"/>
    <s v="Nacional"/>
    <s v="Acuerdos negociados y renegociados para exportación"/>
    <s v="- El 2015 se aperturó un nuevo mercado Bolivia-Mexico (ENATEX- Empresa Pública Nacional Estratégica de Textiles)_x000a__x000a_- Del 2016 al 2020 se prevé aperturar 5 nuevos mercados que permiten la exportación de nuevos productos de Bolivia al exterior."/>
    <s v="Ministerio de Relaciones Exteriores - MRE"/>
    <s v="Viceministerio de Comercio Exterior e Integracion - VCEI"/>
    <s v="Dirección General de Acuerdos Comerciales e Inversión - DGACI"/>
    <n v="2408900"/>
    <n v="2015"/>
    <n v="0"/>
    <n v="5"/>
    <m/>
    <n v="5"/>
    <n v="5"/>
    <n v="1"/>
    <n v="0"/>
    <n v="0"/>
    <n v="0"/>
    <n v="2"/>
    <n v="1"/>
    <n v="1"/>
    <n v="0.2"/>
    <n v="3"/>
    <m/>
    <n v="0"/>
    <n v="0"/>
    <n v="4"/>
    <m/>
    <n v="0"/>
    <n v="0"/>
    <n v="5"/>
    <m/>
    <n v="0"/>
    <n v="0"/>
    <m/>
    <m/>
    <m/>
    <m/>
    <m/>
  </r>
  <r>
    <x v="7"/>
    <m/>
    <x v="4"/>
    <s v="Integración complementaria de los pueblos con soberanía "/>
    <s v="1004"/>
    <s v="Fortalecimiento de los procesos de Integración Multilateral y profundización del Relacionamiento Bilateral."/>
    <n v="5"/>
    <m/>
    <m/>
    <m/>
    <s v="1004289"/>
    <s v="Se ha promovido la apertura de nuevos mercados para la exportación de productos no tradicionales a través de las misiones diplomáticas en el exterior."/>
    <s v="Inegración de los pueblos"/>
    <s v="Acuerdos Internacionales"/>
    <s v="Proceso"/>
    <s v="Política e Institucional"/>
    <s v="Acuerdos Internacionales"/>
    <m/>
    <m/>
    <m/>
    <m/>
    <m/>
    <m/>
    <m/>
    <n v="0"/>
    <n v="1"/>
    <s v="Etapa 1"/>
    <m/>
    <n v="17"/>
    <s v="17.10 Promover un sistema de comercio multilateral universal, basado en normas, abierto, no discriminatorio y equitativo en el marco de la Organización Mundial del Comercio, incluso mediante la conclusión de las negociaciones en el marco del Programa de Doha para el Desarrollo"/>
    <s v="* 17.10.1 Promedio arancelario ponderado en todo el mundo_x000a_* ODM Porcentaje de las exportaciones libres de aranceles admitidas por países desarrollados"/>
    <s v="PROXY (Se contabiliza las exportaicones que salieron con destino a países desarrollados, para las que se emitió certificados de origen y además se cuenta con un Acuerdo Comercial con el país de destino)"/>
    <x v="0"/>
    <m/>
    <n v="2"/>
    <s v="10042892"/>
    <x v="85"/>
    <s v="Impacto"/>
    <m/>
    <s v="- Exportaciones totales_x000a_- Exportaciones con destino a países desarrollados"/>
    <s v="Porcentaje"/>
    <s v="Se refiere al porcentaje de las exportaciones (totales) que gozan de una preferencia arancelaria en un país desarrollado"/>
    <s v="(Exportaciones con Certificado de Origen y Acuerdo Comercial a países desarrollados/Exportaciones totales)*100  "/>
    <s v="Monto de exportaciones con emisiones de Certificados de Origen y Acuerdo Comercial que tuvieron como destino un país desarrollado"/>
    <s v="INE (En base a registros administrativos de AN)"/>
    <s v="Monto total de exportaciones"/>
    <s v="INE (En base a registros administrativos de AN)"/>
    <s v="2015-2017"/>
    <s v="La preferencia arancelaria se define como la emsión de los certificados de origen tipo ALADI,MERCOSURC, SGP (SISTEMA GENERAL DE PREFERENCIAS) y VENEZUELA"/>
    <n v="1"/>
    <s v="100428921"/>
    <s v="INE"/>
    <s v="Base de datos del INE"/>
    <s v="Registro administrativo"/>
    <s v="Anual"/>
    <s v="2015-2017"/>
    <s v="Nacional"/>
    <s v="Nacional"/>
    <s v="- Exportaciones con Certificados de Origen y cuyo país de destino tiene Acuerdo Comercial, por tanto goza de PAR_x000a_- Exportaciones totales"/>
    <s v="Cuando existen solicitudes de emisión  de certificado de origen y se tiene un Acuerdo Comercial con el país de destino, casi siempre se beneficia la exportación de la preferencia arancelaria en el país de destino."/>
    <s v="Instituto Nacional de Estadística - INE"/>
    <s v="Unidad de estadísticas e indicadores económicos - UEIE"/>
    <s v="Unidad de estadísticas e indicadores económicos - UEIE"/>
    <s v="2222333 Int. 485"/>
    <n v="2015"/>
    <n v="1.4880064148305944E-2"/>
    <m/>
    <m/>
    <n v="-1.4880064148305944E-2"/>
    <n v="5"/>
    <n v="1.1904051318644755E-2"/>
    <n v="1.7753473373196313E-2"/>
    <n v="2.8734092248903689E-3"/>
    <n v="-0.19310462617982052"/>
    <n v="8.9280384889835664E-3"/>
    <n v="1.9847511641813909E-2"/>
    <n v="4.9674474935079652E-3"/>
    <n v="-0.33383239776378892"/>
    <n v="5.9520256593223776E-3"/>
    <m/>
    <n v="-1.4880064148305944E-2"/>
    <n v="1"/>
    <n v="2.9760128296611888E-3"/>
    <m/>
    <n v="-1.4880064148305944E-2"/>
    <n v="1"/>
    <n v="0"/>
    <m/>
    <n v="-1.4880064148305944E-2"/>
    <n v="1"/>
    <m/>
    <m/>
    <m/>
    <m/>
    <m/>
  </r>
  <r>
    <x v="7"/>
    <m/>
    <x v="4"/>
    <s v="Integración complementaria de los pueblos con soberanía "/>
    <s v="1004"/>
    <s v="Fortalecimiento de los procesos de Integración Multilateral y profundización del Relacionamiento Bilateral."/>
    <n v="5"/>
    <m/>
    <m/>
    <m/>
    <s v="1004289"/>
    <s v="Se ha promovido la apertura de nuevos mercados para la exportación de productos no tradicionales a través de las misiones diplomáticas en el exterior."/>
    <s v="Disfrute y felicidad"/>
    <s v="Afectivo"/>
    <s v="Proceso"/>
    <s v="Cultural y Afectiva"/>
    <s v="Felicidad"/>
    <m/>
    <m/>
    <s v="PC"/>
    <m/>
    <m/>
    <m/>
    <n v="10"/>
    <n v="0"/>
    <n v="1"/>
    <s v="Etapa 1"/>
    <m/>
    <n v="17"/>
    <s v="17.10 Promover un sistema de comercio multilateral universal, basado en normas, abierto, no discriminatorio y equitativo en el marco de la Organización Mundial del Comercio, incluso mediante la conclusión de las negociaciones en el marco del Programa de Doha para el Desarrollo"/>
    <s v="* 17.10.1 Promedio arancelario ponderado en todo el mundo_x000a_* ODM Porcentaje de las exportaciones libres de aranceles admitidas por países desarrollados"/>
    <s v="PROXY (Se contabiliza las exportaicones que salieron con destino a países desarrollados, para las que se emitió certificados de origen y además se cuenta con un Acuerdo Comercial con el país de destino)"/>
    <x v="0"/>
    <m/>
    <n v="3"/>
    <s v="10042893"/>
    <x v="86"/>
    <s v="Impacto"/>
    <m/>
    <s v="- Exportaciones de productos no tradicionales_x000a_- Exportaciones con destino a países desarrollados"/>
    <s v="Porcentaje"/>
    <s v="Se refiere al porcentaje de las exportaciones (no tradicionales) que gozan de una preferencia arancelaria en un país desarrollado"/>
    <s v="(Exportaciones no tradicionales con Certificado de Origen y Acuerdo Comercial a países desarrollados/Exportaciones totales)*100  "/>
    <s v="Monto de exportaciones no tradicionales con emisiones de Certificados de Origen y Acuerdo Comercial que tuvieron como destino un país desarrollado"/>
    <s v="INE (En base a registros administrativos de AN)"/>
    <s v="Monto total de exportaciones"/>
    <s v="INE (En base a registros administrativos de AN)"/>
    <s v="2015-2017"/>
    <s v="La preferencia arancelaria se define como la emsión de los certificados de origen tipo ALADI,MERCOSURC, SGP (SISTEMA GENERAL DE PREFERENCIAS) y VENEZUELA"/>
    <n v="1"/>
    <s v="100428931"/>
    <s v="INE"/>
    <s v="Base de datos del INE"/>
    <s v="Registro administrativo"/>
    <s v="Anual"/>
    <s v="2015-2017"/>
    <s v="Nacional"/>
    <s v="Nacional"/>
    <s v="- Exportaciones no tradicionales con Certificados de Origen y cuyo país de destino tiene Acuerdo Comercial, por tanto goza de PAR_x000a_- Exportaciones totales"/>
    <s v="Cuando existen solicitudes de emisión  de certificado de origen y se tiene un Acuerdo Comercial con el país de destino, casi siempre se beneficia la exportación de la preferencia arancelaria en el país de destino."/>
    <s v="Instituto Nacional de Estadística - INE"/>
    <s v="Unidad de estadísticas e indicadores económicos - UEIE"/>
    <s v="Unidad de estadísticas e indicadores económicos - UEIE"/>
    <s v="2222333 Int. 485"/>
    <n v="2015"/>
    <n v="1.4874522497442802E-2"/>
    <m/>
    <m/>
    <n v="-1.4874522497442802E-2"/>
    <n v="5"/>
    <n v="1.1899617997954241E-2"/>
    <n v="1.7342509912457792E-2"/>
    <n v="2.4679874150149907E-3"/>
    <n v="-0.16592044655142929"/>
    <n v="8.924713498465681E-3"/>
    <n v="1.53311901782401E-2"/>
    <n v="4.5666768079729789E-4"/>
    <n v="-3.0701333832787392E-2"/>
    <n v="5.9498089989771206E-3"/>
    <m/>
    <n v="-1.4874522497442802E-2"/>
    <n v="1"/>
    <n v="2.9749044994885603E-3"/>
    <m/>
    <n v="-1.4874522497442802E-2"/>
    <n v="1"/>
    <n v="0"/>
    <m/>
    <n v="-1.4874522497442802E-2"/>
    <n v="1"/>
    <m/>
    <m/>
    <m/>
    <m/>
    <m/>
  </r>
  <r>
    <x v="6"/>
    <m/>
    <x v="4"/>
    <s v="Integración complementaria de los pueblos con soberanía "/>
    <s v="1005"/>
    <s v="Promoción de una organización mundial de los pueblos y de la Madre Tierra sin hegemonías en el marco de la democracia de los pueblos."/>
    <n v="1"/>
    <m/>
    <m/>
    <m/>
    <s v="1005290"/>
    <s v="Se ha promovido la “Red Regional y Subregional de Solidaridad” con miras a la creación de la Organización Mundial de los Pueblos."/>
    <s v="Inegración de los pueblos"/>
    <s v="Acuerdos Internacionales"/>
    <s v="Proceso"/>
    <s v="Política e Institucional"/>
    <s v="Acuerdos Internacionales"/>
    <m/>
    <m/>
    <s v="PC"/>
    <m/>
    <m/>
    <m/>
    <n v="33.333333333333336"/>
    <n v="0"/>
    <n v="1"/>
    <s v="Etapa 1"/>
    <m/>
    <m/>
    <m/>
    <m/>
    <m/>
    <x v="1"/>
    <m/>
    <n v="1"/>
    <s v="10052901"/>
    <x v="87"/>
    <s v="Proceso"/>
    <m/>
    <s v="Número"/>
    <s v="Comites de Solidaridad  conformados._x000a__x000a_*Los comites de solidaridad, se conforman de manera bilateral, es decir que Bolivia realizara las gestiones necesarias con otros pais de a nivel regional o subregional que apoyen esta iniciativa a fin de crear una Red que aglutine a los comites conformados durante el periodo."/>
    <s v="Suma del número de  comites de solidaridad conformados."/>
    <s v="Número de redes de Solidaridad conformadas."/>
    <s v="MRE"/>
    <m/>
    <m/>
    <m/>
    <m/>
    <m/>
    <n v="1"/>
    <s v="100529011"/>
    <s v="Ministerio de Relaciones Exteriores"/>
    <s v="Acta"/>
    <s v="Registro "/>
    <s v="Anual"/>
    <s v="Anual"/>
    <s v="Nacional"/>
    <s v="Nacional"/>
    <s v="Comites internacionales"/>
    <s v="El 2015, no se cuenta con informacion._x000a__x000a_Desde el 2016-2020 se pretende conformar 8 comites de solidaridad_x000a_"/>
    <s v="Ministerio de Relaciones Exteriores"/>
    <s v="Viceministerio de Relaciones Multilaterales"/>
    <s v="Direccion General de Relaciones Multilaterales"/>
    <n v="2408900"/>
    <n v="2015"/>
    <n v="0"/>
    <n v="10"/>
    <m/>
    <n v="10"/>
    <n v="5"/>
    <n v="2"/>
    <n v="2"/>
    <n v="2"/>
    <n v="0.2"/>
    <n v="4"/>
    <n v="2"/>
    <n v="2"/>
    <n v="0.2"/>
    <n v="6"/>
    <m/>
    <n v="0"/>
    <n v="0"/>
    <n v="8"/>
    <m/>
    <n v="0"/>
    <n v="0"/>
    <n v="10"/>
    <m/>
    <n v="0"/>
    <n v="0"/>
    <m/>
    <m/>
    <m/>
    <m/>
    <m/>
  </r>
  <r>
    <x v="6"/>
    <m/>
    <x v="4"/>
    <s v="Integración complementaria de los pueblos con soberanía "/>
    <s v="1005"/>
    <s v="Promoción de una organización mundial de los pueblos y de la Madre Tierra sin hegemonías en el marco de la democracia de los pueblos."/>
    <n v="2"/>
    <m/>
    <m/>
    <m/>
    <s v="1005291"/>
    <s v="Se ha implementado progresivamente la Declaración de la Conferencia Mundial sobre los Pueblos Indígenas en 5 espacios multilaterales, regionales o subregionales."/>
    <s v="Inegración de los pueblos"/>
    <s v="Acuerdos Internacionales"/>
    <s v="Proceso"/>
    <s v="Política e Institucional"/>
    <s v="Acuerdos Internacionales"/>
    <m/>
    <m/>
    <s v="PC"/>
    <m/>
    <m/>
    <m/>
    <n v="33.333333333333336"/>
    <n v="0"/>
    <n v="1"/>
    <s v="Etapa 1"/>
    <m/>
    <m/>
    <m/>
    <m/>
    <m/>
    <x v="1"/>
    <m/>
    <n v="1"/>
    <s v="10052911"/>
    <x v="88"/>
    <s v="Proceso"/>
    <m/>
    <s v="Porcentaje"/>
    <s v="Espacios  que han implementado progresivamente la Declaración de la Conferencia Mundial sobre los Pueblos Indígenas"/>
    <s v="(Número de Espacios  que han implementado progresivamente la Declaración de la Conferencia Mundial sobre los Pueblos Indígenas/5)*100"/>
    <s v="Número de Espacios  que han implementado progresivamente la Declaración de la Conferencia Mundial sobre los Pueblos Indígenas"/>
    <s v="MRE"/>
    <n v="5"/>
    <m/>
    <m/>
    <m/>
    <m/>
    <n v="1"/>
    <s v="100529111"/>
    <s v="Ministerio de Relaciones Exteriores"/>
    <s v="Acta"/>
    <s v="Registro "/>
    <s v="Anual"/>
    <s v="Anual"/>
    <s v="Nacional"/>
    <s v="Nacional"/>
    <s v="Espacios Internacionales"/>
    <s v="El 2015, no se cuenta con informacion._x000a__x000a_Desde el 2016-2020 se prepente dar a conocer en 5 espacios multilateralesd las buenas practicas de Bolivia sobre la aplicación de la Declaración de las NNUU sobre los derechos de los pueblos indígenas_x000a_"/>
    <s v="Ministerio de Relaciones Exteriores"/>
    <s v="Viceministerio de Relaciones Exteriores"/>
    <s v="Direccion General de Relaciones Multilaterales"/>
    <n v="2408900"/>
    <n v="2015"/>
    <n v="0"/>
    <n v="5"/>
    <m/>
    <n v="5"/>
    <n v="5"/>
    <n v="1"/>
    <n v="1"/>
    <n v="1"/>
    <n v="0.2"/>
    <n v="2"/>
    <n v="1"/>
    <n v="1"/>
    <n v="0.2"/>
    <n v="3"/>
    <m/>
    <n v="0"/>
    <n v="0"/>
    <n v="4"/>
    <m/>
    <n v="0"/>
    <n v="0"/>
    <n v="5"/>
    <m/>
    <n v="0"/>
    <n v="0"/>
    <m/>
    <m/>
    <m/>
    <m/>
    <m/>
  </r>
  <r>
    <x v="6"/>
    <m/>
    <x v="4"/>
    <s v="Integración complementaria de los pueblos con soberanía "/>
    <s v="1005"/>
    <s v="Promoción de una organización mundial de los pueblos y de la Madre Tierra sin hegemonías en el marco de la democracia de los pueblos."/>
    <n v="3"/>
    <m/>
    <m/>
    <m/>
    <s v="1005292"/>
    <s v="Se ha realizado el Encuentro Internacional de Pueblos sobre la Madre Tierra y el Cambio Climático promoviendo soluciones a la crisis climática desde la perspectiva de las organizaciones sociales y del Vivir Bien."/>
    <s v="Inegración de los pueblos"/>
    <s v="Acuerdos Internacionales"/>
    <s v="Proceso"/>
    <s v="Política e Institucional"/>
    <s v="Acuerdos Internacionales"/>
    <m/>
    <m/>
    <s v="PC"/>
    <m/>
    <m/>
    <m/>
    <n v="33.333333333333336"/>
    <n v="0"/>
    <n v="1"/>
    <s v="Etapa 1"/>
    <m/>
    <m/>
    <m/>
    <m/>
    <m/>
    <x v="1"/>
    <m/>
    <n v="1"/>
    <s v="10052921"/>
    <x v="89"/>
    <s v="Producto"/>
    <m/>
    <s v="Número"/>
    <s v="Encuentro Internacional en el marco de la Diplomacia de los Pueblos que ratifica  el horizonte civilizatorio del Vivir Bien realizado"/>
    <s v="Encuentro Internacional en el marco de la Diplomacia de los Pueblos que ratifica  el horizonte civilizatorio del Vivir Bien."/>
    <s v="Encuentro Internacional en el marco de la Diplomacia de los Pueblos que ratifica  el horizonte civilizatorio del Vivir Bien."/>
    <s v="MRE"/>
    <m/>
    <m/>
    <m/>
    <m/>
    <m/>
    <n v="1"/>
    <s v="100529211"/>
    <s v="MRE"/>
    <s v="Archivo del MRE"/>
    <s v="Registro administrativo"/>
    <s v="Anual"/>
    <s v="Anual"/>
    <s v="Nacional"/>
    <s v="Nacional"/>
    <s v="Actas_x000a_Declaraciones"/>
    <s v="El 2015, se realizo el II Encuentro Internacional de Pueblos sobre la Madre Tierra y el Cambio Climático de la cual resulto  Declaraciones sobre la Madre Tierra y Cambio Climático, que promueven soluciones a la crisis climática desde los Pueblos y del Vivir Bien. "/>
    <s v="Ministerio de Relaciones Exteriores"/>
    <s v="Viceministerio de Relaciones Exteriores"/>
    <s v="Dirección General de Relaciones Multilaterales"/>
    <n v="2408900"/>
    <n v="2015"/>
    <n v="0"/>
    <n v="1"/>
    <m/>
    <n v="1"/>
    <n v="5"/>
    <n v="0.2"/>
    <n v="0"/>
    <n v="0"/>
    <n v="0"/>
    <n v="0.4"/>
    <n v="0"/>
    <n v="0"/>
    <n v="0"/>
    <n v="0.60000000000000009"/>
    <m/>
    <n v="0"/>
    <n v="0"/>
    <n v="0.8"/>
    <m/>
    <n v="0"/>
    <n v="0"/>
    <n v="1"/>
    <m/>
    <n v="0"/>
    <n v="0"/>
    <m/>
    <m/>
    <m/>
    <m/>
    <m/>
  </r>
  <r>
    <x v="6"/>
    <m/>
    <x v="4"/>
    <s v="Integración complementaria de los pueblos con soberanía "/>
    <s v="1006"/>
    <s v="Atención digna para los bolivianos y bolivianas en el exterior."/>
    <n v="1"/>
    <m/>
    <m/>
    <m/>
    <s v="1006293"/>
    <s v="Se ha consolidado la Red Consular Boliviana para la protección y asistencia de nuestros connacionales en el exterior."/>
    <s v="Inegración de los pueblos"/>
    <s v="Bolivianos en el exterior"/>
    <s v="Proceso"/>
    <s v="Política e Institucional"/>
    <s v="Justicia"/>
    <m/>
    <m/>
    <s v="PC"/>
    <m/>
    <m/>
    <m/>
    <n v="33.333333333333336"/>
    <n v="0"/>
    <n v="1"/>
    <s v="Etapa 1"/>
    <m/>
    <m/>
    <m/>
    <m/>
    <m/>
    <x v="1"/>
    <m/>
    <n v="1"/>
    <s v="10062931"/>
    <x v="90"/>
    <s v="Proceso"/>
    <m/>
    <s v="Cantidad"/>
    <s v="Número de sistemas integrados que conforman la Red Consular._x000a__x000a_* La Red consular hace referencia al conjunto de sistemas informaticos desarrollados y que estan integrados con otros sistema informaticos de otras instituciones del Estado."/>
    <s v="Suma del número de sistemas integrados que conforman la Red Consular."/>
    <s v="Número de sistemas integrados que conforman la Red Consular."/>
    <s v="MRE"/>
    <m/>
    <m/>
    <m/>
    <m/>
    <m/>
    <m/>
    <m/>
    <s v="Ministerio de Relaciones Exteriores"/>
    <s v="Documentos"/>
    <s v="Registro administrativo"/>
    <s v="Anual"/>
    <s v="Anual"/>
    <s v="Nacional"/>
    <s v="Nacional"/>
    <s v="Reportes de los sistemas integrados"/>
    <s v="El 2015, se desarrollaron 2 sistemas informaticos en el sistema colibri  para la protección y asistencia de nuestros connacionales en el exterior._x000a__x000a_Desde el 2016-2020 se prepente desarrollar 3 sistemas informaticos en el sistema colibri. "/>
    <s v="Ministerio de Relaciones Exteriores"/>
    <s v="Viceministerio de Gestion Institucional y Consular"/>
    <s v="Direccion General de Asuntos Consulares"/>
    <n v="2408900"/>
    <n v="2015"/>
    <n v="0"/>
    <n v="3"/>
    <m/>
    <n v="3"/>
    <n v="5"/>
    <n v="0.6"/>
    <n v="0"/>
    <n v="0"/>
    <n v="0"/>
    <n v="1.2"/>
    <n v="0"/>
    <n v="0"/>
    <n v="0"/>
    <n v="1.7999999999999998"/>
    <m/>
    <n v="0"/>
    <n v="0"/>
    <n v="2.4"/>
    <m/>
    <n v="0"/>
    <n v="0"/>
    <n v="3"/>
    <m/>
    <n v="0"/>
    <n v="0"/>
    <m/>
    <m/>
    <m/>
    <m/>
    <m/>
  </r>
  <r>
    <x v="6"/>
    <m/>
    <x v="4"/>
    <s v="Integración complementaria de los pueblos con soberanía "/>
    <s v="1006"/>
    <s v="Atención digna para los bolivianos y bolivianas en el exterior."/>
    <n v="2"/>
    <m/>
    <m/>
    <m/>
    <s v="1006294"/>
    <s v="Se ha ampliado la cobertura a los compatriotas en el exterior que son atendidos por el servicio consular, para la protección de sus derechos."/>
    <s v="Inegración de los pueblos"/>
    <s v="Bolivianos en el exterior"/>
    <s v="Proceso"/>
    <s v="Política e Institucional"/>
    <s v="Justicia"/>
    <m/>
    <m/>
    <s v="PC"/>
    <m/>
    <m/>
    <m/>
    <n v="33.333333333333336"/>
    <n v="0"/>
    <n v="1"/>
    <s v="Etapa 1"/>
    <m/>
    <m/>
    <m/>
    <m/>
    <m/>
    <x v="1"/>
    <m/>
    <n v="1"/>
    <s v="10062941"/>
    <x v="91"/>
    <s v="Impacto"/>
    <m/>
    <s v="Cantidad"/>
    <s v="Numero de  personas atendidas en los consulados y brigadas  moviles realizados"/>
    <s v="Número de peronas atendidas/ Numero de consulados  y brigadas moviles realizados"/>
    <s v="Número de personas atendidas"/>
    <s v="MRE"/>
    <s v="Numero de consulados moviles realizados"/>
    <s v="MRE"/>
    <m/>
    <m/>
    <m/>
    <n v="1"/>
    <s v="100629411"/>
    <s v="Ministerio de Relaciones Exteriores"/>
    <s v="Colibri"/>
    <s v="Sistema Colibri"/>
    <s v="Anual"/>
    <s v="Anual"/>
    <s v="Nacional"/>
    <s v="Nacional"/>
    <s v="Personas atendidas"/>
    <s v=" El 2015 se atendieron a 23.041 personas en los consulados y brigadas moviles"/>
    <s v="Ministerio de Relaciones Exteriores"/>
    <s v="Viceministerio de Gestion Institucional y Consular"/>
    <s v="Direccion General de Asuntos Consulares"/>
    <n v="2408900"/>
    <n v="2015"/>
    <n v="0"/>
    <n v="250000"/>
    <m/>
    <n v="250000"/>
    <n v="5"/>
    <n v="50000"/>
    <n v="53064"/>
    <n v="53064"/>
    <n v="0.212256"/>
    <n v="100000"/>
    <n v="117176"/>
    <n v="117176"/>
    <n v="0.46870400000000001"/>
    <n v="150000"/>
    <m/>
    <n v="0"/>
    <n v="0"/>
    <n v="200000"/>
    <m/>
    <n v="0"/>
    <n v="0"/>
    <n v="250000"/>
    <m/>
    <n v="0"/>
    <n v="0"/>
    <m/>
    <m/>
    <m/>
    <m/>
    <m/>
  </r>
  <r>
    <x v="6"/>
    <m/>
    <x v="4"/>
    <s v="Integración complementaria de los pueblos con soberanía "/>
    <s v="1006"/>
    <s v="Atención digna para los bolivianos y bolivianas en el exterior."/>
    <n v="3"/>
    <m/>
    <m/>
    <m/>
    <s v="1006295"/>
    <s v="Se ha fortalecido el servicio consular boliviano, para que se adecue a las necesidades de la comunidad boliviana en el exterior."/>
    <s v="Inegración de los pueblos"/>
    <s v="Bolivianos en el exterior"/>
    <s v="Proceso"/>
    <s v="Política e Institucional"/>
    <s v="Justicia"/>
    <m/>
    <m/>
    <s v="PC"/>
    <m/>
    <m/>
    <m/>
    <n v="33.333333333333336"/>
    <n v="0"/>
    <n v="1"/>
    <s v="Etapa 1"/>
    <m/>
    <m/>
    <m/>
    <m/>
    <m/>
    <x v="1"/>
    <m/>
    <n v="1"/>
    <s v="10062951"/>
    <x v="92"/>
    <s v="Producto"/>
    <m/>
    <s v="Cantidad"/>
    <s v="Numero de oficinas consulares aperturadas"/>
    <s v="Suma del número de oficinas consulares aperturadas."/>
    <s v="Numero de oficinas consulares aperturadas"/>
    <s v="MRE"/>
    <s v="Numero de oficinas consulares programadas para su apertura"/>
    <s v="MRE"/>
    <m/>
    <m/>
    <m/>
    <n v="1"/>
    <s v="100629511"/>
    <s v="Ministerio de Relaciones Exteriores"/>
    <s v="Documentos"/>
    <s v="Registro administrativo"/>
    <s v="quinquenal"/>
    <s v="quinquenal"/>
    <s v="Nacional"/>
    <s v="Nacional"/>
    <s v="Oficinas"/>
    <s v="Hasta el 2015,  Bolivia cuenta con 42 oficinas consulares en el exterior._x000a__x000a_Del 2016 al 2020 se pretende realizar la apertura de 3 oficinas consulares  a fin de fortalecer el servicio consular boliviano, adecuandonos a las necesidades de la comunidad boliviana en el exterior."/>
    <s v="Ministerio de Relaciones Exteriores"/>
    <s v="Viceministerio de Gestion Institucional y Consular"/>
    <s v="Direccion General de Asuntos Consulares"/>
    <n v="2408900"/>
    <n v="2015"/>
    <n v="42"/>
    <n v="46"/>
    <m/>
    <n v="4"/>
    <n v="5"/>
    <n v="42.8"/>
    <n v="43"/>
    <n v="1"/>
    <n v="0.25"/>
    <n v="43.6"/>
    <n v="43"/>
    <n v="1"/>
    <n v="0.25"/>
    <n v="44.4"/>
    <m/>
    <n v="-42"/>
    <n v="-10.5"/>
    <n v="45.2"/>
    <m/>
    <n v="-42"/>
    <n v="-10.5"/>
    <n v="46"/>
    <m/>
    <n v="-42"/>
    <n v="-10.5"/>
    <m/>
    <m/>
    <m/>
    <m/>
    <m/>
  </r>
  <r>
    <x v="8"/>
    <d v="2018-04-09T00:00:00"/>
    <x v="5"/>
    <s v="Salud, Educación y  Deporte para la formación de un ser humano integral "/>
    <s v="0301"/>
    <s v="Acceso universal al servicio de salud."/>
    <n v="78"/>
    <s v="3.1.3"/>
    <n v="78"/>
    <s v="3.1.78"/>
    <s v="0301078"/>
    <s v="La mayor parte de los municipios implementan el Programa MI SALUD."/>
    <s v="Salud, Educación, Deporte"/>
    <s v="Salud"/>
    <s v="Proceso"/>
    <s v="Social"/>
    <s v="Salud"/>
    <m/>
    <m/>
    <s v="PC"/>
    <m/>
    <m/>
    <m/>
    <e v="#DIV/0!"/>
    <n v="1"/>
    <n v="0"/>
    <s v="Etapa 1"/>
    <m/>
    <s v="3.8"/>
    <s v="3.8 Lograr la cobertura sanitaria universal, incluida la protección contra los riesgos financieros, el acceso a servicios de salud esenciales de calidad y el acceso a medicamentos y vacunas inocuos, eficaces, asequibles y de calidad para todos"/>
    <s v="3.8.1 Cobertura de servicios de salud esenciales (definida como el promedio de la cobertura de servicios esenciales sobre la base de intervenciones con trazadores, por ejemplo la salud reproductiva, materna, neonatal e infantil, las enfermedades infecciosas, las enfermedades no transmisibles y la capacidad de los servicios y el acceso a ellos, entre la población general y los más desfavorecidos)"/>
    <s v="Proxi"/>
    <x v="0"/>
    <m/>
    <n v="1"/>
    <s v="03010781"/>
    <x v="93"/>
    <s v="Proceso"/>
    <m/>
    <s v="Nacional, departamental y municipal"/>
    <s v="Porcentaje"/>
    <s v="Mide el porcentaje de municipios con implementacion del programa MI SALUD (Implementado=Convenio intergubernativo firmado con RRHH trabajando)"/>
    <m/>
    <s v="Número de municipios con implementacion del Programa MI SALUD."/>
    <s v="Registro Administrativo - PMS"/>
    <s v="Número total de municipios del pais"/>
    <s v="Registro Administrativo - PMS"/>
    <s v="2014-2017"/>
    <m/>
    <n v="1"/>
    <s v="030107811"/>
    <s v="PMS"/>
    <s v="Progama MI SALUD"/>
    <s v="Registro administrativo"/>
    <s v="Anual"/>
    <s v="2014-2017"/>
    <s v="Nacional"/>
    <s v="Nacional, Departamental y municipal"/>
    <s v="Convenios Intergubernativos Municipios con el Programa MI SALUD Atención integral_x000a_Edad_x000a_Sexo_x000a_Promoción de salud_x000a_Prevención de salud"/>
    <m/>
    <s v="Ministerio de Salud"/>
    <s v="Viceministerio de Salud y Promoción (VMSP)"/>
    <s v="Programa MI SALUD (PMS)"/>
    <n v="2319904"/>
    <n v="2015"/>
    <n v="0.48599999999999999"/>
    <n v="0.9"/>
    <n v="0.96"/>
    <n v="0.41400000000000003"/>
    <n v="5"/>
    <n v="0.56879999999999997"/>
    <n v="0.72860000000000003"/>
    <n v="0.24260000000000004"/>
    <n v="0.58599033816425128"/>
    <n v="0.65159999999999996"/>
    <n v="0.83479999999999999"/>
    <n v="0.3488"/>
    <n v="0.84251207729468591"/>
    <n v="0.73440000000000005"/>
    <m/>
    <n v="-0.48599999999999999"/>
    <n v="-1.1739130434782608"/>
    <n v="0.81720000000000004"/>
    <m/>
    <n v="-0.48599999999999999"/>
    <n v="-1.1739130434782608"/>
    <n v="0.9"/>
    <m/>
    <n v="-0.48599999999999999"/>
    <n v="-1.1739130434782608"/>
    <m/>
    <m/>
    <m/>
    <m/>
    <m/>
  </r>
  <r>
    <x v="8"/>
    <d v="2018-04-09T00:00:00"/>
    <x v="5"/>
    <s v="Salud, Educación y  Deporte para la formación de un ser humano integral "/>
    <s v="0301"/>
    <s v="Acceso universal al servicio de salud."/>
    <n v="79"/>
    <s v="3.1.4"/>
    <n v="79"/>
    <s v="3.1.79"/>
    <s v="0301079"/>
    <s v="La mayor parte de los municipios están conectados y equipados a la Red TELESALUD"/>
    <s v="Salud, Educación, Deporte"/>
    <s v="Salud"/>
    <s v="Proceso"/>
    <s v="Social"/>
    <s v="Salud"/>
    <m/>
    <m/>
    <s v="PC"/>
    <m/>
    <m/>
    <m/>
    <e v="#DIV/0!"/>
    <n v="1"/>
    <n v="0"/>
    <s v="Etapa 1"/>
    <m/>
    <s v="3.8"/>
    <s v="3.8 Lograr la cobertura sanitaria universal, incluida la protección contra los riesgos financieros, el acceso a servicios de salud esenciales de calidad y el acceso a medicamentos y vacunas inocuos, eficaces, asequibles y de calidad para todos"/>
    <s v="3.8.1 Cobertura de servicios de salud esenciales (definida como el promedio de la cobertura de servicios esenciales sobre la base de intervenciones con trazadores, por ejemplo la salud reproductiva, materna, neonatal e infantil, las enfermedades infecciosas, las enfermedades no transmisibles y la capacidad de los servicios y el acceso a ellos, entre la población general y los más desfavorecidos)"/>
    <s v="Proxi"/>
    <x v="0"/>
    <m/>
    <n v="1"/>
    <s v="03010791"/>
    <x v="94"/>
    <s v="Proceso"/>
    <m/>
    <s v="Nacional, departamental y municipal"/>
    <s v="Porcentaje"/>
    <s v="Es el porcentaje de municipios en los que se ha implementado el programa TELESALUD  (Implementado: que cuenta con los componenetes; equipo de telemedicina; recurso humano incorporado; convenio intergubernativo  firmado; y conexión)"/>
    <m/>
    <s v="Número de municipios que han implementado el Programa TELESALUD"/>
    <s v="Registro Administrativo - PTS"/>
    <s v="Número total de municipios del pais"/>
    <s v="Registro Administrativo - PTS"/>
    <s v="2015-2017"/>
    <m/>
    <n v="1"/>
    <s v="030107911"/>
    <s v="PTS"/>
    <s v="Programa TELESAUD"/>
    <s v="Registro administrativo"/>
    <s v="Trimestral"/>
    <s v="2015-2017"/>
    <s v="Nacional"/>
    <s v="Nacional, Departamental y municipal"/>
    <s v="Atención por especialidad_x000a_Edad_x000a_Sexo_x000a_Telecapacitación_x000a_Telegerencia_x000a_Teleepidemiología"/>
    <m/>
    <s v="Ministerio de Salud"/>
    <s v="Viceministerio de Salud y Promoción (VMSP)"/>
    <s v="Progrma TELESALUD (PTS)"/>
    <n v="2125013"/>
    <n v="2015"/>
    <n v="0.27400000000000002"/>
    <n v="0.9"/>
    <n v="1"/>
    <n v="0.626"/>
    <n v="5"/>
    <n v="0.3992"/>
    <n v="0.39800000000000002"/>
    <n v="0.124"/>
    <n v="0.19808306709265175"/>
    <n v="0.52439999999999998"/>
    <n v="0.40100000000000002"/>
    <n v="0.127"/>
    <n v="0.20287539936102236"/>
    <n v="0.64960000000000007"/>
    <m/>
    <n v="-0.27400000000000002"/>
    <n v="-0.43769968051118213"/>
    <n v="0.77480000000000004"/>
    <m/>
    <n v="-0.27400000000000002"/>
    <n v="-0.43769968051118213"/>
    <n v="0.9"/>
    <m/>
    <n v="-0.27400000000000002"/>
    <n v="-0.43769968051118213"/>
    <m/>
    <m/>
    <m/>
    <m/>
    <m/>
  </r>
  <r>
    <x v="8"/>
    <d v="2018-04-09T00:00:00"/>
    <x v="5"/>
    <s v="Salud, Educación y  Deporte para la formación de un ser humano integral "/>
    <s v="0301"/>
    <s v="Acceso universal al servicio de salud."/>
    <n v="80"/>
    <s v="3.1.5"/>
    <n v="80"/>
    <s v="3.1.80"/>
    <s v="0301080"/>
    <s v="Se ha reducido en al menos 30% la mortalidad infantil (a 35 muertes por mil nacimientos)"/>
    <s v="Salud, Educación, Deporte"/>
    <s v="Salud"/>
    <s v="Impacto"/>
    <s v="Social"/>
    <s v="Salud"/>
    <n v="1"/>
    <m/>
    <s v="RS"/>
    <m/>
    <m/>
    <s v="M.Salud"/>
    <e v="#DIV/0!"/>
    <n v="1"/>
    <n v="0"/>
    <s v="Etapa 1"/>
    <n v="1"/>
    <s v="3.2"/>
    <s v="3.2 De aquí a 2030, poner fin a las muertes evitables de recién nacidos y de niños menores de 5 años, logrando que todos los países intenten reducir la mortalidad neonatal al menos a 12 por cada 1.000 nacidos vivos y la mortalidad de los niños menores de 5 años al menos a 25 por cada 1.000 nacidos vivos"/>
    <s v="3.2.1 Tasa de mortalidad de niños menores de 5 años"/>
    <m/>
    <x v="2"/>
    <m/>
    <n v="1"/>
    <s v="03010801"/>
    <x v="95"/>
    <s v="Impacto"/>
    <m/>
    <s v="Nacional, Departamental, _x000a_Edad, sexo"/>
    <s v="Por 1.000 n.v."/>
    <s v="La TMI es el total de defunciones de niños menores de 1 año en un tiempo determinado."/>
    <s v="_x000a__x000a_"/>
    <s v="Numero de defunciones  en niños menores de 1 año en un tiempo determinado "/>
    <s v="Encuesta - ENDSA - EDSA"/>
    <s v="Número total de nacidos vivos en un tiempo determinado"/>
    <s v="Encuesta - ENDSA - EDSA"/>
    <s v="1998, 2003, 2008, 2016"/>
    <s v="Debido al tamaño de la muestra en la EDSA 2016, el indicador de mortalidad  sólo es representativo a nivel nacional."/>
    <n v="1"/>
    <s v="030108011"/>
    <s v="ENDSA - EDSA"/>
    <s v="Encuesta Nacional de Demografia y Salud y Encuesta  de Demografia y Salud."/>
    <s v="Encuesta"/>
    <s v="Cada 4 a 5 años"/>
    <s v="1998, 2003, 2008, 2016"/>
    <s v="Nacional"/>
    <s v="Nacional, Departamental"/>
    <s v="- Salud sexual y reproductiva_x000a_- Enfermedades transmisibles_x000a_- Fecundidad_x000a_- Nutrición"/>
    <m/>
    <s v="Ministerio de Salud (MS) e Instituto Nacional de Estadística (INE)"/>
    <s v="- Viceministerio de Salud y Promoción (VMSP)_x000a__x000a_- Direción de Estadísticas de Indicadores Económicos y Sociales (DEIES)"/>
    <s v="- Dirección General de Planificación (DGP)_x000a__x000a_- Unidad de Estadísticas de Indicadores Sociales (UEIS)"/>
    <s v="2440336 (MS)_x000a_2222333 (INE)"/>
    <n v="2008"/>
    <n v="50"/>
    <n v="35"/>
    <m/>
    <n v="-15"/>
    <n v="5"/>
    <n v="47"/>
    <n v="24"/>
    <n v="-26"/>
    <n v="1.7333333333333334"/>
    <m/>
    <m/>
    <n v="-50"/>
    <n v="3.3333333333333335"/>
    <m/>
    <m/>
    <n v="-50"/>
    <n v="3.3333333333333335"/>
    <m/>
    <m/>
    <n v="-50"/>
    <n v="3.3333333333333335"/>
    <m/>
    <m/>
    <n v="-50"/>
    <n v="3.3333333333333335"/>
    <m/>
    <m/>
    <m/>
    <m/>
    <m/>
  </r>
  <r>
    <x v="8"/>
    <d v="2018-04-09T00:00:00"/>
    <x v="5"/>
    <s v="Salud, Educación y  Deporte para la formación de un ser humano integral "/>
    <s v="0301"/>
    <s v="Acceso universal al servicio de salud."/>
    <n v="80"/>
    <s v="3.1.5"/>
    <n v="80"/>
    <s v="3.1.80"/>
    <s v="0301080"/>
    <s v="Se ha reducido en al menos 30% la mortalidad infantil (a 35 muertes por mil nacimientos)"/>
    <s v="Salud, Educación, Deporte"/>
    <s v="Salud"/>
    <s v="Impacto"/>
    <s v="Social"/>
    <s v="Salud"/>
    <n v="1"/>
    <m/>
    <s v="RS"/>
    <m/>
    <m/>
    <s v="M.Salud"/>
    <e v="#DIV/0!"/>
    <n v="1"/>
    <n v="0"/>
    <s v="Etapa 1"/>
    <n v="1"/>
    <s v="3.2"/>
    <s v="3.2 De aquí a 2030, poner fin a las muertes evitables de recién nacidos y de niños menores de 5 años, logrando que todos los países intenten reducir la mortalidad neonatal al menos a 12 por cada 1.000 nacidos vivos y la mortalidad de los niños menores de 5 años al menos a 25 por cada 1.000 nacidos vivos"/>
    <s v="3.2.1 Tasa de mortalidad de niños menores de 5 años"/>
    <m/>
    <x v="2"/>
    <m/>
    <n v="2"/>
    <s v="03010802"/>
    <x v="96"/>
    <s v="Impacto"/>
    <m/>
    <s v="Nacional, Departamental, _x000a_Edad, sexo"/>
    <s v="Por 1.000 n.v."/>
    <s v="La TMN es el total de defunciones de niños menores de 5 años en un tiempo determinado."/>
    <s v="_x000a__x000a_"/>
    <s v="Numero de defunciones  en niños menores de 5 años en un tiempo determinado "/>
    <s v="Encuesta - ENDSA - EDSA"/>
    <s v="Número total de nacidos vivos en un tiempo determinado"/>
    <s v="Encuesta - ENDSA - EDSA"/>
    <s v="1998, 2003, 2008, 2016"/>
    <s v="Debido al tamaño de la muestra en la EDSA 2016, el indicador de mortalidad  sólo es representativo a nivel nacional."/>
    <n v="1"/>
    <s v="030108021"/>
    <s v="ENDSA - EDSA"/>
    <s v="Encuesta Nacional de Demografia y Salud y Encuesta  de Demografia y Salud."/>
    <s v="Encuesta"/>
    <s v="Cada 4 o 5 años"/>
    <s v="1998, 2003, 2008, 2016"/>
    <s v="Nacional"/>
    <s v="Nacional, Departamental"/>
    <s v="- Salud sexual y reproductiva_x000a_- Enfermedades transmisibles_x000a_- Fecundidad_x000a_- Nutrición"/>
    <m/>
    <s v="Ministerio de Salud (MS) e Instituto Nacional de Estadística (INE)"/>
    <s v="- Viceministerio de Salud y Promoción (VMSP)_x000a__x000a_- Direción de Estadísticas de Indicadores Económicos y Sociales (DEIES)"/>
    <s v="- Dirección General de Planificación (DGP)_x000a__x000a_- Unidad de Estadísticas de Indicadores Sociales (UEIS)"/>
    <s v="2440336 (MS)_x000a_2222333 (INE)"/>
    <n v="2008"/>
    <n v="63"/>
    <n v="44"/>
    <n v="25"/>
    <n v="-19"/>
    <n v="5"/>
    <n v="59"/>
    <n v="29"/>
    <n v="-34"/>
    <n v="1.7894736842105263"/>
    <m/>
    <m/>
    <n v="-63"/>
    <n v="3.3157894736842106"/>
    <m/>
    <m/>
    <n v="-63"/>
    <n v="3.3157894736842106"/>
    <m/>
    <m/>
    <n v="-63"/>
    <n v="3.3157894736842106"/>
    <m/>
    <m/>
    <n v="-63"/>
    <n v="3.3157894736842106"/>
    <m/>
    <m/>
    <m/>
    <m/>
    <m/>
  </r>
  <r>
    <x v="8"/>
    <d v="2018-04-09T00:00:00"/>
    <x v="5"/>
    <s v="Salud, Educación y  Deporte para la formación de un ser humano integral "/>
    <s v="0301"/>
    <s v="Acceso universal al servicio de salud."/>
    <n v="80"/>
    <s v="3.1.5"/>
    <n v="80"/>
    <s v="3.1.80"/>
    <s v="0301080"/>
    <s v="Se ha reducido en al menos 30% la mortalidad infantil (a 35 muertes por mil nacimientos)"/>
    <s v="Salud, Educación, Deporte"/>
    <s v="Salud"/>
    <s v="Impacto"/>
    <s v="Social"/>
    <s v="Salud"/>
    <n v="1"/>
    <m/>
    <s v="RS"/>
    <m/>
    <m/>
    <s v="M.Salud"/>
    <e v="#DIV/0!"/>
    <n v="1"/>
    <n v="0"/>
    <s v="Etapa 1"/>
    <n v="1"/>
    <s v="3.2"/>
    <s v="3.2 De aquí a 2030, poner fin a las muertes evitables de recién nacidos y de niños menores de 5 años, logrando que todos los países intenten reducir la mortalidad neonatal al menos a 12 por cada 1.000 nacidos vivos y la mortalidad de los niños menores de 5 años al menos a 25 por cada 1.000 nacidos vivos"/>
    <s v="3.2.2 Tasa de mortalidad neonatal "/>
    <m/>
    <x v="2"/>
    <m/>
    <n v="3"/>
    <s v="03010803"/>
    <x v="97"/>
    <s v="Impacto"/>
    <m/>
    <s v="Nacional, Departamental, _x000a_Edad, sexo"/>
    <s v="Por 1.000 n.v."/>
    <s v="La TMNN es el total de defunciones de niños menores de 28 dias en un tiempo determinado."/>
    <s v="_x000a__x000a_"/>
    <s v="Numero de defunciones  en niños menores de 28 dias en un tiempo determinado "/>
    <s v="Encuesta - ENDSA - EDSA"/>
    <s v="Número total de nacidos vivos en un tiempo determinado"/>
    <s v="Encuesta - ENDSA - EDSA"/>
    <s v="1998, 2003, 2008, 2016"/>
    <s v="Debido al tamaño de la muestra en la EDSA 2016, el indicador de mortalidad  sólo es representativo a nivel nacional."/>
    <n v="1"/>
    <s v="030108031"/>
    <s v="ENDSA - EDSA"/>
    <s v="Encuesta Nacional de Demografia y Salud y Encuesta  de Demografia y Salud."/>
    <s v="Encuesta"/>
    <s v="Cada 4 a 5 años"/>
    <s v="1998, 2003, 2008, 2016"/>
    <s v="Nacional"/>
    <s v="Nacional, Departamental"/>
    <s v="- Salud sexual y reproductiva_x000a_- Enfermedades transmisibles_x000a_- Fecundidad_x000a_- Nutrición"/>
    <m/>
    <s v="Ministerio de Salud (MS) e Instituto Nacional de Estadística (INE)"/>
    <s v="- Viceministerio de Salud y Promoción (VMSP)_x000a__x000a_- Direción de Estadísticas de Indicadores Económicos y Sociales (DEIES)"/>
    <s v="- Dirección General de Planificación (DGP)_x000a__x000a_- Unidad de Estadísticas de Indicadores Sociales (UEIS)"/>
    <s v="2440336 (MS)_x000a_2222333 (INE)"/>
    <n v="2008"/>
    <n v="27"/>
    <n v="19"/>
    <n v="12"/>
    <n v="-8"/>
    <n v="5"/>
    <n v="17.5"/>
    <n v="15"/>
    <n v="-12"/>
    <n v="1.5"/>
    <m/>
    <m/>
    <n v="-27"/>
    <n v="3.375"/>
    <m/>
    <m/>
    <n v="-27"/>
    <n v="3.375"/>
    <m/>
    <m/>
    <n v="-27"/>
    <n v="3.375"/>
    <m/>
    <m/>
    <n v="-27"/>
    <n v="3.375"/>
    <m/>
    <m/>
    <m/>
    <m/>
    <m/>
  </r>
  <r>
    <x v="8"/>
    <s v="06/04/2018"/>
    <x v="5"/>
    <s v="Salud, Educación y  Deporte para la formación de un ser humano integral "/>
    <s v="0301"/>
    <s v="Acceso universal al servicio de salud."/>
    <n v="81"/>
    <m/>
    <m/>
    <m/>
    <s v="0301081"/>
    <s v="Se ha reducido en al menos 50% la razón de mortalidad materna"/>
    <m/>
    <m/>
    <s v="Resultado"/>
    <n v="1"/>
    <n v="0"/>
    <s v="Impacto"/>
    <n v="1"/>
    <n v="0"/>
    <s v="Impacto"/>
    <n v="1"/>
    <n v="0"/>
    <s v="Impacto"/>
    <n v="0"/>
    <n v="1"/>
    <s v="ETAPA 3"/>
    <m/>
    <s v="3.1.1"/>
    <s v="3.1De aquí a 2030, reducir la tasa mundial de mortalidad materna a menos de 70 por cada 100.000 nacidos vivos "/>
    <s v="3.1.1 Índice de mortalidad materna"/>
    <m/>
    <x v="0"/>
    <m/>
    <n v="1"/>
    <s v="03010811"/>
    <x v="98"/>
    <s v="Impacto"/>
    <m/>
    <s v="Edad_x000a_Procedencia_x000a_Ocupacion_x000a_Escolaridad_x000a_Causa de defunción_x000a_"/>
    <s v="Por 100.000 n.v."/>
    <s v="Es el número de defunciones durante el embarazo, parto y puerperio en relacion a los nacidos vivos en un tiempo determinado."/>
    <m/>
    <s v="Número de defunciones por causa materna (embarazo, parto y puerperio) en un periodo determinado"/>
    <s v="Encuesta_x000a_Censo - ENMM"/>
    <s v="Número de nacidos vivos en un periodo determinado"/>
    <s v="Censo - PN"/>
    <s v="2000 y 2011"/>
    <s v="El Estudio Nacional de Mortalidad Materna de la gestion 2016, se basa en datos del CNPV 2012. El proximo dato correspondera a los resultados del Estudio con el Metodo Ramos, va a segundo orden y tercera etapa, porque no habrá dato disponble a diciembre de 2018."/>
    <n v="1"/>
    <s v="030108111"/>
    <s v="ENMM"/>
    <s v="Encuesta Nacional de Demografía y Salud._x000a_Estudio Nacional de Mortalidad Materna"/>
    <s v="Encuesta_x000a_Censo"/>
    <s v="Quinquenal_x000a_Decenal"/>
    <s v="1.989 a 2.003"/>
    <s v="Nacional, Departamental, Municipal"/>
    <s v="Nacional"/>
    <s v="Causas_x000a_Momentos de fallecimiento_x000a_Pertenencia étnica_x000a_Edad_x000a_Lugar de ocurrencia_x000a_"/>
    <m/>
    <s v="Ministerio de Salud (MS)"/>
    <s v="Viceministerio de Salud y Promoción (VMSP)"/>
    <s v="Dirección General de Planificción_x000a__x000a_"/>
    <n v="2440590"/>
    <n v="2011"/>
    <n v="160"/>
    <n v="80"/>
    <n v="70"/>
    <n v="-80"/>
    <n v="5"/>
    <n v="144"/>
    <n v="160"/>
    <n v="0"/>
    <n v="0"/>
    <n v="128"/>
    <m/>
    <n v="-160"/>
    <n v="2"/>
    <n v="112"/>
    <m/>
    <n v="-160"/>
    <n v="2"/>
    <n v="96"/>
    <m/>
    <n v="-160"/>
    <n v="2"/>
    <n v="80"/>
    <m/>
    <n v="-160"/>
    <n v="2"/>
    <m/>
    <m/>
    <m/>
    <m/>
    <m/>
  </r>
  <r>
    <x v="8"/>
    <s v="06/04/2018"/>
    <x v="5"/>
    <s v="Salud, Educación y  Deporte para la formación de un ser humano integral "/>
    <s v="0301"/>
    <s v="Acceso universal al servicio de salud."/>
    <n v="81"/>
    <m/>
    <m/>
    <m/>
    <s v="0301081"/>
    <s v="Se ha reducido en al menos 50% la razón de mortalidad materna"/>
    <m/>
    <m/>
    <s v="Resultado"/>
    <n v="1"/>
    <n v="0"/>
    <s v="Impacto"/>
    <n v="1"/>
    <n v="0"/>
    <s v="Impacto"/>
    <n v="1"/>
    <n v="0"/>
    <s v="Impacto"/>
    <n v="0"/>
    <n v="1"/>
    <s v="ETAPA 3"/>
    <m/>
    <s v="3.1.1"/>
    <s v="3.1De aquí a 2030, reducir la tasa mundial de mortalidad materna a menos de 70 por cada 100.000 nacidos vivos "/>
    <s v="3.1.1 Índice de mortalidad materna"/>
    <m/>
    <x v="0"/>
    <m/>
    <n v="1"/>
    <s v="03010811"/>
    <x v="98"/>
    <s v="Impacto"/>
    <m/>
    <s v="Edad_x000a_Procedencia_x000a_Ocupacion_x000a_Escolaridad_x000a_Causa de defunción_x000a_"/>
    <s v="Por 100.000 n.v."/>
    <s v="Es el número de defunciones durante el embarazo, parto y puerperio en relacion a los nacidos vivos en un tiempo determinado."/>
    <m/>
    <s v="Número de defunciones por causa materna (embarazo, parto y puerperio) en un periodo determinado"/>
    <s v="Encuesta_x000a_Censo - ENMM"/>
    <s v="Número de nacidos vivos en un periodo determinado"/>
    <s v="Censo - PN"/>
    <s v="2000 y 2011"/>
    <s v="El Estudio Nacional de Mortalidad Materna de la gestion 2016, se basa en datos del CNPV 2012. El proximo dato correspondera a los resultados del Estudio con el Metodo Ramos, va a segundo orden y tercera etapa, porque no habrá dato disponble a diciembre de 2018."/>
    <n v="2"/>
    <s v="030108112"/>
    <s v="PN"/>
    <s v="Proyecciones de nacimientos"/>
    <s v="Censo"/>
    <s v="Anual"/>
    <s v="2012-2020"/>
    <s v="Nacional"/>
    <s v="Nacional"/>
    <m/>
    <m/>
    <s v="Instituto Nacional de Estadística (INE)"/>
    <s v=" Direción de Estadísticas de Indicadores Económicos y Sociales (DEIES)"/>
    <m/>
    <n v="2222333"/>
    <m/>
    <m/>
    <m/>
    <m/>
    <m/>
    <m/>
    <m/>
    <m/>
    <n v="0"/>
    <e v="#DIV/0!"/>
    <m/>
    <m/>
    <n v="0"/>
    <e v="#DIV/0!"/>
    <m/>
    <m/>
    <n v="0"/>
    <e v="#DIV/0!"/>
    <m/>
    <m/>
    <n v="0"/>
    <e v="#DIV/0!"/>
    <m/>
    <m/>
    <n v="0"/>
    <e v="#DIV/0!"/>
    <m/>
    <m/>
    <m/>
    <m/>
    <m/>
  </r>
  <r>
    <x v="8"/>
    <s v="06/04/2018"/>
    <x v="5"/>
    <s v="Salud, Educación y  Deporte para la formación de un ser humano integral "/>
    <s v="0301"/>
    <s v="Acceso universal al servicio de salud."/>
    <n v="82"/>
    <m/>
    <m/>
    <m/>
    <s v="0301082"/>
    <s v="Se ha incrementado la cobertura de parto institucional."/>
    <m/>
    <m/>
    <s v="Proceso"/>
    <n v="1"/>
    <n v="0"/>
    <s v="Impacto"/>
    <n v="1"/>
    <n v="0"/>
    <s v="Impacto"/>
    <n v="1"/>
    <n v="0"/>
    <s v="Impacto"/>
    <n v="1"/>
    <n v="0"/>
    <s v="Etapa 1"/>
    <m/>
    <s v="3.1.2"/>
    <s v="3.1De aquí a 2030, reducir la tasa mundial de mortalidad materna a menos de 70 por cada 100.000 nacidos vivos "/>
    <s v="  3.1.2 Proporción de partos con asistencia de personal sanitario especializado "/>
    <m/>
    <x v="5"/>
    <m/>
    <n v="1"/>
    <s v="03010821"/>
    <x v="99"/>
    <s v="Proceso"/>
    <m/>
    <s v="Edad_x000a_Procedencia_x000a_Ocupacion_x000a_Escolaridad_x000a_"/>
    <s v="Porcentaje"/>
    <s v="Es el porcentaje de partos atendidos en domicilio o establecimiento de salud por personal de salud calificado"/>
    <m/>
    <s v="Número de partos atendidos en domicilio o establecimiento de salud por personal de salud calificado"/>
    <s v="Registro Administrativo - SNIS-VE"/>
    <s v="Número total de partos esperados en un periodo determinado"/>
    <s v="Registro Administrativo - SNIS-VE"/>
    <s v="_x000a_2006-2017 _x000a_"/>
    <m/>
    <n v="1"/>
    <s v="030108211"/>
    <s v="SNIS-VE"/>
    <s v="Sistema Nacional de Información en Salud - Vigilancia Epidemiológica "/>
    <s v="Registro administrativo"/>
    <s v="Anual"/>
    <s v="_x000a_2006-2017 _x000a_"/>
    <s v="Nacional, Departamental, Municipal"/>
    <s v="Nacional"/>
    <s v="_x000a_Procedencia_x000a_Residencia_x000a_Edad"/>
    <m/>
    <s v="Ministerio de Salud (MS)"/>
    <s v="Viceministerio de Salud y Promoción (VMSP)"/>
    <s v="Dirección General de Planificción"/>
    <n v="2440590"/>
    <n v="2015"/>
    <n v="87.5"/>
    <n v="90"/>
    <n v="100"/>
    <n v="2.5"/>
    <n v="5"/>
    <n v="88"/>
    <n v="85.2"/>
    <n v="-2.2999999999999972"/>
    <n v="-0.91999999999999882"/>
    <n v="88.5"/>
    <n v="85.5"/>
    <n v="-2"/>
    <n v="-0.8"/>
    <n v="89"/>
    <m/>
    <n v="-87.5"/>
    <n v="-35"/>
    <n v="89.5"/>
    <m/>
    <n v="-87.5"/>
    <n v="-35"/>
    <n v="90"/>
    <m/>
    <n v="-87.5"/>
    <n v="-35"/>
    <m/>
    <m/>
    <m/>
    <m/>
    <m/>
  </r>
  <r>
    <x v="8"/>
    <s v="06/04/2018"/>
    <x v="5"/>
    <s v="Salud, Educación y  Deporte para la formación de un ser humano integral "/>
    <s v="0301"/>
    <s v="Acceso universal al servicio de salud."/>
    <n v="82"/>
    <m/>
    <m/>
    <m/>
    <s v="0301082"/>
    <s v="Se ha incrementado la cobertura de parto institucional."/>
    <m/>
    <m/>
    <s v="Proceso"/>
    <n v="1"/>
    <n v="0"/>
    <s v="Impacto"/>
    <n v="1"/>
    <n v="0"/>
    <s v="Impacto"/>
    <n v="1"/>
    <n v="0"/>
    <s v="Impacto"/>
    <n v="1"/>
    <n v="0"/>
    <s v="Etapa 1"/>
    <m/>
    <s v="3.1.2"/>
    <s v="3.1De aquí a 2030, reducir la tasa mundial de mortalidad materna a menos de 70 por cada 100.000 nacidos vivos "/>
    <s v="  3.1.2 Proporción de partos con asistencia de personal sanitario especializado "/>
    <m/>
    <x v="5"/>
    <m/>
    <n v="1"/>
    <s v="03010821"/>
    <x v="99"/>
    <s v="Proceso"/>
    <m/>
    <s v="Edad_x000a_Procedencia_x000a_Ocupacion_x000a_Escolaridad_x000a_"/>
    <s v="Porcentaje"/>
    <s v="Es el porcentaje de partos atendidos en domicilio o establecimiento de salud por personal de salud calificado"/>
    <m/>
    <s v="Número de partos atendidos en domicilio o establecimiento de salud por personal de salud calificado"/>
    <s v="Registro Administrativo - SNIS-VE"/>
    <s v="Número total de partos esperados en un periodo determinado"/>
    <s v="Censo - PPE"/>
    <s v="_x000a_2006-2017 _x000a_"/>
    <m/>
    <n v="2"/>
    <s v="030108212"/>
    <s v="PPE"/>
    <s v="Proyecciones de partos esperados"/>
    <s v="Censo"/>
    <s v="Anual"/>
    <s v="2012-2020"/>
    <s v="Nacional"/>
    <s v="Nacional"/>
    <m/>
    <m/>
    <s v="Instituto Nacional de Estadística (INE)"/>
    <s v=" Direción de Estadísticas de Indicadores Económicos y Sociales (DEIES)"/>
    <m/>
    <n v="2222333"/>
    <m/>
    <m/>
    <m/>
    <m/>
    <m/>
    <m/>
    <m/>
    <m/>
    <n v="0"/>
    <e v="#DIV/0!"/>
    <m/>
    <m/>
    <n v="0"/>
    <e v="#DIV/0!"/>
    <m/>
    <m/>
    <n v="0"/>
    <e v="#DIV/0!"/>
    <m/>
    <m/>
    <n v="0"/>
    <e v="#DIV/0!"/>
    <m/>
    <m/>
    <n v="0"/>
    <e v="#DIV/0!"/>
    <m/>
    <m/>
    <m/>
    <m/>
    <m/>
  </r>
  <r>
    <x v="8"/>
    <s v="06/04/2018"/>
    <x v="5"/>
    <s v="Salud, Educación y  Deporte para la formación de un ser humano integral "/>
    <s v="0301"/>
    <s v="Acceso universal al servicio de salud."/>
    <n v="83"/>
    <s v="0301083"/>
    <s v="Se ha reducido la proporcion de embarazo adolescente "/>
    <s v="Producto"/>
    <s v="0301083"/>
    <s v="Se ha reducido la proporcion de embarazo adolescente "/>
    <s v="Etapa 1"/>
    <n v="1"/>
    <s v="Resultado"/>
    <s v="Se ha reducido la proporcion de embarazo adolescente "/>
    <s v="Producto"/>
    <n v="1"/>
    <n v="0"/>
    <s v="Etapa 1"/>
    <n v="1"/>
    <s v="0301083"/>
    <s v="Se ha reducido la proporcion de embarazo adolescente "/>
    <s v="Producto"/>
    <n v="1"/>
    <n v="0"/>
    <s v="Etapa 1"/>
    <s v="EDSA 2016"/>
    <s v="3.7.2"/>
    <s v="3.7. De aquí a 2030, garantizar el acceso universal a los servicios de salud sexual y reproductiva, incluidos los de planificación familiar, información y educación, y la integración de la salud reproductiva en las estrategias y los programas nacionales"/>
    <s v="3.7.2 Tasa de natalidad entre las adolescentes (de 10 a 14 años; de 15 a 19 años) por cada 1.000 mujeres de ese grupo de edad"/>
    <s v="Proxi"/>
    <x v="0"/>
    <s v="Encuesta Demografica de Salud"/>
    <n v="1"/>
    <s v="03010831"/>
    <x v="100"/>
    <s v="Impacto"/>
    <n v="1989"/>
    <s v="Nacional, departamental y Municipal_x000a_Edad_x000a_Escolaridad_x000a_Urbano -  rural_x000a_Ocupación"/>
    <s v="Porcentaje"/>
    <s v="La Tasa de Embarazos en Adolescentes (TEA) es el numero de embarazos en mujeres de 15 a 19 años de edad en un tiempo  determinado "/>
    <m/>
    <s v="Numero de Embarazos en mujeres de 15 a 19 años"/>
    <s v="Encuesta - ENDSA - EDSA"/>
    <s v="Numero total de mujeres de 15 a 19 años "/>
    <s v="Encuesta - ENDSA - EDSA"/>
    <s v="1998, 2003, 2008, 2016"/>
    <m/>
    <n v="1"/>
    <s v="030108311"/>
    <s v="ENDSA - EDSA"/>
    <s v="Encuesta Nacional de Demografia y Salud y Encuesta  de Demografia y Salud."/>
    <s v="Encuesta"/>
    <s v="Cada 4 a 5 años"/>
    <s v="1998, 2003, 2008, 2016"/>
    <s v="Nacional"/>
    <s v="Nacional, Departamental"/>
    <s v="- Salud sexual y reproductiva_x000a_- Enfermedades transmisibles_x000a_- Fecundidad_x000a_- Nutrición"/>
    <m/>
    <s v="Ministerio de Salud (MS) e Instituto Nacional de Estadística (INE)"/>
    <s v="- Viceministerio de Salud y Promoción (VMSP)_x000a__x000a_- Direción de Estadísticas de Indicadores Económicos y Sociales (DEIES)"/>
    <s v="Dirección General de Planificación (DGP)_x000a__x000a_Unidad de Estadísticas de Indicadores Sociales (UEIS)"/>
    <s v="2440336 (MS)_x000a_2222333 (INE)"/>
    <n v="2008"/>
    <n v="17.899999999999999"/>
    <n v="14"/>
    <n v="10"/>
    <n v="3.8999999999999986"/>
    <n v="5"/>
    <m/>
    <n v="14.1"/>
    <n v="-3.7999999999999989"/>
    <n v="-0.97435897435897445"/>
    <m/>
    <m/>
    <n v="-17.899999999999999"/>
    <n v="-4.5897435897435912"/>
    <m/>
    <m/>
    <n v="-17.899999999999999"/>
    <n v="-4.5897435897435912"/>
    <m/>
    <m/>
    <n v="-17.899999999999999"/>
    <n v="-4.5897435897435912"/>
    <m/>
    <m/>
    <n v="-17.899999999999999"/>
    <n v="-4.5897435897435912"/>
    <m/>
    <m/>
    <m/>
    <m/>
    <m/>
  </r>
  <r>
    <x v="8"/>
    <s v="06/04/2018"/>
    <x v="5"/>
    <s v="Salud, Educación y  Deporte para la formación de un ser humano integral "/>
    <s v="0301"/>
    <s v="Acceso universal al servicio de salud."/>
    <n v="84"/>
    <m/>
    <m/>
    <m/>
    <s v="0301084"/>
    <s v="La mayor parte de los municipios cuentan con planes municipales de salud con enfoque intersectorial ejecutado."/>
    <m/>
    <m/>
    <s v="Resultado"/>
    <m/>
    <m/>
    <m/>
    <m/>
    <m/>
    <m/>
    <m/>
    <m/>
    <m/>
    <n v="0"/>
    <n v="1"/>
    <s v="ETAPA 3"/>
    <m/>
    <m/>
    <m/>
    <m/>
    <s v="No cuenta con indicadores ODS"/>
    <x v="1"/>
    <m/>
    <n v="1"/>
    <s v="03010841"/>
    <x v="101"/>
    <s v="Proceso"/>
    <m/>
    <s v="Nacional, departamental y Municipal_x000a_"/>
    <s v="Porcentaje"/>
    <s v="Es el porcentaje de municipios con Planes Municipales de Salud ejecutados."/>
    <m/>
    <s v="Número total de municipios con Plan Municipal de Salud ejecutado."/>
    <s v="Registro Administrativo - UPSyMS"/>
    <s v="Número total de municipios"/>
    <s v="Registro Administrativo - UPSyMS"/>
    <s v="n.d."/>
    <s v="La informacion requiere la sistematizacion, revision y consolidacion prevista para el segundo semestre."/>
    <n v="1"/>
    <s v="030108411"/>
    <s v="UPSyMS"/>
    <s v="Unidad de Promoción de la Salud y Movilización Social (UPSyMS)"/>
    <s v="Registro administrativo"/>
    <s v="Trimestral"/>
    <s v="n.d."/>
    <s v="Nacional, Departamental, Municipal"/>
    <s v="Nacional, Departamental, Municipal"/>
    <s v="n.d."/>
    <s v="A partir del 4 trimestre del 2018 se contará con el Sistema de Información."/>
    <s v="Ministerio de Salud (MS) "/>
    <s v="Viceministerio de Salud y Promoción (VMSyP)"/>
    <s v="Unidad de Promocion de la Salud y Movilizacion Social (UPSyMS)"/>
    <n v="2445740"/>
    <m/>
    <m/>
    <m/>
    <m/>
    <m/>
    <m/>
    <m/>
    <m/>
    <m/>
    <m/>
    <m/>
    <m/>
    <m/>
    <m/>
    <m/>
    <m/>
    <m/>
    <m/>
    <m/>
    <m/>
    <m/>
    <m/>
    <m/>
    <m/>
    <m/>
    <m/>
    <m/>
    <m/>
    <m/>
    <m/>
    <m/>
  </r>
  <r>
    <x v="8"/>
    <s v="06/04/2018"/>
    <x v="5"/>
    <s v="Salud, Educación y  Deporte para la formación de un ser humano integral "/>
    <s v="0301"/>
    <s v="Acceso universal al servicio de salud."/>
    <n v="85"/>
    <s v="0301085"/>
    <s v="Se ha reducido la incidencia de casos y defunciones por enfermedadeds transmisibles"/>
    <s v="Impacto"/>
    <s v="0301085"/>
    <s v="Se ha reducido la incidencia de casos y defunciones por enfermedadeds transmisibles"/>
    <s v="Etapa 1"/>
    <s v="3.3"/>
    <s v="Impacto"/>
    <s v="3.3.1 Número de nuevas infecciones por el VIH por cada 1.000 habitantes no infectados, desglosado por sexo, edad y sectores clave de la población"/>
    <m/>
    <s v="Parcial"/>
    <m/>
    <m/>
    <s v="Incidencia de VIH"/>
    <s v="Impacto"/>
    <s v="Geográfica_x000a_Edad_x000a_Sexo"/>
    <s v="Tasa"/>
    <n v="1"/>
    <n v="0"/>
    <s v="Etapa 1"/>
    <s v="SNIS VE"/>
    <s v="3.3.1"/>
    <s v="3.3. De aquí a 2030, poner fin a las epidemias del SIDA, la tuberculosis, la malaria y las enfermedades tropicales desatendidas y combatir la hepatitis, las enfermedades transmitidas por el agua y otras enfermedades transmisibles"/>
    <s v="3.3.1 Número de nuevas infecciones por el VIH por cada 1.000 habitantes no infectados, desglosado por sexo, edad y sectores clave de la población"/>
    <m/>
    <x v="2"/>
    <s v="Sistema Nacional de Información en Salud. Vigilancia Epidemiológica"/>
    <n v="1"/>
    <s v="03010851"/>
    <x v="102"/>
    <s v="Impacto"/>
    <n v="1990"/>
    <s v="Nacional, departamental y Municipal_x000a_Edad_x000a_Escolaridad_x000a_Urbano -  rural_x000a_Ocupación"/>
    <s v="Por 1.000.000 habitantes"/>
    <s v="Es el número de casos nuevos de VIH diagnosticados en relacion a la poblacion total, en un tiempo determinado."/>
    <m/>
    <s v="Numero de casos nuevos de VIH en un tiempo determinado"/>
    <s v="Registro Administrativo - PNVIHITS"/>
    <s v="Población total en un tiempo determinado"/>
    <s v="Censo - PP"/>
    <s v="1990-2017"/>
    <m/>
    <n v="1"/>
    <s v="030108511"/>
    <s v="PNVIHITS"/>
    <s v="Programa Nacional de Infecciones de Transmisión Sexual/ VIH"/>
    <s v="Registro administrativo"/>
    <s v="Trimestral"/>
    <s v="1990-2017_x000a_"/>
    <s v="Nacional, Departamental, Municipal"/>
    <s v="Nacional"/>
    <s v="Edad_x000a_Sexo_x000a_Ocupación_x000a_Procedencia_x000a_Residencia_x000a_Orientacion Sexual_x000a_Enfermedades transmisibles_x000a_Identidad Cultural"/>
    <s v="La meta para el 2030 es de &quot;cero&quot;, el cual se encuentra en el marco de los compromisos de las ODS."/>
    <s v="Ministerio de Salud (MS)"/>
    <s v="Viceministerio de Salud y Promoción (VMSP)"/>
    <s v="Dirección General de Servicios de Salud/Unidad de Epidemiología/Programa Nacional de ITS/VIH SIDA"/>
    <n v="2440590"/>
    <n v="2015"/>
    <n v="0.12"/>
    <n v="0.11"/>
    <n v="0"/>
    <n v="-9.999999999999995E-3"/>
    <n v="5"/>
    <n v="0.12"/>
    <n v="0.14000000000000001"/>
    <n v="2.0000000000000018E-2"/>
    <n v="-2.0000000000000027"/>
    <n v="0.11"/>
    <n v="0.15"/>
    <n v="0.03"/>
    <n v="-3.0000000000000013"/>
    <n v="0.11"/>
    <m/>
    <n v="-0.12"/>
    <n v="12.000000000000005"/>
    <n v="0.11"/>
    <m/>
    <n v="-0.12"/>
    <n v="12.000000000000005"/>
    <n v="0.11"/>
    <m/>
    <n v="-0.12"/>
    <n v="12.000000000000005"/>
    <m/>
    <m/>
    <m/>
    <m/>
    <m/>
  </r>
  <r>
    <x v="8"/>
    <s v="06/04/2018"/>
    <x v="5"/>
    <s v="Salud, Educación y  Deporte para la formación de un ser humano integral "/>
    <s v="0301"/>
    <s v="Acceso universal al servicio de salud."/>
    <n v="85"/>
    <s v="0301085"/>
    <s v="Se ha reducido la incidencia de casos y defunciones por enfermedadeds transmisibles"/>
    <s v="Impacto"/>
    <s v="0301085"/>
    <s v="Se ha reducido la incidencia de casos y defunciones por enfermedades transmisibles"/>
    <s v="Etapa 1"/>
    <s v="3.3"/>
    <s v="Impacto"/>
    <s v="3.3.1 Número de nuevas infecciones por el VIH por cada 1.000 habitantes no infectados, desglosado por sexo, edad y sectores clave de la población"/>
    <m/>
    <s v="Parcial"/>
    <m/>
    <m/>
    <s v="Incidencia de VIH"/>
    <s v="Impacto"/>
    <s v="Geográfica_x000a_Edad_x000a_Sexo"/>
    <s v="Tasa"/>
    <n v="1"/>
    <n v="0"/>
    <s v="Etapa 1"/>
    <s v="SNIS VE"/>
    <s v="3.3"/>
    <s v="3.3. De aquí a 2030, poner fin a las epidemias del SIDA, la tuberculosis, la malaria y las enfermedades tropicales desatendidas y combatir la hepatitis, las enfermedades transmitidas por el agua y otras enfermedades transmisibles"/>
    <s v="3.3.1 Número de nuevas infecciones por el VIH por cada 1.000 habitantes no infectados, desglosado por sexo, edad y sectores clave de la población"/>
    <m/>
    <x v="2"/>
    <s v="Sistema Nacional de Información en Salud. Vigilancia Epidemiológica"/>
    <n v="1"/>
    <s v="03010851"/>
    <x v="102"/>
    <s v="Impacto"/>
    <n v="1990"/>
    <s v="Nacional, departamental y Municipal_x000a_Edad_x000a_Escolaridad_x000a_Urbano -  rural_x000a_Ocupación"/>
    <s v="Por 1.000.000 habitantes"/>
    <s v="Es el número de casos nuevos de VIH diagnosticados en relacion a la poblacion total, en un tiempo determinado."/>
    <m/>
    <s v="Numero de casos nuevos de VIH en un tiempo determinado"/>
    <s v="Registro Administrativo - PNVIHITS"/>
    <s v="Población total en un tiempo determinado"/>
    <s v="Censo - PP"/>
    <s v="1990-2017"/>
    <m/>
    <n v="2"/>
    <s v="030108512"/>
    <s v="PP"/>
    <s v="Proyecciones de Población"/>
    <s v="Censo"/>
    <s v="Anual"/>
    <s v="2000-2020"/>
    <s v="Nacional, Departamental, Municipal"/>
    <s v="Nacional, Departamental, Municipal"/>
    <s v="Edad_x000a_Sexo"/>
    <s v="A nivel Nacional y Departamental sòlo Edad y Sexo, y a nivel Municipal la población total."/>
    <s v="Instituto Nacional de Estadística (INE)"/>
    <s v="Direción de Estadísticas de Indicadores Económicos y Sociales (DEIES)"/>
    <s v="Unidad de Estadísticas de Indicadores Sociales"/>
    <n v="2222333"/>
    <m/>
    <m/>
    <m/>
    <m/>
    <m/>
    <m/>
    <m/>
    <m/>
    <n v="0"/>
    <e v="#DIV/0!"/>
    <m/>
    <m/>
    <n v="0"/>
    <e v="#DIV/0!"/>
    <m/>
    <m/>
    <n v="0"/>
    <e v="#DIV/0!"/>
    <m/>
    <m/>
    <n v="0"/>
    <e v="#DIV/0!"/>
    <m/>
    <m/>
    <n v="0"/>
    <e v="#DIV/0!"/>
    <m/>
    <m/>
    <m/>
    <m/>
    <m/>
  </r>
  <r>
    <x v="8"/>
    <s v="06/04/2018"/>
    <x v="5"/>
    <s v="Salud, Educación y  Deporte para la formación de un ser humano integral "/>
    <s v="0301"/>
    <s v="Acceso universal al servicio de salud."/>
    <n v="85"/>
    <m/>
    <m/>
    <m/>
    <s v="0301085"/>
    <s v="Se ha reducido la incidencia de casos y defunciones por enfermedadeds transmisibles"/>
    <m/>
    <m/>
    <s v="Impacto"/>
    <n v="1"/>
    <n v="0"/>
    <s v="Impacto"/>
    <n v="1"/>
    <n v="0"/>
    <s v="Impacto"/>
    <n v="1"/>
    <n v="0"/>
    <s v="Impacto"/>
    <n v="1"/>
    <n v="0"/>
    <s v="Etapa 1"/>
    <m/>
    <s v="3.3.2"/>
    <s v="3.3. De aquí a 2030, poner fin a las epidemias del SIDA, la tuberculosis, la malaria y las enfermedades tropicales desatendidas y combatir la hepatitis, las enfermedades transmitidas por el agua y otras enfermedades transmisibles"/>
    <s v="3.3.2 Incidencia de la tuberculosis por cada 100.000 habitantes"/>
    <m/>
    <x v="2"/>
    <m/>
    <n v="2"/>
    <s v="03010852"/>
    <x v="103"/>
    <s v="Impacto"/>
    <s v="Geográfica_x000a_Edad_x000a_Sexo"/>
    <s v="Nacional, departamental y Municipal_x000a_Edad_x000a_Escolaridad_x000a_Urbano -  rural_x000a_Ocupación"/>
    <s v="Por 100.000 habitantes"/>
    <s v="Es el número de casos nuevos de tuberculosis en todas sus formas (nuevos y recaidas) diagnosticados en relacion a la poblacion total, en un tiempo determinado."/>
    <m/>
    <s v="Número de casos nuevos de tuberculosis en todas sus formas (nuevos y recaidas)"/>
    <s v="Registro Administrativo - PNCT"/>
    <s v="Población total en un tiempo determinado"/>
    <s v="Censo - PP"/>
    <s v="2000-2017"/>
    <m/>
    <n v="1"/>
    <s v="030108521"/>
    <s v="PNCT"/>
    <s v="Programa Nacional Contra la Tuberculosis"/>
    <s v="Registro administrativo"/>
    <s v="Mensual"/>
    <s v="2000-2017_x000a_"/>
    <s v="Nacional, Departamental, Municipal"/>
    <s v="Nacional"/>
    <s v="Edad_x000a_Sexo_x000a_Ocupación_x000a_Procedencia_x000a_Residencia_x000a_Nutrición_x000a_Vacunación - BCG_x000a_Enfermedades transmisibles"/>
    <m/>
    <s v="Ministerio de Salud (MS) "/>
    <s v="Viceministerio de Salud y Promoción (VMSP)"/>
    <s v="Dirección General de Servicios de Salud/Unidad de Epidemiología/Programa Nacional de Tuberculosis"/>
    <n v="2440590"/>
    <n v="2015"/>
    <n v="67.3"/>
    <n v="61.4"/>
    <m/>
    <n v="-5.8999999999999986"/>
    <n v="5"/>
    <n v="66.2"/>
    <n v="69.8"/>
    <n v="2.5"/>
    <n v="-0.42372881355932213"/>
    <n v="65.100000000000009"/>
    <n v="67.900000000000006"/>
    <n v="0.60000000000000853"/>
    <n v="-0.10169491525423875"/>
    <n v="64.000000000000014"/>
    <m/>
    <n v="-67.3"/>
    <n v="11.406779661016952"/>
    <n v="62.900000000000013"/>
    <m/>
    <n v="-67.3"/>
    <n v="11.406779661016952"/>
    <n v="61.400000000000013"/>
    <m/>
    <n v="-67.3"/>
    <n v="11.406779661016952"/>
    <m/>
    <m/>
    <m/>
    <m/>
    <m/>
  </r>
  <r>
    <x v="8"/>
    <s v="06/04/2018"/>
    <x v="5"/>
    <s v="Salud, Educación y  Deporte para la formación de un ser humano integral "/>
    <s v="0301"/>
    <s v="Acceso universal al servicio de salud."/>
    <n v="85"/>
    <m/>
    <m/>
    <m/>
    <s v="0301085"/>
    <s v="Se ha reducido la incidencia de casos y defunciones por enfermedadeds transmisibles"/>
    <m/>
    <m/>
    <s v="Impacto"/>
    <n v="1"/>
    <n v="0"/>
    <s v="Impacto"/>
    <n v="1"/>
    <n v="0"/>
    <s v="Impacto"/>
    <n v="1"/>
    <n v="0"/>
    <s v="Impacto"/>
    <n v="1"/>
    <n v="0"/>
    <s v="Etapa 1"/>
    <m/>
    <s v="3.3.2"/>
    <s v="3.3. De aquí a 2030, poner fin a las epidemias del SIDA, la tuberculosis, la malaria y las enfermedades tropicales desatendidas y combatir la hepatitis, las enfermedades transmitidas por el agua y otras enfermedades transmisibles"/>
    <s v="3.3.2 Incidencia de la tuberculosis por cada 100.000 habitantes"/>
    <m/>
    <x v="2"/>
    <m/>
    <n v="2"/>
    <s v="03010852"/>
    <x v="103"/>
    <s v="Impacto"/>
    <s v="Geográfica_x000a_Edad_x000a_Sexo"/>
    <s v="Nacional, departamental y Municipal_x000a_Edad_x000a_Escolaridad_x000a_Urbano -  rural_x000a_Ocupación"/>
    <s v="Por 100.000 habitantes"/>
    <s v="Es el número de casos nuevos de tuberculosis en todas sus formas (nuevos y recaidas) diagnosticados en relacion a la poblacion total, en un tiempo determinado."/>
    <m/>
    <s v="Número de casos nuevos de tuberculosis en todas sus formas (nuevos y recaidas)"/>
    <s v="Registro Administrativo - PNCT"/>
    <s v="Población total en un tiempo determinado"/>
    <s v="Censo - PP"/>
    <s v="2000-2017"/>
    <m/>
    <n v="2"/>
    <s v="030108522"/>
    <s v="PP"/>
    <s v="Proyecciones de Población"/>
    <s v="Censo"/>
    <s v="Anual"/>
    <s v="2000-2020"/>
    <s v="Nacional, Departamental, Municipal"/>
    <s v="Nacional, Departamental, Municipal"/>
    <s v="Edad_x000a_Sexo"/>
    <s v="A nivel Nacional y Departamental sòlo Edad y Sexo, y a nivel Municipal la población total."/>
    <s v="Instituto Nacional de Estadística (INE)"/>
    <s v="Direción de Estadísticas de Indicadores Económicos y Sociales (DEIES)"/>
    <s v="Unidad de Estadísticas de Indicadores Sociales"/>
    <n v="2222333"/>
    <m/>
    <m/>
    <m/>
    <m/>
    <m/>
    <m/>
    <m/>
    <m/>
    <n v="0"/>
    <e v="#DIV/0!"/>
    <m/>
    <m/>
    <n v="0"/>
    <e v="#DIV/0!"/>
    <m/>
    <m/>
    <n v="0"/>
    <e v="#DIV/0!"/>
    <m/>
    <m/>
    <n v="0"/>
    <e v="#DIV/0!"/>
    <m/>
    <m/>
    <n v="0"/>
    <e v="#DIV/0!"/>
    <m/>
    <m/>
    <m/>
    <m/>
    <m/>
  </r>
  <r>
    <x v="8"/>
    <s v="06/04/2018"/>
    <x v="5"/>
    <s v="Salud, Educación y  Deporte para la formación de un ser humano integral "/>
    <s v="0301"/>
    <s v="Acceso universal al servicio de salud."/>
    <n v="85"/>
    <m/>
    <m/>
    <m/>
    <s v="0301085"/>
    <s v="Se ha reducido la incidencia de casos y defunciones por enfermedades transmisibles"/>
    <m/>
    <m/>
    <s v="Impacto"/>
    <n v="1"/>
    <n v="0"/>
    <s v="Impacto"/>
    <n v="1"/>
    <n v="0"/>
    <s v="Impacto"/>
    <n v="1"/>
    <n v="0"/>
    <s v="Impacto"/>
    <n v="1"/>
    <n v="0"/>
    <s v="Etapa 1"/>
    <m/>
    <s v="3.3.3"/>
    <s v="3.3. De aquí a 2030, poner fin a las epidemias del SIDA, la tuberculosis, la malaria y las enfermedades tropicales desatendidas y combatir la hepatitis, las enfermedades transmitidas por el agua y otras enfermedades transmisibles"/>
    <s v="3.3.3 Incidencia de la malaria por cada 1.000 habitantes al año"/>
    <m/>
    <x v="2"/>
    <m/>
    <n v="3"/>
    <s v="03010853"/>
    <x v="104"/>
    <s v="Impacto"/>
    <s v="Geográfica_x000a_Edad_x000a_Sexo"/>
    <s v="Nacional, departamental y Municipal_x000a_Edad_x000a_Escolaridad_x000a_Urbano -  rural_x000a_Ocupación"/>
    <s v="Por 1.000 habitantes"/>
    <s v="Es el número de casos nuevos de malaria diagnosticados en el año de estudio."/>
    <m/>
    <s v="Número de casos confirmados de malaria."/>
    <s v="Registro Administrativo - PNCM"/>
    <s v="Población en riesgo"/>
    <s v="Registro Administrativo - PNCM"/>
    <s v="_x000a_2006-2017 _x000a_"/>
    <m/>
    <n v="1"/>
    <s v="030108531"/>
    <s v="PNCM"/>
    <s v="Programa Nacional de Control de la Malaria"/>
    <s v="Registro administrativo"/>
    <s v="Mensual"/>
    <s v="_x000a_2006-2017_x000a_"/>
    <s v="Nacional, Departamental, Municipal"/>
    <s v="Nacional, Departamental, Municipal"/>
    <s v="Procedencia_x000a_Residencia_x000a_Edad_x000a_Sexo"/>
    <m/>
    <s v="Ministerio de Salud (MS)"/>
    <s v="Viceministerio de Salud y Promoción (VMSP)"/>
    <s v="Dirección General de Servicios de Salud/Unidad de Epidemiología/Programa Nacional de Malaria (PNM)"/>
    <n v="2445782"/>
    <n v="2015"/>
    <n v="1.52"/>
    <n v="2"/>
    <n v="2"/>
    <n v="0.48"/>
    <n v="5"/>
    <n v="2"/>
    <n v="1.22"/>
    <n v="-0.30000000000000004"/>
    <n v="-0.62500000000000011"/>
    <n v="2"/>
    <n v="0.97"/>
    <n v="-0.55000000000000004"/>
    <n v="-1.1458333333333335"/>
    <n v="2"/>
    <m/>
    <n v="-1.52"/>
    <n v="-3.166666666666667"/>
    <n v="2"/>
    <m/>
    <n v="-1.52"/>
    <n v="-3.166666666666667"/>
    <n v="2"/>
    <m/>
    <n v="-1.52"/>
    <n v="-3.166666666666667"/>
    <m/>
    <m/>
    <m/>
    <m/>
    <m/>
  </r>
  <r>
    <x v="8"/>
    <d v="2018-04-09T00:00:00"/>
    <x v="5"/>
    <s v="Salud, Educación y  Deporte para la formación de un ser humano integral "/>
    <s v="0301"/>
    <s v="Acceso universal al servicio de salud."/>
    <n v="86"/>
    <s v="3.1.11"/>
    <n v="86"/>
    <s v="3.1.86"/>
    <s v="0301086"/>
    <s v="Se ha reducido la incidencia de casos y defunciones de enfermedades no transmisibles."/>
    <s v="Salud, Educación, Deporte"/>
    <s v="Salud"/>
    <s v="Impacto"/>
    <s v="Social"/>
    <s v="Salud"/>
    <m/>
    <m/>
    <s v="RS"/>
    <m/>
    <m/>
    <s v="M.Salud"/>
    <e v="#DIV/0!"/>
    <n v="0"/>
    <n v="1"/>
    <s v="Etapa 2"/>
    <n v="1"/>
    <s v="3.4.1"/>
    <s v="3.4. De aquí a 2030, reducir en un tercio la mortalidad prematura por enfermedades no transmisibles mediante su prevención y tratamiento, y promover la salud mental y el bienestar"/>
    <s v="3.4.1 Mortalidad de las enfermedades cardiovasculares, el cáncer, la diabetes y las enfermedades respiratorias crónicas_x000a_"/>
    <m/>
    <x v="0"/>
    <m/>
    <n v="1"/>
    <s v="03010861"/>
    <x v="105"/>
    <s v="Impacto"/>
    <m/>
    <s v="Sexo_x000a_Edad_x000a_Ocupación_x000a_Procedencia_x000a_Residencia"/>
    <s v="Por 1.000 habitantes"/>
    <s v="Es el total de casos nuevos de Cancer en todas sus formas en un tiempo determinado."/>
    <m/>
    <s v="Número total de casos nuevos de cancer en todas sus formas en un tiempo determinado"/>
    <s v="Registro administrativo - SNIS-VE"/>
    <s v="Poblacion total en un tiempo determinado"/>
    <s v="Censo - PP"/>
    <s v="2015-2017"/>
    <m/>
    <n v="1"/>
    <s v="030108611"/>
    <s v="SNIS-VE"/>
    <s v="Sistema Nacional de Información en Salud - Vigilancia Epidemiológica "/>
    <s v="Registro administrativo"/>
    <s v="Anual"/>
    <s v="2015-2017"/>
    <s v="Nacional, Departamental, Municipal"/>
    <s v="Nacional, Departamental, Municipal"/>
    <s v="Edad, Sexo, Ocupacion, Procedencia, Residencia"/>
    <m/>
    <s v="Ministerio de Salud (MS) "/>
    <s v="Viceministerio de Salud y Promoción (VMSP)"/>
    <s v="Direccción General de Planificación/Sistema Único de Información en Salud"/>
    <n v="2445754"/>
    <n v="2015"/>
    <n v="27"/>
    <n v="24.3"/>
    <n v="22.9"/>
    <n v="-2.6999999999999993"/>
    <n v="5"/>
    <n v="26.5"/>
    <m/>
    <n v="-27"/>
    <n v="10.000000000000002"/>
    <n v="26"/>
    <m/>
    <n v="-27"/>
    <n v="10.000000000000002"/>
    <n v="25.38"/>
    <m/>
    <n v="-27"/>
    <n v="10.000000000000002"/>
    <n v="24.84"/>
    <m/>
    <n v="-27"/>
    <n v="10.000000000000002"/>
    <n v="24.3"/>
    <m/>
    <n v="-27"/>
    <n v="10.000000000000002"/>
    <m/>
    <m/>
    <m/>
    <m/>
    <m/>
  </r>
  <r>
    <x v="8"/>
    <d v="2018-04-09T00:00:00"/>
    <x v="5"/>
    <s v="Salud, Educación y  Deporte para la formación de un ser humano integral "/>
    <s v="0301"/>
    <s v="Acceso universal al servicio de salud."/>
    <n v="86"/>
    <s v="3.1.11"/>
    <n v="86"/>
    <s v="3.1.86"/>
    <s v="0301086"/>
    <s v="Se ha reducido la incidencia de casos y defunciones de enfermedades no transmisibles."/>
    <s v="Salud, Educación, Deporte"/>
    <s v="Salud"/>
    <s v="Impacto"/>
    <s v="Social"/>
    <s v="Salud"/>
    <m/>
    <m/>
    <s v="RS"/>
    <m/>
    <m/>
    <s v="M.Salud"/>
    <e v="#DIV/0!"/>
    <n v="0"/>
    <n v="1"/>
    <s v="Etapa 2"/>
    <n v="1"/>
    <s v="3.4.1"/>
    <s v="3.4. De aquí a 2030, reducir en un tercio la mortalidad prematura por enfermedades no transmisibles mediante su prevención y tratamiento, y promover la salud mental y el bienestar"/>
    <s v="3.4.1 Mortalidad de las enfermedades cardiovasculares, el cáncer, la diabetes y las enfermedades respiratorias crónicas_x000a_"/>
    <m/>
    <x v="0"/>
    <m/>
    <n v="1"/>
    <s v="03010861"/>
    <x v="105"/>
    <s v="Impacto"/>
    <m/>
    <s v="Sexo_x000a_Edad_x000a_Ocupación_x000a_Procedencia_x000a_Residencia"/>
    <s v="Por 1.000 habitantes"/>
    <s v="Es el total de casos nuevos de Cancer en todas sus formas en un tiempo determinado."/>
    <m/>
    <s v="Número total de casos nuevos de cancer en todas sus formas en un tiempo determinado"/>
    <s v="Registro administrativo - SNIS-VE"/>
    <s v="Poblacion total en un tiempo determinado"/>
    <s v="Censo - PP"/>
    <s v="2015-2017"/>
    <m/>
    <n v="2"/>
    <s v="030108612"/>
    <s v="PP"/>
    <s v="Proyecciones de Población"/>
    <s v="Censo"/>
    <s v="Anual"/>
    <s v="2000-2020"/>
    <s v="Nacional, Departamental, Municipal"/>
    <s v="Nacional, Departamental, Municipal"/>
    <s v="Edad_x000a_Sexo"/>
    <s v="A nivel Nacional y Departamental sòlo Edad y Sexo, y a nivel Municipal la población total."/>
    <s v="Instituto Nacional de Estadística (INE)"/>
    <s v="Direción de Estadísticas de Indicadores Económicos y Sociales (DEIES)"/>
    <s v="Unidad de Estadísticas de Indicadores Sociales"/>
    <n v="2222333"/>
    <m/>
    <m/>
    <m/>
    <m/>
    <m/>
    <m/>
    <m/>
    <m/>
    <n v="0"/>
    <e v="#DIV/0!"/>
    <m/>
    <m/>
    <n v="0"/>
    <e v="#DIV/0!"/>
    <m/>
    <m/>
    <n v="0"/>
    <e v="#DIV/0!"/>
    <m/>
    <m/>
    <n v="0"/>
    <e v="#DIV/0!"/>
    <m/>
    <m/>
    <n v="0"/>
    <e v="#DIV/0!"/>
    <m/>
    <m/>
    <m/>
    <m/>
    <m/>
  </r>
  <r>
    <x v="8"/>
    <d v="2018-04-09T00:00:00"/>
    <x v="5"/>
    <s v="Salud, Educación y  Deporte para la formación de un ser humano integral "/>
    <s v="0301"/>
    <s v="Acceso universal al servicio de salud."/>
    <n v="86"/>
    <s v="3.1.11"/>
    <n v="86"/>
    <s v="3.1.86"/>
    <s v="0301086"/>
    <s v="Se ha reducido la incidencia de casos y defunciones de enfermedades no transmisibles."/>
    <s v="Salud, Educación, Deporte"/>
    <s v="Salud"/>
    <s v="Impacto"/>
    <s v="Social"/>
    <s v="Salud"/>
    <m/>
    <m/>
    <s v="RS"/>
    <m/>
    <m/>
    <s v="M.Salud"/>
    <e v="#DIV/0!"/>
    <n v="1"/>
    <n v="0"/>
    <s v="Etapa 1"/>
    <n v="1"/>
    <s v="3.4.1"/>
    <s v="3.4. De aquí a 2030, reducir en un tercio la mortalidad prematura por enfermedades no transmisibles mediante su prevención y tratamiento, y promover la salud mental y el bienestar"/>
    <s v="3.4.1 Mortalidad de las enfermedades cardiovasculares, el cáncer, la diabetes y las enfermedades respiratorias crónicas_x000a_"/>
    <m/>
    <x v="0"/>
    <m/>
    <n v="1"/>
    <s v="03010861"/>
    <x v="106"/>
    <s v="Impacto"/>
    <m/>
    <s v="Sexo_x000a_Edad_x000a_Ocupación_x000a_Procedencia_x000a_Residencia"/>
    <s v="Por 100.000 habitantes"/>
    <s v="Mide el número total de casos nuevos con presion arterial sistolica mayor o igual a 140 mmHg y/o presion arterial diastolica mayor o igual a 90 mmHg en personas mayores de 19 años, por cada 10.000 habitantes en un tiempo determinado."/>
    <m/>
    <s v="Número total de casos nuevos diagnosticados con  hipertension arterial en un tiempo determinado"/>
    <s v="Registro administrativo - SNIS-VE"/>
    <s v="Poblacion total en un tiempo determinado"/>
    <s v="Censo - PP"/>
    <s v="2010-2017"/>
    <m/>
    <n v="1"/>
    <s v="030108611"/>
    <s v="SNIS-VE"/>
    <s v="Sistema Nacional de Información en Salud - Vigilancia Epidemiológica "/>
    <s v="Registro administrativo"/>
    <s v="Mensual"/>
    <s v="2010-2017"/>
    <s v="Nacional, Departamental, Municipal"/>
    <s v="Nacional, Departamental, Municipal"/>
    <s v="Edad, Sexo, Ocupacion, Procedencia, Residencia"/>
    <m/>
    <s v="Ministerio de Salud (MS) "/>
    <s v="Viceministerio de Salud y Promoción (VMSP)"/>
    <s v="Direccción General de Planificación/Sistema Único de Información en Salud"/>
    <n v="2445754"/>
    <n v="2015"/>
    <n v="1600"/>
    <n v="2800"/>
    <n v="1500"/>
    <n v="1200"/>
    <n v="5"/>
    <n v="1840"/>
    <n v="2188"/>
    <n v="588"/>
    <n v="0.49"/>
    <n v="2080"/>
    <n v="2609"/>
    <n v="1009"/>
    <n v="0.84083333333333332"/>
    <n v="2320"/>
    <m/>
    <n v="-1600"/>
    <n v="-1.3333333333333333"/>
    <n v="2560"/>
    <m/>
    <n v="-1600"/>
    <n v="-1.3333333333333333"/>
    <n v="2800"/>
    <m/>
    <n v="-1600"/>
    <n v="-1.3333333333333333"/>
    <m/>
    <m/>
    <m/>
    <m/>
    <m/>
  </r>
  <r>
    <x v="8"/>
    <d v="2018-04-09T00:00:00"/>
    <x v="5"/>
    <s v="Salud, Educación y  Deporte para la formación de un ser humano integral "/>
    <s v="0301"/>
    <s v="Acceso universal al servicio de salud."/>
    <n v="86"/>
    <s v="3.1.11"/>
    <n v="86"/>
    <s v="3.1.86"/>
    <s v="0301086"/>
    <s v="Se ha reducido la incidencia de casos y defunciones de enfermedades no transmisibles."/>
    <s v="Salud, Educación, Deporte"/>
    <s v="Salud"/>
    <s v="Impacto"/>
    <s v="Social"/>
    <s v="Salud"/>
    <m/>
    <m/>
    <s v="RS"/>
    <m/>
    <m/>
    <s v="M.Salud"/>
    <e v="#DIV/0!"/>
    <n v="1"/>
    <n v="0"/>
    <s v="Etapa 1"/>
    <n v="1"/>
    <s v="3.4.1"/>
    <s v="3.4. De aquí a 2030, reducir en un tercio la mortalidad prematura por enfermedades no transmisibles mediante su prevención y tratamiento, y promover la salud mental y el bienestar"/>
    <s v="3.4.1 Mortalidad de las enfermedades cardiovasculares, el cáncer, la diabetes y las enfermedades respiratorias crónicas_x000a_"/>
    <m/>
    <x v="0"/>
    <m/>
    <n v="1"/>
    <s v="03010861"/>
    <x v="106"/>
    <s v="Impacto"/>
    <m/>
    <s v="Sexo_x000a_Edad_x000a_Ocupación_x000a_Procedencia_x000a_Residencia"/>
    <s v="Por 100.000 habitantes"/>
    <s v="Mide el número total de casos nuevos con presion arterial sistolica mayor o igual a 140 mmHg y/o presion arterial diastolica mayor o igual a 90 mmHg en personas mayores de 19 años, por cada 10.000 habitantes en un tiempo determinado."/>
    <m/>
    <s v="Número total de casos nuevos diagnosticados con  hipertension arterial en un tiempo determinado"/>
    <s v="Registro administrativo - SNIS-VE"/>
    <s v="Poblacion total en un tiempo determinado"/>
    <s v="Censo - PP"/>
    <s v="2010-2017"/>
    <m/>
    <n v="2"/>
    <s v="030108612"/>
    <s v="PP"/>
    <s v="Proyecciones de Población"/>
    <s v="Censo"/>
    <s v="Anual"/>
    <s v="2000-2020"/>
    <s v="Nacional, Departamental, Municipal"/>
    <s v="Nacional, Departamental, Municipal"/>
    <s v="Edad_x000a_Sexo"/>
    <s v="A nivel Nacional y Departamental sòlo Edad y Sexo, y a nivel Municipal la población total."/>
    <s v="Instituto Nacional de Estadística (INE)"/>
    <s v="Direción de Estadísticas de Indicadores Económicos y Sociales (DEIES)"/>
    <s v="Unidad de Estadísticas de Indicadores Sociales"/>
    <n v="2222333"/>
    <m/>
    <m/>
    <m/>
    <m/>
    <m/>
    <m/>
    <m/>
    <m/>
    <n v="0"/>
    <e v="#DIV/0!"/>
    <m/>
    <m/>
    <n v="0"/>
    <e v="#DIV/0!"/>
    <m/>
    <m/>
    <n v="0"/>
    <e v="#DIV/0!"/>
    <m/>
    <m/>
    <n v="0"/>
    <e v="#DIV/0!"/>
    <m/>
    <m/>
    <n v="0"/>
    <e v="#DIV/0!"/>
    <m/>
    <m/>
    <m/>
    <m/>
    <m/>
  </r>
  <r>
    <x v="8"/>
    <d v="2018-04-09T00:00:00"/>
    <x v="5"/>
    <s v="Salud, Educación y  Deporte para la formación de un ser humano integral "/>
    <s v="0301"/>
    <s v="Acceso universal al servicio de salud."/>
    <n v="86"/>
    <s v="3.1.11"/>
    <n v="86"/>
    <s v="3.1.86"/>
    <s v="0301086"/>
    <s v="Se ha reducido la incidencia de casos y defunciones de enfermedades no transmisibles."/>
    <s v="Salud, Educación, Deporte"/>
    <s v="Salud"/>
    <s v="Impacto"/>
    <s v="Social"/>
    <s v="Salud"/>
    <m/>
    <m/>
    <s v="RS"/>
    <m/>
    <m/>
    <s v="M.Salud"/>
    <e v="#DIV/0!"/>
    <n v="1"/>
    <n v="0"/>
    <s v="Etapa 1"/>
    <n v="1"/>
    <s v="3.4.1"/>
    <s v="3.4. De aquí a 2030, reducir en un tercio la mortalidad prematura por enfermedades no transmisibles mediante su prevención y tratamiento, y promover la salud mental y el bienestar"/>
    <s v="3.4.1 Mortalidad de las enfermedades cardiovasculares, el cáncer, la diabetes y las enfermedades respiratorias crónicas_x000a_"/>
    <m/>
    <x v="0"/>
    <m/>
    <n v="1"/>
    <s v="03010861"/>
    <x v="107"/>
    <s v="Impacto"/>
    <m/>
    <s v="Sexo_x000a_Edad_x000a_Ocupación_x000a_Procedencia_x000a_Residencia"/>
    <s v="Por 100.000 habitantes"/>
    <s v="Es el total de casos nuevos de diabetes (gestacional, tipo I y tipo II) en un tiempo determinado."/>
    <m/>
    <s v="Número total de casos nuevos diagnosicados con diabetes (gestacional, tipo I y tipo II) en un tiempo determinado"/>
    <s v="Registro administrativo - SNIS-VE"/>
    <s v="Poblacion total en un tiempo determinado"/>
    <s v="Censo - PP"/>
    <s v="2010-2017"/>
    <m/>
    <n v="1"/>
    <s v="030108611"/>
    <s v="SNIS-VE"/>
    <s v="Sistema Nacional de Información en Salud - Vigilancia Epidemiológica "/>
    <s v="Registro administrativo"/>
    <s v="Mensual"/>
    <s v="2010-2017"/>
    <s v="Nacional, Departamental, Municipal"/>
    <s v="Nacional, Departamental, Municipal"/>
    <s v="Edad, Sexo, Ocupacion, Procedencia, Residencia"/>
    <m/>
    <s v="Ministerio de Salud (MS) "/>
    <s v="Viceministerio de Salud y Promoción (VMSP)"/>
    <s v="Direccción General de Planificación/Sistema Único de Información en Salud"/>
    <n v="2445754"/>
    <n v="2015"/>
    <n v="906"/>
    <n v="1700"/>
    <n v="906"/>
    <n v="794"/>
    <n v="5"/>
    <n v="1065"/>
    <n v="1257"/>
    <n v="351"/>
    <n v="0.44206549118387911"/>
    <n v="1224"/>
    <n v="1468"/>
    <n v="562"/>
    <n v="0.70780856423173799"/>
    <n v="1383"/>
    <m/>
    <n v="-906"/>
    <n v="-1.1410579345088161"/>
    <n v="1542"/>
    <m/>
    <n v="-906"/>
    <n v="-1.1410579345088161"/>
    <n v="1700"/>
    <m/>
    <n v="-906"/>
    <n v="-1.1410579345088161"/>
    <m/>
    <m/>
    <m/>
    <m/>
    <m/>
  </r>
  <r>
    <x v="8"/>
    <d v="2018-04-09T00:00:00"/>
    <x v="5"/>
    <s v="Salud, Educación y  Deporte para la formación de un ser humano integral "/>
    <s v="0301"/>
    <s v="Acceso universal al servicio de salud."/>
    <n v="86"/>
    <s v="3.1.11"/>
    <n v="86"/>
    <s v="3.1.86"/>
    <s v="0301086"/>
    <s v="Se ha reducido la incidencia de casos y defunciones de enfermedades no transmisibles."/>
    <s v="Salud, Educación, Deporte"/>
    <s v="Salud"/>
    <s v="Impacto"/>
    <s v="Social"/>
    <s v="Salud"/>
    <m/>
    <m/>
    <s v="RS"/>
    <m/>
    <m/>
    <s v="M.Salud"/>
    <e v="#DIV/0!"/>
    <n v="1"/>
    <n v="0"/>
    <s v="Etapa 1"/>
    <n v="1"/>
    <s v="3.4.1"/>
    <s v="3.4. De aquí a 2030, reducir en un tercio la mortalidad prematura por enfermedades no transmisibles mediante su prevención y tratamiento, y promover la salud mental y el bienestar"/>
    <s v="3.4.1 Mortalidad de las enfermedades cardiovasculares, el cáncer, la diabetes y las enfermedades respiratorias crónicas_x000a_"/>
    <m/>
    <x v="0"/>
    <m/>
    <n v="1"/>
    <s v="03010861"/>
    <x v="107"/>
    <s v="Impacto"/>
    <m/>
    <s v="Sexo_x000a_Edad_x000a_Ocupación_x000a_Procedencia_x000a_Residencia"/>
    <s v="Por 100.000 habitantes"/>
    <s v="Es el total de casos nuevos de diabetes (gestacional, tipo I y tipo II) en un tiempo determinado."/>
    <m/>
    <s v="Número total de casos nuevos diagnosicados con diabetes (gestacional, tipo I y tipo II) en un tiempo determinado"/>
    <s v="Registro administrativo - SNIS-VE"/>
    <s v="Poblacion total en un tiempo determinado"/>
    <s v="Censo - PP"/>
    <s v="2010-2017"/>
    <m/>
    <n v="2"/>
    <s v="030108612"/>
    <s v="PP"/>
    <s v="Proyecciones de Población"/>
    <s v="Censo"/>
    <s v="Anual"/>
    <s v="2000-2020"/>
    <s v="Nacional, Departamental, Municipal"/>
    <s v="Nacional, Departamental, Municipal"/>
    <s v="Edad_x000a_Sexo"/>
    <s v="A nivel Nacional y Departamental sòlo Edad y Sexo, y a nivel Municipal la población total."/>
    <s v="Instituto Nacional de Estadística (INE)"/>
    <s v="Direción de Estadísticas de Indicadores Económicos y Sociales (DEIES)"/>
    <s v="Unidad de Estadísticas de Indicadores Sociales"/>
    <n v="2222333"/>
    <m/>
    <m/>
    <m/>
    <m/>
    <m/>
    <m/>
    <m/>
    <m/>
    <n v="0"/>
    <e v="#DIV/0!"/>
    <m/>
    <m/>
    <n v="0"/>
    <e v="#DIV/0!"/>
    <m/>
    <m/>
    <n v="0"/>
    <e v="#DIV/0!"/>
    <m/>
    <m/>
    <n v="0"/>
    <e v="#DIV/0!"/>
    <m/>
    <m/>
    <n v="0"/>
    <e v="#DIV/0!"/>
    <m/>
    <m/>
    <m/>
    <m/>
    <m/>
  </r>
  <r>
    <x v="8"/>
    <d v="2018-04-09T00:00:00"/>
    <x v="5"/>
    <s v="Salud, Educación y  Deporte para la formación de un ser humano integral "/>
    <s v="0301"/>
    <s v="Acceso universal al servicio de salud."/>
    <n v="87"/>
    <s v="3.1.12"/>
    <n v="87"/>
    <s v="3.1.87"/>
    <s v="0301087"/>
    <s v="Al menos 90% de los establecimientos de salud reportan información al Sistema Único de Información en Salud (SUIS)."/>
    <s v="Salud, Educación, Deporte"/>
    <s v="Salud"/>
    <s v="Resultado"/>
    <s v="Social"/>
    <s v="Salud"/>
    <m/>
    <m/>
    <s v="PC"/>
    <m/>
    <m/>
    <m/>
    <e v="#DIV/0!"/>
    <n v="0"/>
    <n v="1"/>
    <s v="ETAPA 3"/>
    <m/>
    <m/>
    <m/>
    <m/>
    <s v="No cuenta con indicadores ODS"/>
    <x v="1"/>
    <m/>
    <n v="1"/>
    <s v="03010871"/>
    <x v="108"/>
    <s v="Proceso"/>
    <m/>
    <s v="Nacional, departamental y Municipal_x000a_Urbano -  rural"/>
    <s v="Porcentaje"/>
    <s v="Es el porcentaje de establecimientos de salud que reportan información en salud al SUIS, en un tiempo determinado."/>
    <m/>
    <s v="Número de establecimientos de salud que reportan información en salud al SUIS "/>
    <s v="Registro Administrativo - SUIS"/>
    <s v="Número total de establecimientos de salud en un tiempo determinado"/>
    <s v="Registro Administrativo - SUIS"/>
    <s v="1990-2017"/>
    <m/>
    <n v="1"/>
    <s v="030108711"/>
    <s v="SUIS"/>
    <s v="Sistema Único de Información en Salud"/>
    <s v="Registro administrativo"/>
    <s v="Mensual"/>
    <s v="n.d."/>
    <s v="Nacional"/>
    <s v="Nacional, Departamental, Municipal,_x000a_Establecimiento de Salud"/>
    <s v="Edad, sexo, Ocupacion, Procedencia, Residencia, escolaraidad, indicadores nutricionales"/>
    <s v="El SUIS se encuentra en etapa de elaboración de normas , protocolos y diseños de software"/>
    <s v="Ministerio de Salud (MS)"/>
    <s v="Viceministerio de Salud y Promoción (VMSP)"/>
    <s v="Direccción General de Planificación/Sistema Único de Información en Salud"/>
    <n v="2440336"/>
    <n v="2015"/>
    <n v="0"/>
    <n v="0.4"/>
    <n v="0.9"/>
    <n v="0.4"/>
    <n v="5"/>
    <n v="0.08"/>
    <m/>
    <n v="0"/>
    <n v="0"/>
    <n v="0.16"/>
    <m/>
    <n v="0"/>
    <n v="0"/>
    <n v="0.24"/>
    <m/>
    <n v="0"/>
    <n v="0"/>
    <n v="0.32"/>
    <m/>
    <n v="0"/>
    <n v="0"/>
    <n v="0.4"/>
    <m/>
    <n v="0"/>
    <n v="0"/>
    <m/>
    <m/>
    <m/>
    <m/>
    <m/>
  </r>
  <r>
    <x v="9"/>
    <s v="06/04/2018"/>
    <x v="5"/>
    <s v="Salud, Educación y  Deporte para la formación de un ser humano integral "/>
    <s v="0302"/>
    <s v="Integración de la salud convencional con la ancestral"/>
    <n v="88"/>
    <m/>
    <m/>
    <m/>
    <s v="0302088"/>
    <s v="Se ha invertido $us1.700 millones en la construcción, ampliación y equipamiento de 47 institutos y hospitales de salud de forma concurrente con las ETAs."/>
    <m/>
    <m/>
    <s v="Producto"/>
    <m/>
    <m/>
    <m/>
    <m/>
    <m/>
    <m/>
    <m/>
    <m/>
    <m/>
    <n v="1"/>
    <n v="0"/>
    <s v="Etapa 1"/>
    <m/>
    <m/>
    <m/>
    <m/>
    <s v="No cuenta con indicadores ODS"/>
    <x v="1"/>
    <m/>
    <n v="1"/>
    <s v="03020881"/>
    <x v="109"/>
    <s v="Producto"/>
    <m/>
    <s v="nacional"/>
    <s v="Porcentaje"/>
    <s v="Es el porcentaje de ejecución  financiera del Plan de Hospitales"/>
    <m/>
    <s v="Presupuesto Ejecutado del Plan de Hospitales"/>
    <s v="Registro Administrativo - MS-AISEM-UPRE"/>
    <s v="Presupuesto programado del Plan de Hospitales"/>
    <s v="Registro Administrativo - MS-AISEM-UPRE"/>
    <s v="2015-2017"/>
    <m/>
    <n v="1"/>
    <s v="030208811"/>
    <s v="MS-AISEM-UPRE"/>
    <s v="Ministerio de Salud (MS)-Agencia de Insfraestructura en Salud y Equipamiento Médico (AISEM)-Unidad de Proyectos Especiales (UPRE)"/>
    <s v="Registro administrativo"/>
    <s v="Trimestral"/>
    <s v="2015-2017"/>
    <s v="Nacional"/>
    <s v="Nacional, Departamental, Municipal"/>
    <s v="n.a."/>
    <m/>
    <s v="Ministerio de Salud (MS)-Agencia de Insfraestructura en Salud y Equipamiento Médico (AISEM)-Unidad de Proyectos Especiales (UPRE)"/>
    <s v="Viceministerio de Salud_x000a_AISEM_x000a_UPRE"/>
    <s v="Direción General de Planificación_x000a_AISEM_x000a_UPRE"/>
    <n v="2443521"/>
    <n v="2015"/>
    <n v="0"/>
    <n v="1"/>
    <m/>
    <n v="1"/>
    <n v="5"/>
    <n v="0.2"/>
    <m/>
    <n v="0"/>
    <n v="0"/>
    <n v="0.4"/>
    <m/>
    <n v="0"/>
    <n v="0"/>
    <n v="0.60000000000000009"/>
    <m/>
    <n v="0"/>
    <n v="0"/>
    <n v="0.8"/>
    <m/>
    <n v="0"/>
    <n v="0"/>
    <n v="1"/>
    <m/>
    <n v="0"/>
    <n v="0"/>
    <m/>
    <m/>
    <m/>
    <m/>
    <m/>
  </r>
  <r>
    <x v="9"/>
    <s v="06/04/2018"/>
    <x v="5"/>
    <s v="Salud, Educación y  Deporte para la formación de un ser humano integral "/>
    <s v="0302"/>
    <s v="Integración de la salud convencional con la ancestral"/>
    <n v="89"/>
    <m/>
    <m/>
    <m/>
    <s v="0302089"/>
    <s v="Se han construido 4 Institutos de 4to. Nivel. Se han construido y ampliado 12 hospitales de 3er. Nivel. _x000a_Se han construido, ampliado y equipado 31 hospitales de 2do. Nivel"/>
    <m/>
    <m/>
    <s v="Producto"/>
    <m/>
    <m/>
    <m/>
    <m/>
    <m/>
    <m/>
    <m/>
    <m/>
    <m/>
    <n v="1"/>
    <n v="0"/>
    <s v="Etapa 1"/>
    <m/>
    <m/>
    <m/>
    <m/>
    <s v="No cuenta con indicadores ODS"/>
    <x v="1"/>
    <m/>
    <n v="1"/>
    <s v="03020891"/>
    <x v="110"/>
    <s v="Producto"/>
    <m/>
    <s v="Nacional"/>
    <s v="Número"/>
    <s v="Mide el número de Institutos de Cuarto Nivel de Salud en ejecución"/>
    <s v="n.a."/>
    <s v="Número de Institutos de Cuarto Nivel de Salud en ejecución "/>
    <s v="Registro Administrativo - AISEM"/>
    <s v="n.a."/>
    <s v="n.a."/>
    <s v="2015-2017"/>
    <m/>
    <n v="1"/>
    <s v="030208911"/>
    <s v="AISEM"/>
    <s v="Agencia de Insfraestructura en Salud y Equipamiento Médico (AISEM)"/>
    <s v="Registro administrativo"/>
    <s v="Trimestral"/>
    <s v="2015-2017"/>
    <s v="Nacional"/>
    <s v="Nacional, Departamental, Municipal"/>
    <s v="n.a."/>
    <m/>
    <s v="Agencia de Insfraestructura en Salud y Equipamiento Médico (AISEM)"/>
    <s v="Agencia de Insfraestructura en Salud y Equipamiento Médico (AISEM)"/>
    <s v="Agencia de Insfraestructura en Salud y Equipamiento Médico (AISEM)"/>
    <m/>
    <n v="2015"/>
    <n v="0"/>
    <n v="4"/>
    <m/>
    <n v="4"/>
    <n v="5"/>
    <n v="0"/>
    <n v="0"/>
    <n v="0"/>
    <n v="0"/>
    <n v="0"/>
    <n v="0"/>
    <n v="0"/>
    <n v="0"/>
    <n v="0"/>
    <n v="0"/>
    <n v="0"/>
    <n v="0"/>
    <n v="3"/>
    <m/>
    <n v="0"/>
    <n v="0"/>
    <n v="4"/>
    <m/>
    <n v="0"/>
    <n v="0"/>
    <m/>
    <m/>
    <m/>
    <m/>
    <m/>
  </r>
  <r>
    <x v="9"/>
    <s v="06/04/2018"/>
    <x v="5"/>
    <s v="Salud, Educación y  Deporte para la formación de un ser humano integral "/>
    <s v="0302"/>
    <s v="Integración de la salud convencional con la ancestral"/>
    <n v="89"/>
    <m/>
    <m/>
    <m/>
    <s v="0302089"/>
    <s v="Se han construido 4 Institutos de 4to. Nivel. Se han construido y ampliado 12 hospitales de 3er. Nivel. _x000a_Se han construido, ampliado y equipado 31 hospitales de 2do. Nivel"/>
    <m/>
    <m/>
    <s v="Producto"/>
    <m/>
    <m/>
    <m/>
    <m/>
    <m/>
    <m/>
    <m/>
    <m/>
    <m/>
    <n v="1"/>
    <n v="0"/>
    <s v="Etapa 1"/>
    <m/>
    <m/>
    <m/>
    <m/>
    <s v="No cuenta con indicadores ODS"/>
    <x v="1"/>
    <m/>
    <n v="1"/>
    <s v="03020891"/>
    <x v="111"/>
    <s v="Producto"/>
    <m/>
    <s v="nacional"/>
    <s v="Porcentaje"/>
    <s v="Es el porcentaje de ejecución  financiera de los Institutos de Cuarto Nivel de Salud"/>
    <m/>
    <s v="Presupuesto Ejecutado de los Institutos de Cuarto Nivel de Salud"/>
    <s v="Registro Administrativo - AISEM"/>
    <s v="Presupuesto programado de los Institutos de Cuarto Nivel de Salud"/>
    <s v="Registro Administrativo - AISEM"/>
    <s v="2015-2017"/>
    <m/>
    <n v="2"/>
    <s v="030208912"/>
    <s v="AISEM"/>
    <s v="Agencia de Insfraestructura en Salud y Equipamiento Médico (AISEM)"/>
    <s v="Registro administrativo"/>
    <s v="Trimestral"/>
    <s v="2015-2017"/>
    <s v="Nacional"/>
    <s v="Nacional, Departamental, Municipal"/>
    <s v="n.a."/>
    <m/>
    <s v="Agencia de Insfraestructura en Salud y Equipamiento Médico (AISEM)"/>
    <s v="Agencia de Insfraestructura en Salud y Equipamiento Médico (AISEM)"/>
    <s v="Agencia de Insfraestructura en Salud y Equipamiento Médico (AISEM)"/>
    <m/>
    <n v="2015"/>
    <n v="0"/>
    <n v="1"/>
    <s v="-"/>
    <n v="1"/>
    <n v="5"/>
    <n v="0"/>
    <n v="0"/>
    <n v="0"/>
    <n v="0"/>
    <n v="0"/>
    <n v="0"/>
    <n v="0"/>
    <n v="0"/>
    <n v="0"/>
    <m/>
    <n v="0"/>
    <n v="0"/>
    <n v="0"/>
    <m/>
    <n v="0"/>
    <n v="0"/>
    <n v="0"/>
    <m/>
    <n v="0"/>
    <n v="0"/>
    <m/>
    <m/>
    <m/>
    <m/>
    <m/>
  </r>
  <r>
    <x v="9"/>
    <s v="06/04/2018"/>
    <x v="5"/>
    <s v="Salud, Educación y  Deporte para la formación de un ser humano integral "/>
    <s v="0302"/>
    <s v="Integración de la salud convencional con la ancestral"/>
    <n v="89"/>
    <m/>
    <m/>
    <m/>
    <s v="0302089"/>
    <s v="Se han construido 4 Institutos de 4to. Nivel. Se han construido y ampliado 12 hospitales de 3er. Nivel. _x000a_Se han construido, ampliado y equipado 31 hospitales de 2do. Nivel"/>
    <m/>
    <m/>
    <s v="Producto"/>
    <m/>
    <m/>
    <m/>
    <m/>
    <m/>
    <m/>
    <m/>
    <m/>
    <m/>
    <n v="1"/>
    <n v="0"/>
    <s v="Etapa 1"/>
    <m/>
    <m/>
    <m/>
    <m/>
    <s v="No cuenta con indicadores ODS"/>
    <x v="1"/>
    <m/>
    <n v="1"/>
    <s v="03020891"/>
    <x v="112"/>
    <s v="Producto"/>
    <m/>
    <s v="Nacional"/>
    <s v="Número"/>
    <s v="Mide el número de Establecimiento de Salud de Tercer Nivel en ejecución "/>
    <s v="n.a."/>
    <s v="Número de Establecimientos de Salud de Tercer Nivel en ejecución "/>
    <s v="Registro Administrativo - MS_x000a_AISEM_x000a_UPRE"/>
    <s v="n.a."/>
    <s v="n.a."/>
    <s v="2015-2017"/>
    <s v="Se debe considerar que por DS se han incrementado 2 Hospitales de Segundo Nivel, el cual incrementa el número de hospitales de 12 a 14."/>
    <n v="1"/>
    <s v="030208911"/>
    <s v="MS_x000a_AISEM_x000a_UPRE"/>
    <s v="Ministerio de Salud (MS)_x000a_Agencia de Insfraestructura en Salud y Equipamiento Médico (AISEM)_x000a_Unidad de Proyectos Especiales (UPRE)"/>
    <s v="Registro administrativo"/>
    <s v="Trimestral"/>
    <s v="2015-2017"/>
    <s v="Nacional"/>
    <s v="Nacional, Departamental, Municipal"/>
    <s v="n.a."/>
    <m/>
    <s v="Ministerio de Salud (MS)_x000a_Agencia de Insfraestructura en Salud y Equipamiento Médico (AISEM)_x000a_Unidad de Proyectos Especiales (UPRE)"/>
    <s v="- Viceministerio de Salud y Promoción (VMPS)_x000a_- Agencia de Insfraestructura en Salud y Equipamiento Médico (AISEM)_x000a_- Unidad de Proyectos Especiales (UPRE)"/>
    <s v="- Unidad de Gestión de Programas y Proyectos (UGESPRO)_x000a_- Agencia de Insfraestructura en Salud y Equipamiento Médico (AISEM)_x000a_- Unidad de Proyectos Especiales (UPRE)"/>
    <m/>
    <n v="2015"/>
    <n v="0"/>
    <n v="12"/>
    <s v="-"/>
    <n v="12"/>
    <n v="5"/>
    <n v="0"/>
    <n v="0"/>
    <n v="0"/>
    <n v="0"/>
    <n v="0"/>
    <n v="0"/>
    <n v="0"/>
    <n v="0"/>
    <n v="0"/>
    <n v="0"/>
    <n v="0"/>
    <n v="0"/>
    <n v="3"/>
    <m/>
    <n v="0"/>
    <n v="0"/>
    <n v="4"/>
    <m/>
    <n v="0"/>
    <n v="0"/>
    <m/>
    <m/>
    <m/>
    <m/>
    <m/>
  </r>
  <r>
    <x v="9"/>
    <s v="06/04/2018"/>
    <x v="5"/>
    <s v="Salud, Educación y  Deporte para la formación de un ser humano integral "/>
    <s v="0302"/>
    <s v="Integración de la salud convencional con la ancestral"/>
    <n v="89"/>
    <m/>
    <m/>
    <m/>
    <s v="0302089"/>
    <s v="Se han construido 4 Institutos de 4to. Nivel. Se han construido y ampliado 12 hospitales de 3er. Nivel. _x000a_Se han construido, ampliado y equipado 31 hospitales de 2do. Nivel"/>
    <m/>
    <m/>
    <s v="Producto"/>
    <m/>
    <m/>
    <m/>
    <m/>
    <m/>
    <m/>
    <m/>
    <m/>
    <m/>
    <n v="1"/>
    <n v="0"/>
    <s v="Etapa 1"/>
    <m/>
    <m/>
    <m/>
    <m/>
    <s v="No cuenta con indicadores ODS"/>
    <x v="1"/>
    <m/>
    <n v="1"/>
    <s v="03020891"/>
    <x v="113"/>
    <s v="Producto"/>
    <m/>
    <s v="nacional"/>
    <s v="Porcentaje"/>
    <s v="Es el porcentaje de ejecución  financiera de los Establecimientos de Salud de Tercer Nivel"/>
    <m/>
    <s v="Presupuesto Ejecutado de los Establecimientos de Salud de Tercer Nivel "/>
    <s v="Registro Administrativo - MS_x000a_AISEM_x000a_UPRE"/>
    <s v="Presupuesto programado de los Establecimientos de Salud de Tercer Nivel "/>
    <s v="Registro Administrativo - MS_x000a_AISEM_x000a_UPRE"/>
    <s v="2015-2017"/>
    <m/>
    <n v="2"/>
    <s v="030208912"/>
    <s v="MS_x000a_AISEM_x000a_UPRE"/>
    <s v="Ministerio de Salud (MS)_x000a_Agencia de Insfraestructura en Salud y Equipamiento Médico (AISEM)_x000a_Unidad de Proyectos Especiales (UPRE)"/>
    <s v="Registro administrativo"/>
    <s v="Trimestral"/>
    <s v="2015-2017"/>
    <s v="Nacional"/>
    <s v="Nacional, Departamental, Municipal"/>
    <s v="n.a."/>
    <m/>
    <s v="Ministerio de Salud (MS)_x000a_Agencia de Insfraestructura en Salud y Equipamiento Médico (AISEM)_x000a_Unidad de Proyectos Especiales (UPRE)"/>
    <s v="- Viceministerio de Salud y Promoción (VMPS)_x000a_- Agencia de Insfraestructura en Salud y Equipamiento Médico (AISEM)_x000a_- Unidad de Proyectos Especiales (UPRE)"/>
    <s v="- Unidad de Gestión de Programas y Proyectos (UGESPRO)_x000a_- Agencia de Insfraestructura en Salud y Equipamiento Médico (AISEM)_x000a_- Unidad de Proyectos Especiales (UPRE)"/>
    <m/>
    <n v="2015"/>
    <n v="0"/>
    <n v="1"/>
    <s v="-"/>
    <n v="1"/>
    <n v="5"/>
    <n v="0.2"/>
    <n v="0"/>
    <n v="0"/>
    <n v="0"/>
    <n v="0.4"/>
    <n v="0"/>
    <n v="0"/>
    <n v="0"/>
    <n v="0.60000000000000009"/>
    <m/>
    <n v="0"/>
    <n v="0"/>
    <n v="0.8"/>
    <m/>
    <n v="0"/>
    <n v="0"/>
    <n v="1"/>
    <m/>
    <n v="0"/>
    <n v="0"/>
    <m/>
    <m/>
    <m/>
    <m/>
    <m/>
  </r>
  <r>
    <x v="9"/>
    <s v="06/04/2018"/>
    <x v="5"/>
    <s v="Salud, Educación y  Deporte para la formación de un ser humano integral "/>
    <s v="0302"/>
    <s v="Integración de la salud convencional con la ancestral"/>
    <n v="89"/>
    <m/>
    <m/>
    <m/>
    <s v="0302089"/>
    <s v="Se han construido 4 Institutos de 4to. Nivel. Se han construido y ampliado 12 hospitales de 3er. Nivel. _x000a_Se han construido, ampliado y equipado 31 hospitales de 2do. Nivel"/>
    <m/>
    <m/>
    <s v="Producto"/>
    <m/>
    <m/>
    <m/>
    <m/>
    <m/>
    <m/>
    <m/>
    <m/>
    <m/>
    <n v="1"/>
    <n v="0"/>
    <s v="Etapa 1"/>
    <m/>
    <m/>
    <m/>
    <m/>
    <s v="No cuenta con indicadores ODS"/>
    <x v="1"/>
    <m/>
    <n v="1"/>
    <s v="03020891"/>
    <x v="114"/>
    <s v="Producto"/>
    <m/>
    <s v="Nacional"/>
    <s v="Número"/>
    <s v="Mide el número de Establecimientos de Salud de Segundo Nivel en ejecución "/>
    <s v="n.a."/>
    <s v="Número de Establecimientos de Salud de Segundo Nivel en ejecución "/>
    <s v="Registro Administrativo - AISEM"/>
    <s v="n.a."/>
    <s v="n.a."/>
    <s v="2015-2017"/>
    <m/>
    <n v="1"/>
    <s v="030208911"/>
    <s v="AISEM"/>
    <s v="Agencia de Insfraestructura en Salud y Equipamiento Médico (AISEM)"/>
    <s v="Registro administrativo"/>
    <s v="Trimestral"/>
    <s v="2015-2017"/>
    <s v="Nacional"/>
    <s v="Nacional, Departamental, Municipal"/>
    <s v="n.a."/>
    <m/>
    <s v="Ministerio de Salud (MS)_x000a_Agencia de Insfraestructura en Salud y Equipamiento Médico (AISEM)_x000a_Unidad de Proyectos Especiales (UPRE)"/>
    <s v="- Viceministerio de Salud y Promoción (VMPS)_x000a_- Agencia de Insfraestructura en Salud y Equipamiento Médico (AISEM)_x000a_- Unidad de Proyectos Especiales (UPRE)"/>
    <s v="- Unidad de Gestión de Programas y Proyectos (UGESPRO)_x000a_- Agencia de Insfraestructura en Salud y Equipamiento Médico (AISEM)_x000a_- Unidad de Proyectos Especiales (UPRE)"/>
    <m/>
    <n v="2015"/>
    <n v="0"/>
    <n v="31"/>
    <s v="-"/>
    <n v="31"/>
    <n v="5"/>
    <n v="0"/>
    <n v="0"/>
    <n v="0"/>
    <n v="0"/>
    <n v="0"/>
    <n v="0"/>
    <n v="0"/>
    <n v="0"/>
    <n v="0"/>
    <n v="0"/>
    <n v="0"/>
    <n v="0"/>
    <n v="3"/>
    <m/>
    <n v="0"/>
    <n v="0"/>
    <n v="4"/>
    <m/>
    <n v="0"/>
    <n v="0"/>
    <m/>
    <m/>
    <m/>
    <m/>
    <m/>
  </r>
  <r>
    <x v="9"/>
    <s v="06/04/2018"/>
    <x v="5"/>
    <s v="Salud, Educación y  Deporte para la formación de un ser humano integral "/>
    <s v="0302"/>
    <s v="Integración de la salud convencional con la ancestral"/>
    <n v="89"/>
    <m/>
    <m/>
    <m/>
    <s v="0302089"/>
    <s v="Se han construido 4 Institutos de 4to. Nivel. Se han construido y ampliado 12 hospitales de 3er. Nivel. _x000a_Se han construido, ampliado y equipado 31 hospitales de 2do. Nivel"/>
    <m/>
    <m/>
    <s v="Producto"/>
    <m/>
    <m/>
    <m/>
    <m/>
    <m/>
    <m/>
    <m/>
    <m/>
    <m/>
    <n v="1"/>
    <n v="0"/>
    <s v="Etapa 1"/>
    <m/>
    <m/>
    <m/>
    <m/>
    <s v="No cuenta con indicadores ODS"/>
    <x v="1"/>
    <m/>
    <n v="1"/>
    <s v="03020891"/>
    <x v="115"/>
    <s v="Producto"/>
    <m/>
    <s v="nacional"/>
    <s v="Porcentaje"/>
    <s v="Es el porcentaje de ejecución  financiera de los Establecimientos de Salud de Segundo Nivel"/>
    <m/>
    <s v="Presupuesto Ejecutado de los Establecimientos de Salud de Segundo Nivel"/>
    <s v="Registro Administrativo - AISEM"/>
    <s v="Presupuesto programado de los Establecimientos de Salud de Segundo Nivel "/>
    <s v="Registro Administrativo - AISEM"/>
    <s v="2015-2017"/>
    <m/>
    <n v="2"/>
    <s v="030208912"/>
    <s v="AISEM"/>
    <s v="Agencia de Insfraestructura en Salud y Equipamiento Médico (AISEM)"/>
    <s v="Registro administrativo"/>
    <s v="Trimestral"/>
    <s v="2015-2017"/>
    <s v="Nacional"/>
    <s v="Nacional, Departamental, Municipal"/>
    <s v="n.a."/>
    <m/>
    <s v="Ministerio de Salud (MS)_x000a_Agencia de Insfraestructura en Salud y Equipamiento Médico (AISEM)_x000a_Unidad de Proyectos Especiales (UPRE)"/>
    <s v="- Viceministerio de Salud y Promoción (VMPS)_x000a_- Agencia de Insfraestructura en Salud y Equipamiento Médico (AISEM)_x000a_- Unidad de Proyectos Especiales (UPRE)"/>
    <s v="- Unidad de Gestión de Programas y Proyectos (UGESPRO)_x000a_- Agencia de Insfraestructura en Salud y Equipamiento Médico (AISEM)_x000a_- Unidad de Proyectos Especiales (UPRE)"/>
    <m/>
    <n v="2015"/>
    <n v="0"/>
    <n v="1"/>
    <s v="-"/>
    <n v="1"/>
    <n v="5"/>
    <n v="0.2"/>
    <n v="0"/>
    <n v="0"/>
    <n v="0"/>
    <n v="0.4"/>
    <n v="0"/>
    <n v="0"/>
    <n v="0"/>
    <n v="0.60000000000000009"/>
    <m/>
    <n v="0"/>
    <n v="0"/>
    <n v="0.8"/>
    <m/>
    <n v="0"/>
    <n v="0"/>
    <n v="1"/>
    <m/>
    <n v="0"/>
    <n v="0"/>
    <m/>
    <m/>
    <m/>
    <m/>
    <m/>
  </r>
  <r>
    <x v="9"/>
    <s v="06/04/2018"/>
    <x v="5"/>
    <s v="Salud, Educación y  Deporte para la formación de un ser humano integral "/>
    <s v="0302"/>
    <s v="Integración de la salud convencional con la ancestral"/>
    <n v="90"/>
    <m/>
    <m/>
    <m/>
    <s v="0302090"/>
    <s v="Se han construido, ampliado y equipado 180 establecimientos de 1er. Nivel Se han elevado 1.430 Puestos de Salud a la categoría de Centros de Salud, con recursos de los GAM."/>
    <m/>
    <m/>
    <s v="Producto"/>
    <m/>
    <m/>
    <m/>
    <m/>
    <m/>
    <m/>
    <m/>
    <m/>
    <m/>
    <n v="0"/>
    <n v="1"/>
    <s v="ETAPA 3"/>
    <m/>
    <m/>
    <m/>
    <m/>
    <s v="No cuenta con indicadores ODS"/>
    <x v="1"/>
    <m/>
    <n v="1"/>
    <s v="03020901"/>
    <x v="116"/>
    <s v="Producto"/>
    <m/>
    <s v="Nacional"/>
    <s v="Número"/>
    <s v="Mide el número de Establecimientos de Salud de Primer Nivel contruidos, ampliados y equipados"/>
    <s v="n.a."/>
    <s v="Número de Establecimientos de Salud de Primer Nivel contruidos, ampliados y equipados"/>
    <s v="Registro Administrativo - VIPFE"/>
    <s v="n.a."/>
    <s v="n.a."/>
    <s v="n.d."/>
    <m/>
    <n v="1"/>
    <s v="030209011"/>
    <s v="VIPFE"/>
    <s v="Base de datos de la Inversión Pública"/>
    <s v="Registro administrativo"/>
    <s v="Mensual"/>
    <s v="2010-2017"/>
    <s v="Nacional, Departamental, Municipal"/>
    <s v="Nacional, Departamental, Municipal"/>
    <s v="Monto de Inversión_x000a_Código SISIN_x000a_Fuente de fiananciamiento"/>
    <m/>
    <s v="Viceministerio de Inversión Pública y Financiamiento Externo (VIPFE)"/>
    <s v="Viceministerio de Inversión Pública y Financiamiento Externo (VIPFE)"/>
    <s v="Viceministerio de Inversión Pública y Financiamiento Externo (VIPFE)"/>
    <m/>
    <n v="2014"/>
    <n v="0"/>
    <n v="180"/>
    <m/>
    <n v="180"/>
    <n v="5"/>
    <n v="18"/>
    <m/>
    <n v="0"/>
    <n v="0"/>
    <n v="18"/>
    <m/>
    <n v="0"/>
    <n v="0"/>
    <n v="72"/>
    <m/>
    <n v="0"/>
    <n v="0"/>
    <n v="126"/>
    <m/>
    <n v="0"/>
    <n v="0"/>
    <n v="180"/>
    <m/>
    <n v="0"/>
    <n v="0"/>
    <m/>
    <m/>
    <m/>
    <m/>
    <m/>
  </r>
  <r>
    <x v="9"/>
    <s v="06/04/2018"/>
    <x v="5"/>
    <s v="Salud, Educación y  Deporte para la formación de un ser humano integral "/>
    <s v="0302"/>
    <s v="Integración de la salud convencional con la ancestral"/>
    <n v="90"/>
    <m/>
    <m/>
    <m/>
    <s v="0302090"/>
    <s v="Se han construido, ampliado y equipado 180 establecimientos de 1er. Nivel Se han elevado 1.430 Puestos de Salud a la categoría de Centros de Salud, con recursos de los GAM."/>
    <m/>
    <m/>
    <s v="Producto"/>
    <m/>
    <m/>
    <m/>
    <m/>
    <m/>
    <m/>
    <m/>
    <m/>
    <m/>
    <n v="0"/>
    <n v="1"/>
    <s v="ETAPA 3"/>
    <m/>
    <m/>
    <m/>
    <m/>
    <s v="No cuenta con indicadores ODS"/>
    <x v="1"/>
    <m/>
    <n v="1"/>
    <s v="03020901"/>
    <x v="117"/>
    <s v="Producto"/>
    <m/>
    <s v="Nacional"/>
    <s v="Número"/>
    <s v="Mide el número de Puestos de Salud, elevados a catergoría de Centros de Salud"/>
    <s v="n.a."/>
    <s v="Número de Puestos de Salud, elevados a catergoría de Centros de Salud"/>
    <s v="Registro Administrativo - VIPFE"/>
    <s v="n.a."/>
    <s v="Registro Administrativo - RUES"/>
    <s v="n.d."/>
    <m/>
    <n v="2"/>
    <s v="030209012"/>
    <s v="RUES"/>
    <s v="Registro Único de Establecimientos de Salud"/>
    <s v="Registro administrativo"/>
    <s v="Trimestral"/>
    <s v="2010-2017"/>
    <s v="Nacional"/>
    <s v="Nacional, Departamental, Municipal"/>
    <s v="n.a."/>
    <m/>
    <s v="Ministerio de Salud (MS) "/>
    <s v="Viceministerio de Salud y Promoción (VMSP)"/>
    <s v="Dirección General de Planificación (DGP)"/>
    <m/>
    <n v="2014"/>
    <n v="0"/>
    <n v="1430"/>
    <m/>
    <n v="1430"/>
    <n v="5"/>
    <n v="143"/>
    <m/>
    <n v="0"/>
    <n v="0"/>
    <n v="143"/>
    <m/>
    <n v="0"/>
    <n v="0"/>
    <n v="572"/>
    <m/>
    <n v="0"/>
    <n v="0"/>
    <n v="1001"/>
    <m/>
    <n v="0"/>
    <n v="0"/>
    <n v="1430"/>
    <m/>
    <n v="0"/>
    <n v="0"/>
    <m/>
    <m/>
    <m/>
    <m/>
    <m/>
  </r>
  <r>
    <x v="9"/>
    <s v="06/04/2018"/>
    <x v="5"/>
    <s v="Salud, Educación y  Deporte para la formación de un ser humano integral "/>
    <s v="0302"/>
    <s v="Integración de la salud convencional con la ancestral"/>
    <n v="91"/>
    <m/>
    <m/>
    <m/>
    <s v="0302091"/>
    <s v="Se han creado nuevos ítems para personal de salud, incluyendo especialistas y subespecialistas"/>
    <m/>
    <m/>
    <s v="Impacto"/>
    <m/>
    <m/>
    <m/>
    <m/>
    <m/>
    <m/>
    <m/>
    <m/>
    <m/>
    <n v="1"/>
    <n v="0"/>
    <s v="Etapa 1"/>
    <m/>
    <s v="3.c.1"/>
    <s v="3.c    Aumentar considerablemente la financiación de la salud y la contratación, el perfeccionamiento, la capacitación y la retención del personal sanitario en los países en desarrollo, especialmente en los países menos adelantados y los pequeños Estados insulares en desarrollo"/>
    <s v="3.c.1   Densidad y distribución de los trabajadores sanitarios"/>
    <m/>
    <x v="2"/>
    <m/>
    <n v="1"/>
    <s v="03020911"/>
    <x v="118"/>
    <s v="Impacto"/>
    <m/>
    <s v="Nacional y Departamental"/>
    <s v="Por cada 10.000 habitantes"/>
    <s v="Mide la cantidad de Recursos Humanos en salud (profesionales médicos, enfermeras y obstetrices) por cada 10.000 habitantes  en un tiempo determinado"/>
    <m/>
    <s v="Número de Recursos Humanos"/>
    <s v="Registro administrativo  - URRHH"/>
    <s v="Población total"/>
    <s v="Censo - PP"/>
    <s v="2015-2016"/>
    <m/>
    <n v="1"/>
    <s v="030209111"/>
    <s v="URRHH"/>
    <s v="Unidad de Recursos Humanos"/>
    <s v="Registro administrativo "/>
    <s v="Anual"/>
    <s v="2015-2016"/>
    <s v="Nacional"/>
    <s v="Nacional"/>
    <m/>
    <m/>
    <s v="Ministerio de Salud (MS) "/>
    <s v="Dirección General de Asuntos Adminsitrativos (DGAA) - Unidad de RRHH"/>
    <s v="Dirección General de Asuntos Adminsitrativos (DGAA) - Unidad de RRHH"/>
    <n v="2486654"/>
    <n v="2015"/>
    <n v="20.85"/>
    <n v="25"/>
    <s v="-"/>
    <n v="4.1499999999999986"/>
    <n v="5"/>
    <n v="21.68"/>
    <n v="23.26"/>
    <n v="2.41"/>
    <n v="0.58072289156626533"/>
    <n v="22.51"/>
    <n v="0"/>
    <n v="-20.85"/>
    <n v="-5.0240963855421708"/>
    <n v="23.34"/>
    <m/>
    <n v="-20.85"/>
    <n v="-5.0240963855421708"/>
    <n v="24.17"/>
    <m/>
    <n v="-20.85"/>
    <n v="-5.0240963855421708"/>
    <n v="25"/>
    <m/>
    <n v="-20.85"/>
    <n v="-5.0240963855421708"/>
    <m/>
    <m/>
    <m/>
    <m/>
    <m/>
  </r>
  <r>
    <x v="9"/>
    <s v="06/04/2018"/>
    <x v="5"/>
    <s v="Salud, Educación y  Deporte para la formación de un ser humano integral "/>
    <s v="0302"/>
    <s v="Integración de la salud convencional con la ancestral"/>
    <n v="91"/>
    <m/>
    <m/>
    <m/>
    <s v="0302091"/>
    <s v="Se han creado nuevos ítems para personal de salud, incluyendo especialistas y subespecialistas"/>
    <m/>
    <m/>
    <s v="Impacto"/>
    <m/>
    <m/>
    <m/>
    <m/>
    <m/>
    <m/>
    <m/>
    <m/>
    <m/>
    <n v="1"/>
    <n v="0"/>
    <s v="Etapa 1"/>
    <m/>
    <s v="3.c.1"/>
    <s v="3.c    Aumentar considerablemente la financiación de la salud y la contratación, el perfeccionamiento, la capacitación y la retención del personal sanitario en los países en desarrollo, especialmente en los países menos adelantados y los pequeños Estados insulares en desarrollo"/>
    <s v="3.c.1   Densidad y distribución de los trabajadores sanitarios"/>
    <m/>
    <x v="2"/>
    <m/>
    <n v="1"/>
    <s v="03020911"/>
    <x v="118"/>
    <s v="Impacto"/>
    <m/>
    <s v="Nacional y Departamental"/>
    <s v="Por cada 10.000 habitantes"/>
    <s v="Mide la cantidad de Recursos Humanos en salud (profesionales médicos, enfermeras y obstetrices) por cada 10.000 habitantes  en un tiempo determinado"/>
    <m/>
    <s v="Número de Recursos Humanos"/>
    <s v="Registro administrativo  - URRHH"/>
    <s v="Población total"/>
    <s v="Censo - PP"/>
    <s v="2015-2016"/>
    <m/>
    <n v="2"/>
    <s v="030209112"/>
    <s v="PP"/>
    <s v="Proyecciones de Población"/>
    <s v="Censo"/>
    <s v="Anual"/>
    <s v="2000-2020"/>
    <s v="Nacional, Departamental, Municipal"/>
    <s v="Nacional, Departamental, Municipal"/>
    <s v="Edad_x000a_Sexo"/>
    <s v="A nivel Nacional y Departamental sòlo Edad y Sexo, y a nivel Municipal la población total."/>
    <s v="Instituto Nacional de Estadística (INE)"/>
    <s v="Direción de Estadísticas de Indicadores Económicos y Sociales (DEIES)"/>
    <s v="Unidad de Estadísticas de Indicadores Sociales"/>
    <n v="2222333"/>
    <m/>
    <m/>
    <m/>
    <m/>
    <m/>
    <m/>
    <n v="0"/>
    <m/>
    <m/>
    <m/>
    <n v="0"/>
    <m/>
    <m/>
    <m/>
    <n v="0"/>
    <m/>
    <m/>
    <m/>
    <n v="0"/>
    <m/>
    <m/>
    <m/>
    <n v="0"/>
    <m/>
    <m/>
    <m/>
    <m/>
    <m/>
    <m/>
    <m/>
    <m/>
  </r>
  <r>
    <x v="9"/>
    <s v="06/04/2018"/>
    <x v="5"/>
    <s v="Salud, Educación y  Deporte para la formación de un ser humano integral "/>
    <s v="0302"/>
    <s v="Integración de la salud convencional con la ancestral"/>
    <n v="92"/>
    <m/>
    <m/>
    <m/>
    <s v="0302092"/>
    <s v="Se han instalado nuevas unidades de hemodiálisis y laboratorios de histocompatibilidad"/>
    <m/>
    <m/>
    <s v="Resultado"/>
    <m/>
    <m/>
    <m/>
    <m/>
    <m/>
    <m/>
    <m/>
    <m/>
    <m/>
    <n v="1"/>
    <n v="0"/>
    <s v="Etapa 1"/>
    <m/>
    <m/>
    <m/>
    <m/>
    <s v="No cuenta con indicadores ODS"/>
    <x v="1"/>
    <m/>
    <n v="1"/>
    <s v="03020921"/>
    <x v="119"/>
    <s v="Resultado"/>
    <m/>
    <s v="Nacional          Departamental                        Municipal"/>
    <s v="Número"/>
    <s v="Es el numero de unidades de hemodialisis implementadas en el Subsector Público en un tiempo determinado "/>
    <s v="n.a."/>
    <s v="Número total de unidades de hemodialisis implementadas en el Subsector Público en un tiempo determinado  "/>
    <s v="Registro administrativo - PNSR"/>
    <s v="n.a."/>
    <s v="n.a."/>
    <s v="2006-2017"/>
    <m/>
    <n v="1"/>
    <s v="030209211"/>
    <s v="PNSR"/>
    <s v="Programa Nacional de Salud Renal"/>
    <s v="Registro administrativo"/>
    <s v="Anual"/>
    <s v="2006-2017"/>
    <s v="Nacional                         Departamental               Municipal"/>
    <s v="Nacional"/>
    <s v="Nacional                            Departamental         Municiapal"/>
    <m/>
    <s v="Ministerio de Salud (MS) "/>
    <s v="Viceministerio de Salud y Promoción (VMSP)"/>
    <s v="Programa Nacional de Salud Renal"/>
    <n v="2445754"/>
    <n v="2014"/>
    <n v="20"/>
    <n v="40"/>
    <s v="-"/>
    <n v="20"/>
    <n v="5"/>
    <n v="24"/>
    <n v="2"/>
    <n v="-18"/>
    <n v="-0.9"/>
    <n v="28"/>
    <n v="3"/>
    <n v="-17"/>
    <n v="-0.85"/>
    <n v="32"/>
    <n v="0"/>
    <n v="-20"/>
    <n v="-1"/>
    <n v="36"/>
    <n v="0"/>
    <n v="-20"/>
    <n v="-1"/>
    <n v="40"/>
    <n v="0"/>
    <n v="-20"/>
    <n v="-1"/>
    <m/>
    <m/>
    <m/>
    <m/>
    <m/>
  </r>
  <r>
    <x v="9"/>
    <s v="06/04/2018"/>
    <x v="5"/>
    <s v="Salud, Educación y  Deporte para la formación de un ser humano integral "/>
    <s v="0302"/>
    <s v="Integración de la salud convencional con la ancestral"/>
    <n v="92"/>
    <m/>
    <m/>
    <m/>
    <s v="0302092"/>
    <s v="Se han instalado nuevas unidades de hemodiálisis y laboratorios de histocompatibilidad"/>
    <m/>
    <m/>
    <s v="Impacto "/>
    <m/>
    <m/>
    <m/>
    <m/>
    <m/>
    <m/>
    <m/>
    <m/>
    <m/>
    <n v="1"/>
    <n v="0"/>
    <s v="Etapa 1"/>
    <m/>
    <m/>
    <m/>
    <m/>
    <s v="No cuenta con indicadores ODS"/>
    <x v="1"/>
    <m/>
    <n v="1"/>
    <s v="03020921"/>
    <x v="120"/>
    <s v="Resultado"/>
    <m/>
    <s v="Nacional          Departamental                        Municipal"/>
    <s v="Número"/>
    <s v="Es el número de pacientes con trasplante renal en un tiempo determinado "/>
    <s v="n.a."/>
    <s v="Número de pacientes beneficiados con trasplante renal"/>
    <s v="Registro administrativo - PNSR"/>
    <s v="n.a."/>
    <s v="n.a."/>
    <s v="2014-2017"/>
    <m/>
    <n v="1"/>
    <s v="030209211"/>
    <s v="PNSR"/>
    <s v="Programa Nacional de Salud Renal"/>
    <s v="Registro administrativo"/>
    <s v="Anual"/>
    <s v="2014-2017"/>
    <s v="Nacional                         Departamental               Municipal"/>
    <s v="Nacional"/>
    <s v="Nacional                            Departamental         Municiapal"/>
    <m/>
    <s v="Ministerio de Salud (MS) "/>
    <s v="Viceministerio de Salud y Promoción (VMSP)"/>
    <s v="Programa Nacional de Salud Renal"/>
    <n v="2445754"/>
    <n v="2014"/>
    <n v="20"/>
    <n v="220"/>
    <s v="-"/>
    <n v="200"/>
    <n v="5"/>
    <n v="60"/>
    <n v="45"/>
    <n v="25"/>
    <n v="0.125"/>
    <n v="100"/>
    <n v="37"/>
    <n v="17"/>
    <n v="8.5000000000000006E-2"/>
    <n v="140"/>
    <n v="0"/>
    <n v="-20"/>
    <n v="-0.1"/>
    <n v="180"/>
    <n v="0"/>
    <n v="-20"/>
    <n v="-0.1"/>
    <n v="220"/>
    <n v="0"/>
    <n v="-20"/>
    <n v="-0.1"/>
    <m/>
    <m/>
    <m/>
    <m/>
    <m/>
  </r>
  <r>
    <x v="8"/>
    <s v="06/04/2018"/>
    <x v="5"/>
    <s v="Salud, Educación y  Deporte para la formación de un ser humano integral "/>
    <s v="0301"/>
    <s v="Acceso universal al servicio de salud."/>
    <n v="76"/>
    <m/>
    <m/>
    <m/>
    <s v="0301076"/>
    <s v="Se implementa el Servicio de Salud Universal."/>
    <m/>
    <m/>
    <s v="Proceso"/>
    <m/>
    <m/>
    <m/>
    <m/>
    <m/>
    <m/>
    <m/>
    <m/>
    <m/>
    <n v="0"/>
    <n v="1"/>
    <s v="ETAPA 3"/>
    <m/>
    <s v="3.8"/>
    <s v="Lograr la cobertura sanitaria universal, incluida la protección contra los riesgos financieros, el acceso a servicios de salud esenciales de calidad y el acceso a medicamentos y vacunas inocuos, eficaces, asequibles y de calidad para todos"/>
    <s v="3.8.1* Cobertura de las intervenciones con trazadores (por ejemplo, inmunización completa de los niños, terapia antirretroviral, tratamiento de la tuberculosis, tratamiento de la hipertensión, parto a cargo de personal sanitario especializado, etc.)_x000a_3.8.2* Fracción de la población protegida contra gastos directos catastróficos/ruinosos de atención médica_x000a_"/>
    <m/>
    <x v="0"/>
    <m/>
    <n v="1"/>
    <s v="03010761"/>
    <x v="121"/>
    <s v="Impacto"/>
    <m/>
    <s v="Nacional, departamental y Municipal_x000a_Urbano -  rural_x000a_Edad_x000a_Sexo"/>
    <s v="Porcentaje"/>
    <s v="Es el porcentaje de la poblacion que acceden a servicios de salud gratuitos "/>
    <m/>
    <s v="Poblacion cubierta con servicios de salud gratuitos"/>
    <s v="Registro Administrativo - DGSS"/>
    <s v="Población total en un tiempo determinado"/>
    <s v="Censo - PP"/>
    <s v="2014-2017"/>
    <s v="Lo que se pretende llegar con el indicador es al Sistema Único de Salud"/>
    <n v="1"/>
    <s v="030107611"/>
    <s v="DGSS"/>
    <s v="Direccion General de Seguros de Salud"/>
    <s v="Registro administrativo"/>
    <s v="Anual"/>
    <s v="2014-2017"/>
    <s v="Nacional"/>
    <s v="Nacional, Departamental, Municipal"/>
    <s v="Edad_x000a_Sexo_x000a_Procedencia_x000a_Residencia"/>
    <m/>
    <s v="Ministerio de Salud (MS) "/>
    <s v="Viceministerio de Salud y Promoción (VMSP)"/>
    <s v="Direccion General de Seguros de Salud"/>
    <m/>
    <n v="2014"/>
    <n v="0"/>
    <n v="0.7"/>
    <n v="1"/>
    <n v="0.7"/>
    <n v="5"/>
    <n v="0.13999999999999999"/>
    <n v="0"/>
    <n v="0"/>
    <n v="0"/>
    <n v="0.27999999999999997"/>
    <n v="0"/>
    <n v="0"/>
    <n v="0"/>
    <n v="0.41999999999999993"/>
    <m/>
    <n v="0"/>
    <n v="0"/>
    <n v="0.55999999999999994"/>
    <m/>
    <n v="0"/>
    <n v="0"/>
    <n v="0.7"/>
    <m/>
    <n v="0"/>
    <n v="0"/>
    <m/>
    <m/>
    <m/>
    <m/>
    <m/>
  </r>
  <r>
    <x v="8"/>
    <s v="06/04/2018"/>
    <x v="5"/>
    <s v="Salud, Educación y  Deporte para la formación de un ser humano integral "/>
    <s v="0301"/>
    <s v="Acceso universal al servicio de salud."/>
    <n v="76"/>
    <m/>
    <m/>
    <m/>
    <s v="0301076"/>
    <s v="Se implementa el Servicio de Salud Universal."/>
    <m/>
    <m/>
    <s v="Proceso"/>
    <m/>
    <m/>
    <m/>
    <m/>
    <m/>
    <m/>
    <m/>
    <m/>
    <m/>
    <n v="0"/>
    <n v="1"/>
    <s v="ETAPA 3"/>
    <m/>
    <s v="3.8"/>
    <s v="3.8 Lograr la cobertura sanitaria universal, incluida la protección contra los riesgos financieros, el acceso a servicios de salud esenciales de calidad y el acceso a medicamentos y vacunas inocuos, eficaces, asequibles y de calidad para todos"/>
    <s v="3.8.1* Cobertura de las intervenciones con trazadores (por ejemplo, inmunización completa de los niños, terapia antirretroviral, tratamiento de la tuberculosis, tratamiento de la hipertensión, parto a cargo de personal sanitario especializado, etc.)_x000a_3.8.2* Fracción de la población protegida contra gastos directos catastróficos/ruinosos de atención médica_x000a_"/>
    <m/>
    <x v="0"/>
    <m/>
    <n v="1"/>
    <s v="03010761"/>
    <x v="121"/>
    <s v="Impacto"/>
    <m/>
    <s v="Nacional, departamental y Municipal_x000a_Urbano -  rural_x000a_Edad_x000a_Sexo"/>
    <s v="Porcentaje"/>
    <s v="Es el porcentaje de la poblacion que acceden a servicios de salud gratuitos "/>
    <m/>
    <s v="Poblacion cubierta con servicios de salud gratuitos"/>
    <s v="Registro Administrativo - DGSS"/>
    <s v="Población total en un tiempo determinado"/>
    <s v="Censo - PP"/>
    <s v="2014-2017"/>
    <s v="Lo que se pretende llegar con el indicador es al Sistema Único de Salud"/>
    <n v="2"/>
    <s v="030107612"/>
    <s v="PP"/>
    <s v="Proyecciones de Población"/>
    <s v="Censo"/>
    <s v="Anual"/>
    <s v="2000-2020"/>
    <s v="Nacional, Departamental, Municipal"/>
    <s v="Nacional, Departamental, Municipal"/>
    <s v="Edad_x000a_Sexo"/>
    <s v="A nivel Nacional y Departamental sòlo Edad y Sexo, y a nivel Municipal la población total."/>
    <s v="Instituto Nacional de Estadística (INE)"/>
    <s v="Direción de Estadísticas de Indicadores Económicos y Sociales (DEIES)"/>
    <s v="Unidad de Estadísticas de Indicadores Sociales"/>
    <n v="2222333"/>
    <m/>
    <m/>
    <n v="1"/>
    <s v="-"/>
    <n v="1"/>
    <n v="5"/>
    <n v="0.2"/>
    <n v="0"/>
    <n v="0"/>
    <n v="0"/>
    <n v="0.4"/>
    <n v="0"/>
    <n v="0"/>
    <n v="0"/>
    <n v="0.60000000000000009"/>
    <m/>
    <n v="0"/>
    <n v="0"/>
    <n v="0.8"/>
    <m/>
    <n v="0"/>
    <n v="0"/>
    <n v="1"/>
    <m/>
    <n v="0"/>
    <n v="0"/>
    <m/>
    <m/>
    <m/>
    <m/>
    <m/>
  </r>
  <r>
    <x v="8"/>
    <s v="06/04/2018"/>
    <x v="5"/>
    <s v="Salud, Educación y  Deporte para la formación de un ser humano integral "/>
    <s v="0301"/>
    <s v="Acceso universal al servicio de salud."/>
    <n v="77"/>
    <s v="3.1.2"/>
    <n v="77"/>
    <s v="3.1.77"/>
    <s v="0301077"/>
    <s v="La mayor parte de la población accede a medicamentos."/>
    <s v="Salud, Educación, Deporte"/>
    <s v="Salud"/>
    <s v="Proceso"/>
    <s v="Social"/>
    <s v="Salud"/>
    <m/>
    <m/>
    <s v="RS"/>
    <m/>
    <m/>
    <s v="M.Salud"/>
    <e v="#DIV/0!"/>
    <n v="0"/>
    <n v="1"/>
    <s v="ETAPA 3"/>
    <n v="1"/>
    <s v="3b"/>
    <s v="Apoyar las actividades de investigación y desarrollo de vacunas y medicamentos contra las enfermedades transmisibles y no transmisibles que afectan primordialmente a los países en desarrollo y facilitar el acceso a medicamentos y vacunas esenciales asequibles de conformidad con la Declaración relativa al Acuerdo sobre los Aspectos de los Derechos de Propiedad Intelectual Relacionados con el Comercio y la Salud Pública, en la que se afirma el derecho de los países en desarrollo a utilizar al máximo las disposiciones del Acuerdo sobre los Aspectos de los Derechos de Propiedad Intelectual Relacionados con el Comercio respecto a la flexibilidad para proteger la salud pública y, en particular, proporcionar acceso a los medicamentos para todos"/>
    <s v="3.b.1 Proporción de la población con acceso sostenible a medicamentos y vacunas esenciales a precios asequibles"/>
    <m/>
    <x v="6"/>
    <m/>
    <n v="1"/>
    <s v="03010771"/>
    <x v="122"/>
    <s v="Proceso"/>
    <m/>
    <s v="Nacional, departamental y Municipal_x000a__x000a_"/>
    <s v="Porcentaje"/>
    <s v="Es el porcentaje de municipíos que acceden a medicamentos esenciales seguros y de calidad  registrados en el SIAL"/>
    <m/>
    <s v="Número de Municipios con acceso a medicamentos esenciales seguros y de calidad"/>
    <s v="Sistema de Información para la administración logistica (SIAL) - AGEMED"/>
    <s v="Número total de municipios del pais"/>
    <s v="Sistema de Información para la administración logistica (SIAL) - AGEMED"/>
    <s v="n.d."/>
    <s v="Las vacunas forman parte de los medicamentos esenciales, por lo que el indicador sólo menciona a medicamentos."/>
    <n v="1"/>
    <s v="030107711"/>
    <s v="AGEMED"/>
    <s v="Agencia Estatal de Medicamentos y Tecnologías en Salud"/>
    <s v="Sistema de Información para la administración logistica (SIAL)"/>
    <s v="Anual"/>
    <s v="2015 - 2017"/>
    <s v="Nacional"/>
    <s v="Nacional, Departamental y municipal"/>
    <s v="Promedio de items de medicamentos esenciales sobreabastecidos (sobrestock) y desabastecidos (substock) por municipio."/>
    <m/>
    <s v="Ministerio de Salud (MS)"/>
    <s v="Agencia Estatal  de Medicamentos y Tecnologías en Salud (AGEMED)"/>
    <s v="Unidad de Medicamentos y Tecnologias"/>
    <n v="2440122"/>
    <n v="2015"/>
    <n v="0.8"/>
    <n v="0.9"/>
    <n v="1"/>
    <n v="9.9999999999999978E-2"/>
    <n v="5"/>
    <n v="0.82000000000000006"/>
    <n v="0.82"/>
    <n v="1.9999999999999907E-2"/>
    <n v="0.19999999999999912"/>
    <n v="0.84000000000000008"/>
    <n v="0.85"/>
    <n v="4.9999999999999933E-2"/>
    <n v="0.49999999999999944"/>
    <n v="0.86"/>
    <m/>
    <n v="-0.8"/>
    <n v="-8.0000000000000018"/>
    <n v="0.88"/>
    <m/>
    <n v="-0.8"/>
    <n v="-8.0000000000000018"/>
    <n v="0.9"/>
    <m/>
    <n v="-0.8"/>
    <n v="-8.0000000000000018"/>
    <m/>
    <m/>
    <m/>
    <m/>
    <m/>
  </r>
  <r>
    <x v="8"/>
    <m/>
    <x v="1"/>
    <s v="Soberania productiva con diversificacion"/>
    <s v="0610"/>
    <s v="Empleo para una Vida Digna."/>
    <n v="186"/>
    <m/>
    <m/>
    <m/>
    <s v="0610186"/>
    <s v="Se ha logrado incrementar la población ocupada que cuenta con seguridad social de corto y largo plazo."/>
    <m/>
    <m/>
    <s v="Producto"/>
    <m/>
    <m/>
    <m/>
    <m/>
    <m/>
    <m/>
    <m/>
    <m/>
    <m/>
    <n v="0"/>
    <n v="1"/>
    <s v="ETAPA 3"/>
    <m/>
    <s v="3.8"/>
    <s v="Lograr la cobertura sanitaria universal, incluida la protección contra los riesgos financieros, el acceso a servicios de salud esenciales de calidad y el acceso a medicamentos y vacunas inocuos, eficaces, asequibles y de calidad para todos"/>
    <s v="3.8.1 Cobertura de servicios de salud esenciales (definida como el promedio de la cobertura de servicios esenciales sobre la base de intervenciones con trazadores, por ejemplo la salud reproductiva, materna, neonatal e infantil, las enfermedades infecciosas, las enfermedades no transmisibles y la capacidad de los servicios y el acceso a ellos, entre la población general y los más desfavorecidos)"/>
    <m/>
    <x v="0"/>
    <m/>
    <n v="1"/>
    <s v="06101861"/>
    <x v="123"/>
    <s v="Proceso"/>
    <s v="Nacional_x000a_Departamental"/>
    <s v="Nacional_x000a_Departamental"/>
    <s v="Porcentaje"/>
    <s v="Mide el porcentaje de Población Ocupada cotizante en la Seguridad Social de Corto Plazo"/>
    <m/>
    <s v="Población Ocupada Cotizante Activa en la Seguridad Social de Corto Plazo"/>
    <s v="Registro administrativo - ASUSS"/>
    <s v="Registro administrativo - ASUSS"/>
    <s v="Encuesta - EH"/>
    <s v="2000-2017"/>
    <s v="INASES fue la entidad encargada de la gestión de la seguridad de corto plazo antes de la creación de ASINSA. Al derogarse el Decreto de creación de ASINSA, hay un vacio institucional quer no permite en el momento contar con información. Por ello se estima que este Resultado sea parte de la Etapa 3 "/>
    <n v="1"/>
    <s v="061018611"/>
    <s v="ASUSS"/>
    <s v="Autoridad de Supervisión de la Seguridad Social de Corto Plazo - ASUSS"/>
    <s v="Registro administrativo"/>
    <s v="Anual"/>
    <s v="2000-2017"/>
    <s v="Nacional_x000a_Departamental"/>
    <s v="Nacional"/>
    <s v="Edad_x000a_Sexo_x000a_Ocupación_x000a_Estado de salud o enfermedad"/>
    <m/>
    <s v="Autoridad de Supervisión de la Seguridad Social de Corto Plazo (ASUSS)"/>
    <s v="Autoridad de Supervisión de la Seguridad Social de Corto Plazo (ASUSS)"/>
    <s v="Autoridad de Supervisión de la Seguridad Social de Corto Plazo (ASUSS)"/>
    <m/>
    <m/>
    <m/>
    <m/>
    <m/>
    <m/>
    <m/>
    <m/>
    <m/>
    <m/>
    <m/>
    <m/>
    <m/>
    <m/>
    <m/>
    <m/>
    <m/>
    <m/>
    <m/>
    <m/>
    <m/>
    <m/>
    <m/>
    <m/>
    <m/>
    <m/>
    <m/>
    <m/>
    <m/>
    <m/>
    <m/>
    <m/>
  </r>
  <r>
    <x v="8"/>
    <m/>
    <x v="1"/>
    <s v="Soberania productiva con diversificacion"/>
    <s v="0610"/>
    <s v="Empleo para una Vida Digna."/>
    <n v="186"/>
    <m/>
    <m/>
    <m/>
    <s v="0610186"/>
    <s v="Se ha logrado incrementar la población ocupada que cuenta con seguridad social de corto y largo plazo."/>
    <m/>
    <m/>
    <s v="Producto"/>
    <m/>
    <m/>
    <m/>
    <m/>
    <m/>
    <m/>
    <m/>
    <m/>
    <m/>
    <n v="0"/>
    <n v="1"/>
    <s v="ETAPA 3"/>
    <m/>
    <s v="3.8"/>
    <s v="Lograr la cobertura sanitaria universal, incluida la protección contra los riesgos financieros, el acceso a servicios de salud esenciales de calidad y el acceso a medicamentos y vacunas inocuos, eficaces, asequibles y de calidad para todos"/>
    <s v="3.8.1 Cobertura de servicios de salud esenciales (definida como el promedio de la cobertura de servicios esenciales sobre la base de intervenciones con trazadores, por ejemplo la salud reproductiva, materna, neonatal e infantil, las enfermedades infecciosas, las enfermedades no transmisibles y la capacidad de los servicios y el acceso a ellos, entre la población general y los más desfavorecidos)"/>
    <m/>
    <x v="0"/>
    <m/>
    <n v="1"/>
    <s v="06101861"/>
    <x v="123"/>
    <s v="Proceso"/>
    <s v="Nacional_x000a_Departamental"/>
    <s v="Nacional_x000a_Departamental"/>
    <s v="Porcentaje"/>
    <s v="Mide el porcentaje de Población Ocupada cotizante en la Seguridad Social de Corto Plazo"/>
    <m/>
    <s v="Población Ocupada Cotizante Activa en la Seguridad Social de Corto Plazo"/>
    <s v="Registro administrativo - ASUSS"/>
    <s v="Registro administrativo - ASUSS"/>
    <s v="Encuesta - EH"/>
    <s v="2000-2017"/>
    <s v="INASES fue la entidad encargada de la gestión de la seguridad de corto plazo antes de la creación de ASINSA. Al derogarse el Decreto de creación de ASINSA, hay un vacio institucional quer no permite en el momento contar con información. Por ello se estima que este Resultado sea parte de la Etapa 3 "/>
    <n v="2"/>
    <s v="061018612"/>
    <s v="EH"/>
    <s v="Encuesta de Hogares"/>
    <s v="Encuesta"/>
    <s v="Anual"/>
    <s v="2000-2017"/>
    <s v="Nacional_x000a_Departamental"/>
    <s v="Nacional, Departamental"/>
    <s v="Edad_x000a_Sexo_x000a_Ocupación_x000a_Salud_x000a_Educación_x000a_Ingresos"/>
    <m/>
    <s v="Instituto Nacional de Estadística (INE)"/>
    <s v="Direción de Estadísticas de Indicadores Económicos y Sociales (DEIES)"/>
    <s v="Unidad de Estadísticas de Indicadores Sociales"/>
    <n v="2222333"/>
    <m/>
    <m/>
    <m/>
    <m/>
    <m/>
    <m/>
    <m/>
    <m/>
    <m/>
    <m/>
    <m/>
    <m/>
    <m/>
    <m/>
    <m/>
    <m/>
    <m/>
    <m/>
    <m/>
    <m/>
    <m/>
    <m/>
    <m/>
    <m/>
    <m/>
    <m/>
    <m/>
    <m/>
    <m/>
    <m/>
    <m/>
  </r>
  <r>
    <x v="10"/>
    <s v="MOPVS"/>
    <x v="0"/>
    <s v="Universalización de los servicios básicos"/>
    <s v="0202"/>
    <s v="El 100% de las bolivianas y los bolivianos cuentan con servicios de comunicación telefónica e Internet"/>
    <n v="1"/>
    <s v="2.2.1"/>
    <n v="43"/>
    <s v="2.2.43"/>
    <s v="0202043"/>
    <s v="Se ha ampliado el servicio de comunicación telefónica en localidades con población mayor a 50 habitantes"/>
    <s v="Servicios Básicos"/>
    <s v="Telecomunicaciones"/>
    <s v="RS = Resultado"/>
    <s v="Social"/>
    <s v="Servicios Básicos"/>
    <n v="1"/>
    <s v="-"/>
    <s v="RS"/>
    <s v="-"/>
    <s v="-"/>
    <s v="MOPSV"/>
    <e v="#DIV/0!"/>
    <n v="1"/>
    <n v="0"/>
    <s v="Etapa 1"/>
    <n v="1"/>
    <s v="9.c"/>
    <s v="Aumentar significativamente el acceso a la tecnología de la información y las comunicaciones y esforzarse por proporcionar acceso universal y asequible a Internet en los países menos adelantados de aquí a 2020"/>
    <s v="9.c.1_x000a_Porcentaje de la población abarcado por una red móvil, desglosado por tecnología"/>
    <s v="-"/>
    <x v="0"/>
    <s v="-"/>
    <n v="1"/>
    <s v="02020431"/>
    <x v="124"/>
    <s v="Impacto"/>
    <s v="Eficacia"/>
    <s v="A nivel de Departamento, Provincia, Municipio y Localidad"/>
    <s v="En porcentaje"/>
    <s v="El indicador refleja en porcentaje la cantidad de localidades con población mayor a 50 habitantes que ya tienen servicio de comunicación telefónica"/>
    <s v="LT = Cantidad de localidades con población mayor a 50 habitantes que tienen servicio de comunicación telefónica_x000a_L = Cantidad total de  localidades con población mayor a 50 habitantes (16.488)_x000a__x000a_Indicador (%) = 100 * LT/L"/>
    <s v="LT = Cantidad de localidades con población mayor a 50 habitantes que tienen servicio de comunicación telefónica"/>
    <s v="Base de datos actualizada por la Unidad de Ejecución de Proyectos del PRONTIS del MOPSV"/>
    <s v="L = Cantidad total de  localidades con población mayor a 50 habitantes (16.488)"/>
    <s v="Censo Nacional de Población y Vivienda 2012"/>
    <s v="2012-2017"/>
    <s v="El indicador refleja directamente el grado de avance a la fecha en el cumplimiento de la meta trazada al 2020"/>
    <n v="1"/>
    <s v="020204311"/>
    <s v="Registro Administrativo de la UEPP - VMTEL"/>
    <s v="Estado de avance en la universaliza-ción de las telecomuni-caciones"/>
    <s v="RA"/>
    <s v="Trimestral"/>
    <s v="2012-2017"/>
    <s v="A nivel Nacional, Departamental, Provincial, Municipal y de Localidad"/>
    <s v="Nivel Nacional, Departamento, Provincia, Municipio y Localidad"/>
    <s v="Tipo de tecnología_x000a_Cantidad de Poblacion_x000a_Cantidad de Localidades"/>
    <s v="Los datos geográficos del Censo 2012 se validan o actualizan con los resultados de las inspecciones técnicas en sitio"/>
    <s v="Ministerio de Obras Públicas, Servicios y Vivienda - MOPSV"/>
    <s v="Viceministerio de Telecomunicaciones - VMTEL"/>
    <s v="Unidad de Ejecución de Proyectos del PRONTIS - UEPP"/>
    <s v="tel. 2119999_x000a_int. 660"/>
    <d v="2015-12-31T00:00:00"/>
    <n v="0.46057738961669092"/>
    <n v="1"/>
    <s v="N/A"/>
    <n v="0.53942261038330908"/>
    <n v="5"/>
    <n v="0.56846191169335269"/>
    <n v="0.54724648229015038"/>
    <n v="8.6669092673459458E-2"/>
    <n v="0.16067011468405662"/>
    <n v="0.67634643377001458"/>
    <n v="0.64980591945657451"/>
    <n v="0.18922852983988359"/>
    <n v="0.350798290982685"/>
    <n v="0.78423095584667635"/>
    <n v="0.76516254245511883"/>
    <n v="0.30458515283842791"/>
    <n v="0.56465032606251397"/>
    <n v="0.89211547792333823"/>
    <n v="1"/>
    <n v="0.53942261038330908"/>
    <n v="1"/>
    <n v="1"/>
    <n v="1"/>
    <n v="0.53942261038330908"/>
    <n v="1"/>
    <m/>
    <m/>
    <s v="Aprobado"/>
    <m/>
    <m/>
  </r>
  <r>
    <x v="10"/>
    <s v="MOPVS"/>
    <x v="0"/>
    <s v="Universalización de los servicios básicos"/>
    <s v="0202"/>
    <s v="El 100% de las bolivianas y los bolivianos cuentan con servicios de comunicación telefónica e Internet"/>
    <n v="2"/>
    <s v="2.2.2"/>
    <n v="44"/>
    <s v="2.2.44"/>
    <s v="0202044"/>
    <s v="Se ha ampliado el servicio de Internet en localidades con población mayor a 50 habitantes"/>
    <s v="Servicios Básicos"/>
    <s v="Telecomunicaciones"/>
    <s v="RS = Resultado"/>
    <s v="Social"/>
    <s v="Servicios Básicos"/>
    <n v="1"/>
    <s v="-"/>
    <s v="RS"/>
    <s v="-"/>
    <s v="-"/>
    <s v="MOPSV"/>
    <e v="#DIV/0!"/>
    <n v="1"/>
    <n v="0"/>
    <s v="Etapa 1"/>
    <n v="1"/>
    <m/>
    <m/>
    <m/>
    <m/>
    <x v="1"/>
    <m/>
    <n v="2"/>
    <s v="02020442"/>
    <x v="125"/>
    <s v="Impacto"/>
    <s v="Eficacia"/>
    <s v="A nivel de Departamento, Provincia, Municipio y Localidad"/>
    <s v="En porcentaje"/>
    <s v="El indicador refleja en porcentaje la cantidad de localidades con población mayor a 50 habitantes que ya tienen servicio de Internet"/>
    <s v="LI = Cantidad de localidades con población mayor a 50 habitantes que tienen servicio de Internet_x000a_L = Cantidad total de  localidades con población mayor a 50 habitantes (16.488)_x000a__x000a_Indicador (%) = 100 * LI/L"/>
    <s v="LI = Cantidad de localidades con población mayor a 50 habitantes que tienen servicio de Internet"/>
    <s v="Base de datos actualizada por la Unidad de Ejecución de Proyectos del PRONTIS del MOPSV"/>
    <s v="L = Cantidad total de  localidades con población mayor a 50 habitantes (16.488)"/>
    <s v="Censo Nacional de Población y Vivienda 2012"/>
    <s v="2012-2017"/>
    <s v="El indicador refleja directamente el grado de avance a la fecha en el cumplimiento de la meta trazada al 2020"/>
    <n v="1"/>
    <s v="020204421"/>
    <s v="Registro Administrativo de la UEPP - VMTEL"/>
    <s v="Estado de avance en la universaliza-ción de las telecomuni-caciones"/>
    <s v="RA"/>
    <s v="Trimestral"/>
    <s v="2012-2017"/>
    <s v="A nivel Nacional, Departamental, Provincial, Municipal y de Localidad"/>
    <s v="Nivel Nacional, Departamento, Provincia, Municipio y Localidad"/>
    <s v="Tipo de tecnología_x000a_Cantidad de Poblacion_x000a_Cantidad de Localidades"/>
    <s v="Los datos geográficos del Censo 2012 se validan o actualizan con los resultados de las inspecciones técnicas en sitio"/>
    <s v="Ministerio de Obras Públicas, Servicios y Vivienda - MOPSV"/>
    <s v="Viceministerio de Telecomunicaciones - VMTEL"/>
    <s v="Unidad de Ejecución de Proyectos del PRONTIS - UEPP"/>
    <s v="tel. 2119999_x000a_int. 660"/>
    <d v="2015-12-31T00:00:00"/>
    <n v="0.3323629306162057"/>
    <n v="1"/>
    <s v="N/A"/>
    <n v="0.6676370693837943"/>
    <n v="5"/>
    <n v="0.46589034449296457"/>
    <n v="0.35407569141193596"/>
    <n v="2.1712760795730257E-2"/>
    <n v="3.2521802325581439E-2"/>
    <n v="0.59941775836972344"/>
    <n v="0.38421882581271227"/>
    <n v="5.1855895196506574E-2"/>
    <n v="7.7670784883720964E-2"/>
    <n v="0.73294517224648237"/>
    <n v="0.49957544881125665"/>
    <n v="0.16721251819505095"/>
    <n v="0.25045421511627908"/>
    <n v="0.86647258612324118"/>
    <n v="0.73441290635613776"/>
    <n v="0.40204997573993206"/>
    <n v="0.60219840116279066"/>
    <n v="1"/>
    <n v="1"/>
    <n v="0.6676370693837943"/>
    <n v="1"/>
    <m/>
    <m/>
    <s v="Aprobado"/>
    <m/>
    <m/>
  </r>
  <r>
    <x v="10"/>
    <s v="MOPVS"/>
    <x v="6"/>
    <s v="Soberanía científica y tecnológica con identidad propia "/>
    <s v="0401"/>
    <s v="Investigación y desarrollo de tecnología."/>
    <n v="2"/>
    <s v="4.1.2"/>
    <n v="120"/>
    <s v="4.1.120"/>
    <s v="0401120"/>
    <s v="El Satélite Tupac Katari se encuentra en plena capacidad operativa."/>
    <s v="Ciencia y Tecnología"/>
    <s v="Ciencia y Tecnología"/>
    <s v="Proceso"/>
    <s v="Política e Institucional"/>
    <s v="Institucional"/>
    <m/>
    <m/>
    <s v="PC"/>
    <m/>
    <m/>
    <m/>
    <n v="12.5"/>
    <n v="0"/>
    <n v="1"/>
    <s v="Etapa 1"/>
    <m/>
    <s v="9.c"/>
    <s v="Aumentar significativamente el acceso a la tecnología de la información y las comunicaciones y esforzarse por proporcionar acceso universal y asequible a Internet en los países menos adelantados de aquí a 2020"/>
    <s v="Porcentaje de la población abarcado por una red móvil, desglosado por tecnología"/>
    <m/>
    <x v="0"/>
    <m/>
    <n v="4"/>
    <s v="04011201"/>
    <x v="126"/>
    <s v="Proceso"/>
    <m/>
    <s v="N/A"/>
    <s v="En porcentaje"/>
    <s v="Porcentaje total de su capacidad operativa"/>
    <s v="Indicador = Porcentaje de capacidad operativa_x000a_CO = Capacidad Ocupada_x000a_CP = Capacidad Plena (25,5 Transponders)_x000a__x000a_Indicador (%) = 100 * CO/CP_x000a_"/>
    <s v="Cantidad de transponders efectivamente ocupados en el satélite"/>
    <s v="Agencia Boliviana Espacial"/>
    <s v="La capacidad neta del satélite, restando de la capacidad nominal las mermas operativas, la cual es igual a 25.5 transponders"/>
    <s v="Agencia Boliviana Espacial"/>
    <s v="NA"/>
    <s v="A nivel mundial existen limitaciones físicas y técnicas que impiden ocupar el 100% de la capacidad nominal de los satélites de comunicaciones. Por lo que se plantea que la capacidad plena es igual a 25,5 transponders (85% de la capacidad nominal que es igual a 30 transponders)"/>
    <n v="1"/>
    <s v="040112011"/>
    <s v="IT"/>
    <s v="Informe Técnico"/>
    <s v="Registro administrativo"/>
    <s v="Semestral"/>
    <s v="NA"/>
    <s v="Nacional"/>
    <s v="Nacional "/>
    <s v="Cantidad de transponders efectivamente ocupados"/>
    <s v="Los informes contendrán el valor absoluto de la cantidad de transponders ocupados"/>
    <s v="Ministerio de Obras Públicas, Servicios y Vivienda - MOPSV_x000a_"/>
    <s v="Viceministerio de Telecomunicaciones - VMTEL_x000a_"/>
    <s v="Agencia Boliviana Espacial"/>
    <n v="2141110"/>
    <n v="2015"/>
    <n v="0.82199999999999995"/>
    <n v="1"/>
    <s v="N/A"/>
    <n v="0.17800000000000005"/>
    <n v="5"/>
    <n v="0.85759999999999992"/>
    <n v="0.82199999999999995"/>
    <n v="0"/>
    <n v="0"/>
    <n v="0.89319999999999999"/>
    <n v="0.82199999999999995"/>
    <n v="0"/>
    <n v="0"/>
    <n v="0.92879999999999996"/>
    <n v="0.85"/>
    <n v="2.8000000000000025E-2"/>
    <n v="0.15730337078651696"/>
    <n v="0.96439999999999992"/>
    <n v="0.85"/>
    <n v="2.8000000000000025E-2"/>
    <n v="0.15730337078651696"/>
    <n v="1"/>
    <n v="0.85"/>
    <n v="2.8000000000000025E-2"/>
    <n v="0.15730337078651696"/>
    <m/>
    <m/>
    <s v="Aprobado"/>
    <m/>
    <m/>
  </r>
  <r>
    <x v="10"/>
    <s v="MOPVS"/>
    <x v="6"/>
    <s v="Soberanía científica y tecnológica con identidad propia "/>
    <s v="0401"/>
    <s v="Investigación y desarrollo de tecnología."/>
    <n v="3"/>
    <s v="4.1.3"/>
    <n v="121"/>
    <s v="4.1.121"/>
    <s v="0401121"/>
    <s v="Se cuenta con la Nube Soberana para Gobierno Electrónico, gestión, almacenamiento y seguridad de la información del Estado."/>
    <s v="Ciencia y Tecnología"/>
    <s v="Ciencia y Tecnología"/>
    <s v="Producto"/>
    <s v="Política e Institucional"/>
    <s v="Institucional"/>
    <m/>
    <m/>
    <s v="PD"/>
    <m/>
    <m/>
    <m/>
    <n v="12.5"/>
    <n v="0"/>
    <n v="1"/>
    <s v="Etapa 2"/>
    <m/>
    <s v="9.b"/>
    <s v="Apoyar el desarrollo de tecnologías, la investigación y la_x000a_innovación nacionales en los países en desarrollo, incluso garantizando un entorno normativo propicio a la diversificación industrial y la adición de valor a los productos básicos, entre otras cosas"/>
    <s v="Porcentaje del valor agregado por la industria de tecnología mediana y alta del valor agregado total"/>
    <s v="El proyecto Nube Soberana es una componente transversal para el logro de esta meta"/>
    <x v="0"/>
    <m/>
    <n v="5"/>
    <s v="04011211"/>
    <x v="127"/>
    <s v="Producto"/>
    <m/>
    <s v="N/A"/>
    <s v="En porcentaje"/>
    <s v="Porcentaje de implementación de la Nube Soberana "/>
    <s v="Indicador (%) = Avance Acumulado al 2020_x000a_"/>
    <s v="El Avance Acumulado de toda la infraestructura civil y tecnológica del proyecto Nube Soberana"/>
    <s v="Planilla de avance validada por el VMTEL"/>
    <s v="NA"/>
    <s v="NA"/>
    <s v="NA"/>
    <s v="El indicador presentará avances una vez que se cuenten con los recursos necesarios para la implementación del proyecto"/>
    <n v="1"/>
    <s v="040112111"/>
    <s v="IT"/>
    <s v="Informe Técnico"/>
    <s v="Panilla de Avance"/>
    <s v="Trimestral"/>
    <s v="NA"/>
    <s v="Nacional"/>
    <s v="Nacional "/>
    <s v="Acumulado de la infraestructura civil y tecnológica de la  Nube Soberana"/>
    <s v="La fuente aún no es 100% disponible ya que una vez se cuente con financiamiento y empiece el proyecto, se definirá la entidad o unidad responsable de la fuentes de datos"/>
    <s v="Ministerio de Obras Públicas, Servicios y Vivienda - MOPSV_x000a_"/>
    <s v="Viceministerio de Telecomunicaciones - VMTEL_x000a_"/>
    <s v="Dirección General de Telecomunicaciones -DGTEL"/>
    <s v="2119999 int. 651"/>
    <n v="2015"/>
    <n v="0"/>
    <n v="1"/>
    <s v="N/A"/>
    <n v="1"/>
    <n v="5"/>
    <n v="0.2"/>
    <n v="0"/>
    <n v="0"/>
    <n v="0"/>
    <n v="0.4"/>
    <n v="0"/>
    <n v="0"/>
    <n v="0"/>
    <n v="0.60000000000000009"/>
    <n v="0"/>
    <n v="0"/>
    <n v="0"/>
    <n v="0.8"/>
    <n v="0"/>
    <n v="0"/>
    <n v="0"/>
    <n v="1"/>
    <n v="0"/>
    <n v="0"/>
    <n v="0"/>
    <m/>
    <m/>
    <s v="Aprobado"/>
    <m/>
    <m/>
  </r>
  <r>
    <x v="10"/>
    <s v="MOPVS"/>
    <x v="6"/>
    <s v="Soberanía científica y tecnológica con identidad propia "/>
    <s v="0401"/>
    <s v="Investigación y desarrollo de tecnología."/>
    <n v="4"/>
    <s v="4.1.4"/>
    <n v="122"/>
    <s v="4.1.122"/>
    <s v="0401122"/>
    <s v="Se ha concluido la Primera fase de la Ciudadela del Conocimiento Científico y la Tecnología."/>
    <s v="Ciencia y Tecnología"/>
    <s v="Ciencia y Tecnología"/>
    <s v="Proceso"/>
    <s v="Política e Institucional"/>
    <s v="Ciencia y Tecnología"/>
    <m/>
    <m/>
    <s v="PC"/>
    <m/>
    <m/>
    <m/>
    <n v="12.5"/>
    <n v="0"/>
    <n v="1"/>
    <s v="Etapa 2"/>
    <m/>
    <s v="9.5"/>
    <s v="Aumentar la investigación científica y mejorar la capacidad tecnológica de los sectores industriales de todos los países, en particular los países en desarrollo, entre otras cosas fomentando la innovación y aumentando considerablemente, de aquí a 2030, el número de personas que trabajan en investigación y desarrollo por millón de habitantes y los gastos de los sectores público y privado en investigación y desarrollo_x000a_"/>
    <s v="Investigadores (valor equivalente a tiempo completo) por millón de habitantes_x000a_"/>
    <s v="El proyecto de la Ciudadela del Conocimiento Científico y la Tecnología es una componente esencial t transversal para el logro de esta meta"/>
    <x v="0"/>
    <m/>
    <n v="6"/>
    <s v="04011221"/>
    <x v="128"/>
    <s v="Proceso"/>
    <m/>
    <s v="N/A"/>
    <s v="En porcentaje"/>
    <s v="Porcentaje de implementación de la Primera Fase de la Ciudadela "/>
    <s v="Indicador (%) = Avance Acumulado al 2020_x000a_"/>
    <s v="El Avance Acumulado de toda la infraestructura civil y tecnológica del proyecto Ciudadela Científica, Tecnológica e Innovación"/>
    <s v="Planilla de avance validada por el VMTEL"/>
    <s v="NA"/>
    <s v="NA"/>
    <s v="NA"/>
    <s v="El indicador presentará avances una vez que se cuenten con los recursos necesarios para la implementación del proyecto"/>
    <n v="1"/>
    <s v="040112211"/>
    <s v="IT"/>
    <s v="Informe Técnico"/>
    <s v="Panilla de Avance"/>
    <s v="Trimestral"/>
    <s v="NA"/>
    <s v="Nacional"/>
    <s v="Nacional "/>
    <s v="Acumulado de la infraestructura civil y tecnológica de la  Ciudadela Científica, Tecnológica e Innovación"/>
    <s v="La fuente aún no es 100% disponible ya que una vez se cuente con financiamiento y empiece el proyecto, se definirá la entidad o unidad responsable de la fuentes de datos"/>
    <s v="Ministerio de Obras Públicas, Servicios y Vivienda - MOPSV_x000a_"/>
    <s v="Viceministerio de Telecomunicaciones - VMTEL_x000a_"/>
    <s v="Dirección General de Telecomunicaciones -DGTEL"/>
    <s v="2119999 int. 651"/>
    <n v="2015"/>
    <n v="0"/>
    <n v="1"/>
    <s v="N/A"/>
    <n v="1"/>
    <n v="5"/>
    <n v="0.2"/>
    <n v="0"/>
    <n v="0"/>
    <n v="0"/>
    <n v="0.4"/>
    <n v="0"/>
    <n v="0"/>
    <n v="0"/>
    <n v="0.60000000000000009"/>
    <n v="0"/>
    <n v="0"/>
    <n v="0"/>
    <n v="0.8"/>
    <n v="0"/>
    <n v="0"/>
    <n v="0"/>
    <n v="1"/>
    <n v="0"/>
    <n v="0"/>
    <n v="0"/>
    <m/>
    <m/>
    <s v="Aprobado"/>
    <m/>
    <m/>
  </r>
  <r>
    <x v="10"/>
    <s v="AGETIC"/>
    <x v="6"/>
    <s v="Soberanía científica y tecnológica con identidad propia "/>
    <s v="0401"/>
    <s v="Investigación y desarrollo de tecnología."/>
    <n v="6"/>
    <s v="4.1.6"/>
    <n v="124"/>
    <s v="4.1.124"/>
    <s v="0401124"/>
    <s v="La Agencia de Gobierno Electrónico y Tecnologías de Información y Comunicación se encuentra operando."/>
    <s v="Ciencia y Tecnología"/>
    <s v="Ciencia y Tecnología"/>
    <s v="Proceso"/>
    <s v="Política e Institucional"/>
    <s v="Institucional"/>
    <m/>
    <m/>
    <s v="PC"/>
    <m/>
    <m/>
    <m/>
    <n v="12.5"/>
    <n v="0"/>
    <n v="1"/>
    <s v="Etapa 1"/>
    <m/>
    <m/>
    <m/>
    <m/>
    <m/>
    <x v="1"/>
    <m/>
    <n v="8"/>
    <s v="04011248"/>
    <x v="129"/>
    <s v="Proceso"/>
    <m/>
    <m/>
    <m/>
    <m/>
    <m/>
    <m/>
    <m/>
    <m/>
    <m/>
    <m/>
    <m/>
    <s v="La meta ya ha sido cumplida"/>
    <m/>
    <m/>
    <m/>
    <m/>
    <m/>
    <m/>
    <m/>
    <m/>
    <m/>
    <m/>
    <m/>
    <s v="Ministerio de la Presidencia"/>
    <s v="Agencia de Gobierno Electrónico y Tecnologías de Información y Comunicación – AGETIC"/>
    <s v="Area de Planificación_x000a_Eliana Onis _x000a__x000a_75864641"/>
    <m/>
    <m/>
    <m/>
    <m/>
    <m/>
    <m/>
    <m/>
    <m/>
    <m/>
    <m/>
    <m/>
    <m/>
    <m/>
    <m/>
    <m/>
    <m/>
    <m/>
    <m/>
    <m/>
    <m/>
    <m/>
    <m/>
    <m/>
    <m/>
    <m/>
    <m/>
    <m/>
    <m/>
    <s v="Detallar"/>
    <m/>
    <m/>
  </r>
  <r>
    <x v="10"/>
    <s v="MOPVS"/>
    <x v="6"/>
    <s v="Soberanía científica y tecnológica con identidad propia "/>
    <s v="0401"/>
    <s v="Investigación y desarrollo de tecnología."/>
    <n v="8"/>
    <s v="4.1.8"/>
    <n v="126"/>
    <s v="4.1.126"/>
    <s v="0401126"/>
    <s v="Se ha concluido la primera fase de la Televisión Digital Libre en capitales de departamento y El Alto "/>
    <s v="Ciencia y Tecnología"/>
    <s v="Ciencia y Tecnología"/>
    <s v="Producto"/>
    <s v="Política e Institucional"/>
    <s v="Ciencia y Tecnología"/>
    <m/>
    <m/>
    <s v="PC"/>
    <m/>
    <m/>
    <m/>
    <n v="12.5"/>
    <n v="1"/>
    <n v="0"/>
    <s v="Etapa 2"/>
    <m/>
    <s v="9.b"/>
    <s v="Apoyar el desarrollo de tecnologías, la investigación y la innovación nacionales en los países en desarrollo, incluso garantizando un entorno normativo propicio a la diversificación industrial y la adición de valor a los productos básicos, entre otras cosas"/>
    <s v="9.b.1 Porcentaje del valor agregado por la industria de tecnología mediana y alta del valor agregado total"/>
    <m/>
    <x v="0"/>
    <m/>
    <n v="10"/>
    <s v="04011261"/>
    <x v="130"/>
    <s v="Producto"/>
    <m/>
    <s v="implementación de plantas de transmisión de Televisión Digital Terrestre"/>
    <s v="En porcentaje"/>
    <s v="Porcentaje de implementación de la primera fase de la Televisión Digital Libre en capitales de departamento y El Alto "/>
    <s v="Indicador (%) = Avance Acumulado al 2020_x000a_"/>
    <s v="Avance Acumulado de toda la infraestructura civil y tecnológica del proyecto de la primera fase de la Televisión Digital Libre en capitales de departamento y El Alto "/>
    <s v="Planilla de avance validada por el VMTEL"/>
    <s v="NA"/>
    <s v="NA"/>
    <s v="NA"/>
    <s v="El indicador presentará avances una vez que se cuenten con los recursos necesarios para la implementación del proyecto"/>
    <n v="1"/>
    <s v="040112611"/>
    <s v="IT"/>
    <s v="Informe Técnico"/>
    <s v="Registro administrativo"/>
    <s v="Trimestral"/>
    <s v="NA"/>
    <s v="Nacional"/>
    <s v="Nacional "/>
    <s v="Avance Acumulado de toda la infraestructura civil y tecnológica del proyecto de la primera fase de la Televisión Digital Libre en capitales de departamento y El Alto "/>
    <s v="La fuente aún no es disponible ya que una vez se cuente con financiamiento y se inicie la implemetación del proyecto, se definirá la entidad o unidad responsable de la fuentes de datos"/>
    <s v="Ministerio de Obras Públicas, Servicios y Vivienda - MOPSV_x000a_"/>
    <s v="Viceministerio de Telecomunicaciones - VMTEL_x000a_"/>
    <s v="Dirección General de Telecomunicaciones -DGTEL"/>
    <s v="2119999 int. 605"/>
    <n v="2015"/>
    <n v="0"/>
    <n v="1"/>
    <s v="N/A"/>
    <n v="1"/>
    <n v="5"/>
    <n v="0.2"/>
    <n v="0"/>
    <n v="0"/>
    <n v="0"/>
    <n v="0.4"/>
    <n v="0"/>
    <n v="0"/>
    <n v="0"/>
    <n v="0.60000000000000009"/>
    <n v="0"/>
    <n v="0"/>
    <n v="0"/>
    <n v="0.8"/>
    <n v="0"/>
    <n v="0"/>
    <n v="0"/>
    <n v="1"/>
    <n v="0"/>
    <n v="0"/>
    <n v="0"/>
    <m/>
    <m/>
    <s v="Detallar"/>
    <m/>
    <m/>
  </r>
  <r>
    <x v="10"/>
    <s v="MDRyT-INIAF"/>
    <x v="6"/>
    <s v="Soberanía científica y tecnológica con identidad propia "/>
    <s v="0403"/>
    <s v="Tecnología con saberes."/>
    <n v="1"/>
    <s v="4.3.1"/>
    <n v="128"/>
    <s v="4.3.128"/>
    <s v="0403128"/>
    <s v="Se han elaborado y diseminado paquetes tecnológicos intercientíficos y de diálogo de saberes que incluyen prácticas para mejorar la producción y productividad agropecuaria con resiliencia al cambio climático, en diferentes pisos ecológicos: andenes, camellones, sistemas hidráulicos moxeño-amazónicos, sistemas de acopio (pirwas) y conservación de alimentos."/>
    <s v="Ciencia y Tecnología"/>
    <s v="Ciencia y Tecnología"/>
    <s v="Proceso"/>
    <s v="Económica"/>
    <s v="Ciencia y Tecnología"/>
    <m/>
    <m/>
    <s v="PC"/>
    <m/>
    <m/>
    <m/>
    <n v="50"/>
    <n v="0"/>
    <n v="1"/>
    <s v="Etapa 1"/>
    <m/>
    <s v="2.3 "/>
    <s v="De aquí a 2030, duplicar la productividad agrícola y los ingresos de los productores de alimentos en pequeña escala, en particular las mujeres, los pueblos indígenas, los agricultores familiares, los ganaderos y los pescadores, entre otras cosas mediante un acceso seguro y equitativo a las tierras, a otros recursos e insumos de producción y a los conocimientos, los servicios financieros, los mercados y las oportunidades para añadir valor y obtener empleos no agrícolas"/>
    <s v="2.3.1 Volumen de producción por unidad de trabajo según el tamaño de la empresa agropecuaria/pastoral/silvícola (Medio de Verificación = 3. Reporte de producción de semilla firmada por los productores)"/>
    <m/>
    <x v="0"/>
    <m/>
    <n v="11"/>
    <s v="040312811"/>
    <x v="131"/>
    <s v="Proceso"/>
    <s v="Eficiencia"/>
    <s v="Area geografica"/>
    <s v="Toneladas"/>
    <s v="Mide el volumen anual de semilla comercial certificado, producido por los SLAS"/>
    <s v="Volumen anual de semilla por variedad (año actual) "/>
    <s v="Volumen de semilla producido"/>
    <s v="Informe anual de la Dirección Nacional de Producción de semillas"/>
    <s v="NA"/>
    <s v="NA"/>
    <s v="2017-2018"/>
    <m/>
    <n v="1"/>
    <s v="0403128111"/>
    <s v="RAD"/>
    <s v="Informe de seguimiento al PEI del INIAF._x000a_"/>
    <s v="Registro administrativo"/>
    <s v="Anual"/>
    <s v="2017-2018"/>
    <s v="Nacional"/>
    <s v="Departamental"/>
    <s v="Volumen anual de semilla por variedad "/>
    <m/>
    <s v="Ministerio de Desarrollo Rural Y tierras - MDRyT"/>
    <s v="Instituto Nacional de Innovación Agropecuaria y Forestal - INIAF"/>
    <s v="Unidad de Planificación y Control de Gestión - UPCG"/>
    <s v="2-441153"/>
    <n v="2015"/>
    <n v="0"/>
    <n v="5000"/>
    <m/>
    <n v="5000"/>
    <n v="5"/>
    <n v="0"/>
    <n v="0"/>
    <n v="0"/>
    <n v="0"/>
    <n v="500"/>
    <n v="1236.7"/>
    <n v="1236.7"/>
    <n v="0.24734"/>
    <n v="3000"/>
    <m/>
    <n v="0"/>
    <n v="0"/>
    <n v="4000"/>
    <m/>
    <n v="0"/>
    <n v="0"/>
    <n v="5000"/>
    <m/>
    <n v="0"/>
    <n v="0"/>
    <m/>
    <m/>
    <s v="Detallar"/>
    <m/>
    <m/>
  </r>
  <r>
    <x v="10"/>
    <s v="MDRyT-INIAF"/>
    <x v="6"/>
    <s v="Soberanía científica y tecnológica con identidad propia "/>
    <s v="0403"/>
    <s v="Tecnología con saberes."/>
    <n v="2"/>
    <s v="4.3.2"/>
    <n v="129"/>
    <s v="4.3.129"/>
    <s v="0403129"/>
    <s v="Se han constituido 9 multicentros de producción agroecológica articulados al INIAF."/>
    <s v="Ciencia y Tecnología"/>
    <s v="Ciencia y Tecnología"/>
    <s v="Producto"/>
    <s v="Económica"/>
    <s v="Ciencia y Tecnología"/>
    <m/>
    <m/>
    <s v="PD"/>
    <m/>
    <m/>
    <m/>
    <n v="50"/>
    <n v="0"/>
    <n v="1"/>
    <s v="Etapa 1"/>
    <m/>
    <s v="2.5  "/>
    <s v="Para 2020, mantener la diversidad genética de las semillas, las plantas cultivadas y los animales de granja y domesticados y sus especies silvestres conexas, entre otras cosas mediante una buena gestión y diversificación de los bancos de semillas y plantas a nivel nacional, regional e internacional, y promover el acceso a los beneficios que se deriven de la utilización de los recursos genéticos y los conocimientos tradicionales y su distribución justa y equitativa, como se ha convenido internacionalmente_x000a_2.a  Aumentar las inversiones, incluso mediante una mayor cooperación internacional, en la infraestructura rural, la investigación agrícola y los servicios de extensión, el desarrollo tecnológico y los bancos de genes de plantas y ganado a fin de mejorar la capacidad de producción agrícola en los países en desarrollo, en particular en los países menos adelantados"/>
    <s v="2.5.3 Número de Centros de Innovación fortalecidos con capacidades de investigación, transferencia de tecnología, producción y prestación de servicios (en funcionamiento) _x000a_"/>
    <m/>
    <x v="0"/>
    <m/>
    <n v="12"/>
    <s v="0403129"/>
    <x v="132"/>
    <s v="Producto"/>
    <s v="Eficacia"/>
    <s v="Área Geográfica"/>
    <s v="En número de centros"/>
    <s v="Número de Centros de Innovación  que se encuentran en funcionamiento."/>
    <s v="Número de Centros de Innovación  que se encuentran en funcionamiento."/>
    <s v="Número de Centros de Innovación  que se encuentran en funcionamiento."/>
    <s v="Informes de seguimiento"/>
    <s v="NA"/>
    <s v="NA"/>
    <m/>
    <m/>
    <n v="1"/>
    <s v="04031291"/>
    <s v="PEI-INIAF"/>
    <s v="Informe de seguimiento al PEI del INIAF._x000a_"/>
    <s v="Registro administrativo"/>
    <s v="Trimestral"/>
    <s v="2006-2017"/>
    <s v="Nacional"/>
    <s v="Departamental"/>
    <s v="Número de Centros de Innovación  "/>
    <m/>
    <s v="Ministerio de Desarrollo Rural Y tierras - MDRyT"/>
    <s v="Instituto Nacional de Innovación Agropecuaria y Forestal - INIAF"/>
    <s v="Unidad de Planificación y Control de Gestión - UPCG"/>
    <s v="2-2441608"/>
    <n v="2015"/>
    <n v="2"/>
    <n v="9"/>
    <m/>
    <n v="7"/>
    <n v="5"/>
    <n v="3.4"/>
    <n v="0.22222222222222202"/>
    <n v="-1.7777777777777779"/>
    <n v="-0.25396825396825401"/>
    <n v="4.8"/>
    <n v="0.22222222222222202"/>
    <n v="-1.7777777777777779"/>
    <n v="-0.25396825396825401"/>
    <n v="6.1999999999999993"/>
    <m/>
    <n v="-2"/>
    <n v="-0.2857142857142857"/>
    <n v="7.6"/>
    <m/>
    <n v="-2"/>
    <n v="-0.2857142857142857"/>
    <n v="9"/>
    <m/>
    <n v="-2"/>
    <n v="-0.2857142857142857"/>
    <m/>
    <m/>
    <s v="Detallar"/>
    <m/>
    <m/>
  </r>
  <r>
    <x v="11"/>
    <m/>
    <x v="7"/>
    <s v="Soberanía y transparencia en la gestión pública "/>
    <s v="1101"/>
    <s v="Gestión pública transparente, con servidores públicos éticos, competentes y comprometidos que luchan contra la corrupción."/>
    <n v="1"/>
    <s v="11.1.1"/>
    <n v="296"/>
    <s v="11.1.296"/>
    <s v="1101296"/>
    <s v="Se ha investigado, procesado y sancionado la mayor cantidad de hechos y delitos de corrupción, en coordinación con el Ministerio Público y Órgano Judicial, entre otras."/>
    <s v="Gestión Pública"/>
    <s v="Transparencia"/>
    <s v="Proceso"/>
    <s v="Política e Institucional"/>
    <s v="Estado"/>
    <m/>
    <m/>
    <s v="PC"/>
    <m/>
    <m/>
    <m/>
    <e v="#DIV/0!"/>
    <n v="0"/>
    <n v="1"/>
    <s v="Etapa 1"/>
    <m/>
    <n v="16"/>
    <s v="16.5 Reducir considerablemente la corrupción y el soborno en todas sus formas"/>
    <s v="16.5.1* Porcentaje de las personas que han tenido por lo menos un contacto con un funcionario público, pagaron un soborno a un funcionario público, o tuvieron la experiencia de que un funcionario público les pidiera que lo pagaran, en los 12 meses anteriores"/>
    <m/>
    <x v="0"/>
    <m/>
    <n v="1"/>
    <s v="11012961"/>
    <x v="133"/>
    <s v="MJTI"/>
    <s v="Proceso"/>
    <m/>
    <s v="Nacional"/>
    <s v="Número de denuncias"/>
    <s v="Es el número de denuncias por hechos de corrupción  recibidas y admitidas por el ex MTILCC o el MJTI"/>
    <s v="Número de denuncias recibidas y admitidas por el ex MTILCC o el MJTI"/>
    <s v="Número de denuncias recibidas y admitidas por el ex MTILCC o el MJTI"/>
    <s v="SD"/>
    <m/>
    <m/>
    <s v="2006-2017"/>
    <s v="La fuente está compuesta por datos generados por el ex MTILCC  y el MJTI"/>
    <m/>
    <m/>
    <s v="SD"/>
    <s v="Sistema de Denuncias"/>
    <s v="Registro administrativo"/>
    <s v="Anual"/>
    <s v="2006-2017"/>
    <s v="Nacional"/>
    <s v="Nacional"/>
    <s v="Cantidad de denuncias_x000a_Informacion de la denuncia (CoInfidencial)_x000a_Informacion del Denunciante (CoInfidencial)_x000a_Informacion del Denunciado_x000a_(Confidencial)_x000a_Seguimiento a la Denuncia (Confidencial)"/>
    <s v="La fuente esta compuesta por datos generados por el ex MTILCC y el MJTI"/>
    <s v="Ministerio de Justicia y Transparencia Institucional - MJTI"/>
    <s v="Viceministerio de Transparencia Institucional y Lucha Contra la Corrupción - VTILCC"/>
    <s v="Viceministerio de Transparencia Institucional y Lucha Contra la Corrupción - VTILCC"/>
    <s v="Nelson Huanca, Encargado Infraestructura y Recursos Informáticos, cel 67196010"/>
    <n v="2015"/>
    <n v="1298"/>
    <n v="1500"/>
    <n v="1800"/>
    <n v="202"/>
    <n v="5"/>
    <n v="1338.4"/>
    <m/>
    <n v="-1298"/>
    <n v="-6.4257425742574261"/>
    <n v="1378.8"/>
    <m/>
    <n v="-1298"/>
    <n v="-6.4257425742574261"/>
    <n v="1419.2"/>
    <m/>
    <n v="-1298"/>
    <n v="-6.4257425742574261"/>
    <n v="1459.6"/>
    <m/>
    <n v="-1298"/>
    <n v="-6.4257425742574261"/>
    <n v="1500"/>
    <m/>
    <n v="-1298"/>
    <n v="-6.4257425742574261"/>
    <m/>
    <m/>
    <m/>
    <m/>
  </r>
  <r>
    <x v="11"/>
    <m/>
    <x v="7"/>
    <s v="Soberanía y transparencia en la gestión pública "/>
    <s v="1101"/>
    <s v="Gestión pública transparente, con servidores públicos éticos, competentes y comprometidos que luchan contra la corrupción."/>
    <n v="2"/>
    <s v="11.1.2"/>
    <n v="297"/>
    <s v="11.1.297"/>
    <s v="1101297"/>
    <s v="Se ha recuperado una cantidad importante de recursos públicos por daño económico al Estado."/>
    <s v="Gestión Pública"/>
    <s v="Transparencia"/>
    <s v="Resultado"/>
    <s v="Política e Institucional"/>
    <s v="Estado"/>
    <n v="1"/>
    <m/>
    <s v="RS"/>
    <m/>
    <m/>
    <s v="M.Defensa Legal del Estado"/>
    <e v="#DIV/0!"/>
    <n v="1"/>
    <n v="0"/>
    <s v="Etapa 1"/>
    <m/>
    <n v="16"/>
    <s v="16.5 Reducir considerablemente la corrupción y el soborno en todas sus formas"/>
    <m/>
    <m/>
    <x v="1"/>
    <m/>
    <n v="1"/>
    <s v="11012971"/>
    <x v="134"/>
    <s v="MJTI"/>
    <s v="Impacto"/>
    <m/>
    <s v="Nacional"/>
    <s v="Millones de bolivianos"/>
    <s v="El indicador refleja el monto acumulado desde la gestión 200'7, recuperado en procesos por daño económico al Estado por delitos de corrupción y otros. Principalmente se refiere al monto recuperado por ejecución de garantías y por monitoreo a procesos judiciales"/>
    <s v="Monto acumulado recuperado por ejecución de boletas de garantía , por pólizas de caución y por monitoreo a procesos judiciales."/>
    <s v="Monto recuperado"/>
    <s v="Informes de Recuperación de Garantías "/>
    <m/>
    <m/>
    <s v="2007-2017"/>
    <s v="La fuente esta compuesta por datos generados por el ex MTILCC y MJTI"/>
    <m/>
    <m/>
    <s v="IRG"/>
    <s v="Informes de Recuperación de Garantías "/>
    <s v="Registro administrativo"/>
    <s v="Anual"/>
    <s v="2012-2017"/>
    <s v="Nacional"/>
    <s v="Nacional"/>
    <s v="Monto recuperado por ejecución de boletas de garantía_x000a_Monto recuperado por pólizas de caución _x000a_Monto recuperado por monitoreo a procesos judiciales."/>
    <s v="A partir del 2012 se cuenta con informes de recuperación de garantías, en gestiones previas existe documentacion de respaldo variada"/>
    <s v="Ministerio de Justicia y Transparencia Institucional - MJTI"/>
    <s v="Viceministerio de Transparencia Institucional y Lucha Contra la Corrupción - VTILCC"/>
    <s v="Dirección General de Lucha Contra la Corrupción - DGLCC - URBIF"/>
    <s v="Sergio Román Suxo, Profesional Ingeniero Civil 79533353"/>
    <n v="2015"/>
    <n v="852059206"/>
    <n v="930000000"/>
    <n v="1000000000"/>
    <n v="77940794"/>
    <n v="5"/>
    <n v="867647364.79999995"/>
    <m/>
    <n v="-852059206"/>
    <n v="-10.932134024705984"/>
    <n v="883235523.60000002"/>
    <m/>
    <n v="-852059206"/>
    <n v="-10.932134024705984"/>
    <n v="898823682.39999998"/>
    <m/>
    <n v="-852059206"/>
    <n v="-10.932134024705984"/>
    <n v="914411841.20000005"/>
    <m/>
    <n v="-852059206"/>
    <n v="-10.932134024705984"/>
    <n v="930000000"/>
    <m/>
    <n v="-852059206"/>
    <n v="-10.932134024705984"/>
    <m/>
    <m/>
    <m/>
    <m/>
  </r>
  <r>
    <x v="11"/>
    <m/>
    <x v="7"/>
    <s v="Soberanía y transparencia en la gestión pública"/>
    <s v="1101"/>
    <s v="Gestión pública transparente, con servidores públicos éticos, competentes y comprometidos que luchan contra la corrupción."/>
    <n v="4"/>
    <m/>
    <m/>
    <m/>
    <s v="1101299"/>
    <s v="Se han vinculado instituciones públicas a la Plataforma Electrónica y se ha implementado el Gobierno Electrónico para una gestión pública eficiente (trámites ágiles y mejores servicios) y transparente (acceso a la información), facilitando su evaluación."/>
    <m/>
    <m/>
    <s v="Proceso"/>
    <m/>
    <m/>
    <m/>
    <m/>
    <m/>
    <m/>
    <m/>
    <m/>
    <m/>
    <n v="0"/>
    <n v="1"/>
    <s v="Etapa 1"/>
    <m/>
    <n v="16"/>
    <s v="16.6 Crear a todos los niveles instituciones eficaces y transparentes que rindan cuentas"/>
    <m/>
    <m/>
    <x v="1"/>
    <m/>
    <n v="1"/>
    <n v="11012991"/>
    <x v="135"/>
    <s v="AGETIC"/>
    <s v="Proceso"/>
    <m/>
    <s v="Nacional"/>
    <s v="Porcentaje"/>
    <s v="Refleja el porcentaje de entidades que se han vinculado al portal de trámites del Estado , y registran la información de los trámites de su entidad."/>
    <s v="N° de entidades que registran sus trámites en el portal de trámites/N° de entidades del nivel central del Estado que cuentan con trámites orientados  a la ciudadanía"/>
    <s v="N° de entidades que registran sus trámites en el Portal de Trámites"/>
    <s v="Portal de trámites"/>
    <s v="Número de entidades públicas del nivel central del Estado"/>
    <s v="Clasificador institucional del clasificador presupuestario del MEFP"/>
    <n v="2017"/>
    <s v="El DS N° 3525 de 04/04/2018 establece que las entidades que presten servicios públicos deberán publicar en el Portal de Trámites cada uno de los trámites que ofrecen._x000a_El valor del denominador sera definido por la AGETIC con base en el clasificador institucional actualizado anualmente por el MEFP."/>
    <m/>
    <m/>
    <s v="PT"/>
    <s v="Portal de Trámites de Estado"/>
    <s v="Registro administrativo"/>
    <s v="Anual"/>
    <n v="2017"/>
    <s v="Nacional"/>
    <s v="Nacional"/>
    <s v="N° de entidades que registran sus trámites_x000a__x000a_N° de Trámites registrados"/>
    <m/>
    <s v="Ministerio de la Presidencia"/>
    <s v="Agencia de Gobierno Electrónico y Tecnologías de Información y Comunicación – AGETIC"/>
    <s v="Área de Planificación"/>
    <s v="Eliana Onis _x000a__x000a_75864641"/>
    <n v="2016"/>
    <n v="0"/>
    <n v="0.6"/>
    <n v="0.9"/>
    <n v="0.6"/>
    <n v="4"/>
    <s v="No corresponde"/>
    <m/>
    <s v="No corresponde"/>
    <s v="No corresponde"/>
    <n v="0.15"/>
    <m/>
    <n v="0"/>
    <n v="0"/>
    <n v="0.3"/>
    <m/>
    <n v="0"/>
    <n v="0"/>
    <n v="0.44999999999999996"/>
    <m/>
    <n v="0"/>
    <n v="0"/>
    <n v="0.6"/>
    <m/>
    <n v="0"/>
    <n v="0"/>
    <m/>
    <m/>
    <m/>
    <m/>
  </r>
  <r>
    <x v="11"/>
    <m/>
    <x v="7"/>
    <s v="Soberanía y transparencia en la gestión pública "/>
    <s v="1101"/>
    <s v="Gestión pública transparente, con servidores públicos éticos, competentes y comprometidos que luchan contra la corrupción."/>
    <n v="4"/>
    <s v="11.1.5"/>
    <n v="300"/>
    <s v="11.1.300"/>
    <s v="1101299"/>
    <s v="Se han vinculado instituciones públicas a la Plataforma Electrónica y se ha implementado el Gobierno Electrónico para una gestión pública eficiente (trámites ágiles y mejores servicios) y transparente (acceso a la información), facilitando su evaluación."/>
    <s v="Gestión Pública"/>
    <s v="Transparencia"/>
    <s v="Proceso"/>
    <s v="Política e Institucional"/>
    <s v="Institucional"/>
    <m/>
    <m/>
    <s v="PC"/>
    <m/>
    <m/>
    <m/>
    <e v="#DIV/0!"/>
    <n v="0"/>
    <n v="1"/>
    <s v="Etapa 1"/>
    <m/>
    <n v="16"/>
    <s v="16.6 Crear a todos los niveles instituciones eficaces y transparentes que rindan cuentas"/>
    <m/>
    <m/>
    <x v="1"/>
    <m/>
    <n v="2"/>
    <n v="11012992"/>
    <x v="136"/>
    <s v="MJTI"/>
    <s v="Proceso"/>
    <s v="Cantidad de entidades que registran información de transparencia al Portal de Transparencia"/>
    <s v="Nacional"/>
    <s v="Número de entidades públicas"/>
    <s v="Número de entidades públicas que registran información al Portal de Transparencia, a cargo del MJTI, en alguno de los 5 componentes del Programa de transparencia: Rendicion Pública de Cuentas, Control social, Acceso a la Información, Ética Pública y Gestión de Riesgos "/>
    <s v="Número de entidades públicas  que registran información de transparencia al Portal de Transparencia"/>
    <s v="N° de entidades públicas que registran información de transparencia al Portal de Transparencia"/>
    <s v="Portal de Transparencia"/>
    <m/>
    <m/>
    <s v="2016-2017"/>
    <s v="En la gestión 2018, el Portal de Transparencia sólo tiene habilitado el Componente de Rendición Pública de Cuentas. A partir de la gestión 2019 se espera contar con información de los 5 componentes"/>
    <m/>
    <m/>
    <s v="PT"/>
    <s v="Portal de Transparencia"/>
    <s v="Registro administrativo"/>
    <s v="Anual"/>
    <s v="2016-2017"/>
    <s v="Nacional"/>
    <s v="Nacional"/>
    <s v="5 Componentes del Programa de transparencia: Rendición Pública de Cuentas, Control social, Acceso a la Información, Gestión de Riesgos y Ética Pública"/>
    <s v="A la fecha el Portal de Transparencia solo tiene habilitado el Componente de Rendición Pública de Cuentas. A partir de la gestión 2019 se espera contar con información de los 5 componentes."/>
    <s v="Ministerio de Justicia y Transparencia Institucional - MJTI"/>
    <s v="Viceministerio de Transparencia Institucional y Lucha Contra la Corrupción - VTILCC"/>
    <s v="Dirección General de Prevención, Promoción de Ética y Transparencia - DGPPET"/>
    <s v="Lic. Martin La Mar_x000a_Cel. 76799456"/>
    <n v="2016"/>
    <n v="105"/>
    <n v="200"/>
    <n v="300"/>
    <n v="95"/>
    <n v="4"/>
    <s v="No corresponde"/>
    <m/>
    <s v="No corresponde"/>
    <s v="No corresponde"/>
    <n v="128.75"/>
    <m/>
    <n v="-105"/>
    <n v="-1.1052631578947369"/>
    <n v="152.5"/>
    <m/>
    <n v="-105"/>
    <n v="-1.1052631578947369"/>
    <n v="176.25"/>
    <m/>
    <n v="-105"/>
    <n v="-1.1052631578947369"/>
    <n v="200"/>
    <m/>
    <n v="-105"/>
    <n v="-1.1052631578947369"/>
    <m/>
    <m/>
    <m/>
    <m/>
  </r>
  <r>
    <x v="11"/>
    <m/>
    <x v="8"/>
    <s v="Soberanía y transparencia en la gestión pública "/>
    <n v="1101"/>
    <s v="Gestión Pública transparente, con servidores públicos  éticos, competentes y comprometidos  que luchan contra la corrupción"/>
    <n v="4"/>
    <m/>
    <m/>
    <m/>
    <s v="1101299"/>
    <s v="Se han vinculado instituciones públicas a la Plataforma Electrónica y se ha implementado el Gobierno Electrónico para una gestión pública eficiente (trámites ágiles y mejores servicios) y transparente (acceso a la información facilitando su evaluación"/>
    <m/>
    <m/>
    <s v="Resultado"/>
    <m/>
    <m/>
    <m/>
    <m/>
    <m/>
    <m/>
    <m/>
    <m/>
    <m/>
    <n v="1"/>
    <n v="0"/>
    <s v="Etapa 1"/>
    <m/>
    <n v="16"/>
    <s v="16.9 De aquí a 2030, proporcionar acceso a una identidad jurídica para todos, en particular mediante el registro de nacimientos."/>
    <s v="16,9,1. Proporción de niños menores de 5 años cuyo nacimiento se ha registrado ante una autoridad civil, desglosada por edad"/>
    <m/>
    <x v="0"/>
    <m/>
    <n v="3"/>
    <n v="11012993"/>
    <x v="137"/>
    <s v="MG"/>
    <s v="Producto"/>
    <m/>
    <s v="Sexo , departamento y grupo de edad"/>
    <s v="Porcentaje"/>
    <s v="Proporción de lal población que cuenta  con  Cedula de Identidad  en relación al total de la población"/>
    <s v="(Número de personas  que cuentan con  Cédula de Identidad/Poblacion total )*100"/>
    <s v="Número de personas que cuentan con  Cédula de Identidad"/>
    <s v="SEGIP"/>
    <s v="Población total "/>
    <s v="Proyecciones poblacionales INE"/>
    <s v="2011-2017"/>
    <s v="Desde la creación del SEGIP_x000a_En el cálculo del indicador no es posible excluir a las personas fallecidas"/>
    <m/>
    <m/>
    <s v="SEGIP"/>
    <s v="Servicio General de Identificación Personal"/>
    <s v="Registro administrativo"/>
    <s v="Anual"/>
    <s v="2011-2017"/>
    <s v="A nivel nacional "/>
    <s v="Departamental"/>
    <s v="Sexo, departamento y grupos de edad_x000a_Cédulas  de Identidad  nuevas, repuestas y renovadas"/>
    <m/>
    <s v="Ministerio de Gobierno "/>
    <s v="Servicio General de Identificación Personal-SEGIP"/>
    <s v="Dirección Nacional de Operaciones _x000a_Dirección de Tecnologías de la Información y Comunicación"/>
    <s v="SEGIP_x000a_2141370-2141380_x000a_Franco Gamboa_x000a_Marco Peñaloza"/>
    <n v="2015"/>
    <s v="El SEGIP está remitirá esta información hasta el lunes 21 de marzo"/>
    <s v="El SEGIP está remitirá esta información hasta el lunes 21 de marzo"/>
    <s v="El SEGIP está remitirá esta información hasta el lunes 21 de marzo"/>
    <e v="#VALUE!"/>
    <n v="5"/>
    <e v="#VALUE!"/>
    <m/>
    <e v="#VALUE!"/>
    <e v="#VALUE!"/>
    <e v="#VALUE!"/>
    <m/>
    <e v="#VALUE!"/>
    <e v="#VALUE!"/>
    <e v="#VALUE!"/>
    <m/>
    <e v="#VALUE!"/>
    <e v="#VALUE!"/>
    <e v="#VALUE!"/>
    <m/>
    <e v="#VALUE!"/>
    <e v="#VALUE!"/>
    <e v="#VALUE!"/>
    <m/>
    <e v="#VALUE!"/>
    <e v="#VALUE!"/>
    <m/>
    <m/>
    <m/>
    <m/>
  </r>
  <r>
    <x v="11"/>
    <m/>
    <x v="7"/>
    <s v="Soberanía y transparencia en la gestión pública "/>
    <s v="1101"/>
    <s v="Gestión pública transparente, con servidores públicos éticos, competentes y comprometidos que luchan contra la corrupción."/>
    <n v="6"/>
    <s v="11.1.6"/>
    <n v="301"/>
    <s v="11.1.301"/>
    <s v="1101301"/>
    <s v="Se ha institucionalizado en las entidades estatales la rendición pública de cuentas para el ejercicio efectivo del control social y procesos de formación en principios y valores éticos."/>
    <s v="Gestión Pública"/>
    <s v="Transparencia"/>
    <s v="Proceso"/>
    <s v="Política e Institucional"/>
    <s v="Institucional"/>
    <m/>
    <m/>
    <s v="PC"/>
    <m/>
    <m/>
    <m/>
    <e v="#DIV/0!"/>
    <n v="0"/>
    <n v="1"/>
    <s v="Etapa 1"/>
    <m/>
    <n v="16"/>
    <s v="16.6 Crear a todos los niveles instituciones eficaces y transparentes que rindan cuentas"/>
    <s v="16.6.2 Proporción de la población que se siente satisfecha con su última experiencia de los servicios públicos"/>
    <m/>
    <x v="0"/>
    <m/>
    <n v="1"/>
    <n v="11013011"/>
    <x v="138"/>
    <s v="MJTI"/>
    <s v="Proceso"/>
    <m/>
    <s v="Nacional"/>
    <s v="Número de entidades públicas"/>
    <s v="Número de Entidades Públicas a nivel nacional que rinden cuentascomo parte de su gestión institucional transparente, según normativa vigente"/>
    <s v="Cantidad de entidades públicas que rinden cuentas "/>
    <s v="Cantidad de entidades públicas que rinden cuentas "/>
    <s v="Notas e informes de Rendión Pública de Cuentas de las entidades públicas"/>
    <m/>
    <m/>
    <s v="2006-2017"/>
    <s v="De acuerdo a normativa vigente es obligatoria la realización de Rendiciones Públicas de Cuentas cada año"/>
    <m/>
    <m/>
    <s v="NI-RPC"/>
    <s v="Notas e informes de Rendión Pública de Cuentas de las entidades públicas"/>
    <s v="Registro administrativo"/>
    <s v="Anual"/>
    <s v="2006-2017"/>
    <s v="Nacional"/>
    <s v="Nacional"/>
    <s v="Entidades que realizaron la Rendición Pública de Cuentas"/>
    <s v="Hasta la gestión 2017 no se cuenta con información de Rendición Pública de Cuentas del Organo Judicial, Contraloria, Ministerio Público y Universidades Públicas"/>
    <s v="Ministerio de Justicia y Transparencia Institucional - MJTI"/>
    <s v="Viceministerio de Transparencia Institucional y Lucha Contra la Corrupción - VTILCC"/>
    <s v="Dirección General de Prevención, Promoción de Ética y Transparencia - DGPPET"/>
    <s v="Lic. Martin La Mar_x000a_Cel. 76799456"/>
    <n v="2015"/>
    <n v="492"/>
    <n v="580"/>
    <n v="580"/>
    <n v="88"/>
    <n v="5"/>
    <n v="509.6"/>
    <m/>
    <n v="-492"/>
    <n v="-5.5909090909090908"/>
    <n v="527.20000000000005"/>
    <m/>
    <n v="-492"/>
    <n v="-5.5909090909090908"/>
    <n v="544.79999999999995"/>
    <m/>
    <n v="-492"/>
    <n v="-5.5909090909090908"/>
    <n v="562.4"/>
    <m/>
    <n v="-492"/>
    <n v="-5.5909090909090908"/>
    <n v="580"/>
    <m/>
    <n v="-492"/>
    <n v="-5.5909090909090908"/>
    <m/>
    <m/>
    <m/>
    <m/>
  </r>
  <r>
    <x v="11"/>
    <m/>
    <x v="7"/>
    <s v="Soberanía y transparencia en la gestión pública"/>
    <s v="1101"/>
    <s v="Gestión pública transparente, con servidores públicos éticos, competentes y comprometidos que luchan contra la corrupción."/>
    <n v="7"/>
    <m/>
    <m/>
    <m/>
    <n v="1101302"/>
    <s v="Se ha reducido significativamente la burocracia en los procesos y procedimientos de la administración pública con la integración de los sistemas del Estado y el uso de las tecnologías de información y comunicación."/>
    <m/>
    <m/>
    <s v="Resultado"/>
    <m/>
    <m/>
    <m/>
    <m/>
    <m/>
    <m/>
    <m/>
    <m/>
    <m/>
    <n v="1"/>
    <n v="0"/>
    <s v="Etapa 1"/>
    <m/>
    <n v="16"/>
    <s v="16.6 Crear a todos los niveles instituciones eficaces y transparentes que rindan cuentas"/>
    <s v="16.6.2 Proporción de la población que se siente satisfecha con su última experiencia de los servicios públicos"/>
    <m/>
    <x v="0"/>
    <m/>
    <n v="1"/>
    <n v="11013021"/>
    <x v="139"/>
    <s v="AGETIC"/>
    <s v="Proceso"/>
    <m/>
    <s v="Nacional"/>
    <s v="Porcentaje"/>
    <s v="Refleja el porcentaje de entidades que cuentan con planes, programas y proyectos orientados a la desburocratización en sus planes de Gobierno Electrónico."/>
    <s v="N°de entidades del nivel central que cuentan con planes, programas y/o proyectos de simplificación de trámites en sus Planes de Gobierno Electrónico/N° de entidades del nivel central del Estado"/>
    <s v="N°de entidades del nivel central que cuentan planes, programas y/o proyectos de simplificación de trámites en sus Planes de Gobierno Electrónico"/>
    <s v="Registro Planes Institucionales de Gobierno Electrónico"/>
    <s v="Número de entidades públicas del nivel central del Estado"/>
    <s v="Clasificador institucional del clasificador presupuestario del MEFP"/>
    <n v="2017"/>
    <s v="El valor del denominador sera definido en el marco del clasificador institucional actualizado anualmente por el MEFP"/>
    <m/>
    <m/>
    <s v="PIGE"/>
    <s v="Planes Institucionales de Gobierno Electrónico"/>
    <s v="Registro administrativo"/>
    <s v="Anual"/>
    <n v="2017"/>
    <s v="Nacional"/>
    <s v="Nacional"/>
    <s v="N° de entidades que cuentan con programas y/o proyectos de simplificación_x000a__x000a_N° de proyectos de simplificación de trámites"/>
    <m/>
    <s v="Ministerio de la Presidencia"/>
    <s v="Agencia de Gobierno Electrónico y Tecnologías de Información y Comunicación – AGETIC"/>
    <s v="Área de Planificación"/>
    <s v="Eliana Onis _x000a_75864641"/>
    <n v="2015"/>
    <n v="0"/>
    <n v="0.5"/>
    <n v="0.9"/>
    <n v="0.5"/>
    <n v="5"/>
    <n v="0.1"/>
    <m/>
    <n v="0"/>
    <n v="0"/>
    <n v="0.2"/>
    <m/>
    <n v="0"/>
    <n v="0"/>
    <n v="0.30000000000000004"/>
    <m/>
    <n v="0"/>
    <n v="0"/>
    <n v="0.4"/>
    <m/>
    <n v="0"/>
    <n v="0"/>
    <n v="0.5"/>
    <m/>
    <n v="0"/>
    <n v="0"/>
    <m/>
    <m/>
    <m/>
    <m/>
  </r>
  <r>
    <x v="11"/>
    <m/>
    <x v="7"/>
    <s v="Soberanía y transparencia en la gestión pública "/>
    <s v="1102"/>
    <s v="Sistema judicial transparente que garantiza justicia para todos y todas."/>
    <n v="1"/>
    <m/>
    <m/>
    <m/>
    <s v="1102303"/>
    <s v="Se ha transformado el Sistema de Justicia, en el marco de la Cumbre Nacional de Justicia, garantizando el acceso, celeridad y juicio justo, con ética, transparencia y valores del Vivir Bien."/>
    <m/>
    <m/>
    <s v="Resultado"/>
    <m/>
    <m/>
    <m/>
    <m/>
    <m/>
    <m/>
    <m/>
    <m/>
    <m/>
    <n v="1"/>
    <n v="0"/>
    <s v="Etapa 1"/>
    <m/>
    <n v="16"/>
    <s v="16.3 Promover el estado de derecho en los planos nacional e internacional y garantizar la igualdad de acceso a la justicia para todos"/>
    <m/>
    <m/>
    <x v="1"/>
    <m/>
    <n v="1"/>
    <n v="11023031"/>
    <x v="140"/>
    <s v="MJTI"/>
    <s v="Producto"/>
    <m/>
    <s v="Nacional"/>
    <s v="Porcentaje"/>
    <s v="Es el porcentaje de mandatos (conclusiones) cumplidas o en ejecución, de la Cumbre Nacional de Justicia Plural realizada en el año 2016 en Sucre, respecto al total de mandatos (conclusiones) de dicho evento."/>
    <s v="Mandatos (conclusiones) cumplidas o en ejecución, de la Cumbre Nacional de Justicia Plural /  Total de mandatos (conclusiones) de la Cumbre Nacional de Justicia Plural "/>
    <s v="Mandatos o conclusiones cumplidas o en ejecución, de las diferentes mesas de trabajo de la Cumbre Nacional de Justicia Plural, realizada en el año 2016 en Sucre."/>
    <s v="MJTI"/>
    <s v="Total de mandatos (conclusiones) de la Cumbre Nacional de Justicia Plural "/>
    <s v="MJTI"/>
    <s v="2016-2017"/>
    <s v="Debido a que la Cumbre Nacional de Justicia Plural tuvo carácter nacional, no es posible desagregar los datos "/>
    <m/>
    <m/>
    <s v="MTJI"/>
    <s v="Ministerio de Justicia y Transparencia Institucional"/>
    <s v="Registro administrativo"/>
    <s v="Anual"/>
    <s v="2016-2017"/>
    <s v="Nacional"/>
    <s v="Nacional"/>
    <s v="Mandatos (conclusiones) de la Cumbre Nacional de Justicia Plural "/>
    <s v="Ninguna"/>
    <s v="Ministerio de Justicia y Transparencia Institucional (MJTI)"/>
    <s v="Viceministerio de Justicia y Derechos Fundamentales (VJDF)"/>
    <s v="Dirección General de Desarrollo Constitucional (DGDC)"/>
    <s v="Daniel Mercado_x000a_Director General de Desarrollo Constitucional_x000a_Cel: 70605999"/>
    <n v="2015"/>
    <n v="0"/>
    <n v="0.4"/>
    <n v="0.6"/>
    <n v="0.4"/>
    <n v="5"/>
    <n v="0.08"/>
    <m/>
    <n v="0"/>
    <n v="0"/>
    <n v="0.16"/>
    <m/>
    <n v="0"/>
    <n v="0"/>
    <n v="0.24"/>
    <m/>
    <n v="0"/>
    <n v="0"/>
    <n v="0.32"/>
    <m/>
    <n v="0"/>
    <n v="0"/>
    <n v="0.4"/>
    <m/>
    <n v="0"/>
    <n v="0"/>
    <m/>
    <m/>
    <m/>
    <m/>
  </r>
  <r>
    <x v="11"/>
    <m/>
    <x v="7"/>
    <s v="Soberanía y transparencia en la gestión pública "/>
    <s v="1102"/>
    <s v="Sistema judicial transparente que garantiza justicia para todos y todas."/>
    <n v="3"/>
    <m/>
    <m/>
    <m/>
    <s v="1102305"/>
    <s v="Se ha logrado que al menos el 70% de las causas registradas sean resueltas y se ha reducido en 50% el tiempo de duración de los procesos judiciales, reduciéndose la mora procesal."/>
    <m/>
    <m/>
    <s v="Resultado"/>
    <m/>
    <m/>
    <m/>
    <m/>
    <m/>
    <m/>
    <m/>
    <m/>
    <m/>
    <n v="1"/>
    <n v="0"/>
    <s v="Etapa 1"/>
    <m/>
    <n v="16"/>
    <s v="16.3 Promover el estado de derecho en los planos nacional e internacional y garantizar la igualdad de acceso a la justicia para todos"/>
    <s v="16.3.2 Detenidos que no han sido sentenciados como porcentaje de la población carcelaria total"/>
    <m/>
    <x v="0"/>
    <m/>
    <n v="1"/>
    <n v="11023051"/>
    <x v="141"/>
    <s v="MJTI"/>
    <s v="Producto"/>
    <m/>
    <s v="Materia, departamento"/>
    <s v="Porcentaje"/>
    <s v="Es el porcentaje de las causas resueltas en una determinada gestión, respecto al total de causas en tramitación en el mismo año."/>
    <s v="Causas resueltas en una determinada gestión /  Total de causas en tramitación en la misma gestión"/>
    <s v="Causas resueltas en una determinada gestión"/>
    <s v="MJTI"/>
    <s v="Total de causas en tramitación en la misma gestión"/>
    <s v="MJTI"/>
    <s v="2005-2016"/>
    <m/>
    <m/>
    <m/>
    <s v="MJTI"/>
    <s v="Ministerio de Justicia y Transparencia Institucional"/>
    <s v="Registro administrativo"/>
    <s v="Anual"/>
    <s v="2005-2016"/>
    <s v="Nacional"/>
    <s v="Materia, departamento"/>
    <s v="Causas en tramitación _x000a_Causas resueltas"/>
    <m/>
    <s v="Ministerio de Justicia y Transparencia Institucional (MJTI)"/>
    <s v="Viceministerio de Justicia y Derechos Fundamentales (VJDF)"/>
    <s v="Dirección General de Desarrollo Constitucional (DGDC)"/>
    <s v="Daniel Mercado_x000a_Director General de Desarrollo Constitucional_x000a_Cel: 70605999"/>
    <n v="2015"/>
    <n v="0.53"/>
    <n v="0.7"/>
    <n v="0.75"/>
    <n v="0.16999999999999993"/>
    <n v="5"/>
    <n v="0.56400000000000006"/>
    <m/>
    <n v="-0.53"/>
    <n v="-3.1176470588235308"/>
    <n v="0.59799999999999998"/>
    <m/>
    <n v="-0.53"/>
    <n v="-3.1176470588235308"/>
    <n v="0.63200000000000001"/>
    <m/>
    <n v="-0.53"/>
    <n v="-3.1176470588235308"/>
    <n v="0.66599999999999993"/>
    <m/>
    <n v="-0.53"/>
    <n v="-3.1176470588235308"/>
    <n v="0.7"/>
    <m/>
    <n v="-0.53"/>
    <n v="-3.1176470588235308"/>
    <m/>
    <m/>
    <m/>
    <m/>
  </r>
  <r>
    <x v="11"/>
    <m/>
    <x v="7"/>
    <s v="Soberanía y transparencia en la gestión pública "/>
    <s v="1102"/>
    <s v="Sistema judicial transparente que garantiza justicia para todos y todas."/>
    <n v="4"/>
    <m/>
    <m/>
    <m/>
    <s v="1102306"/>
    <s v="Se ha logrado que al menos 60% de las personas privadas de libertad tengan sentencia ejecutoriada."/>
    <m/>
    <m/>
    <s v="Resultado"/>
    <m/>
    <m/>
    <m/>
    <m/>
    <m/>
    <m/>
    <m/>
    <m/>
    <m/>
    <n v="1"/>
    <n v="0"/>
    <s v="Etapa 1"/>
    <m/>
    <n v="16"/>
    <s v="16.3 Promover el estado de derecho en los planos nacional e internacional y garantizar la igualdad de acceso a la justicia para todos"/>
    <s v="16.3.2 Detenidos que no han sido sentenciados como porcentaje de la población carcelaria total"/>
    <m/>
    <x v="2"/>
    <m/>
    <n v="1"/>
    <n v="11023061"/>
    <x v="142"/>
    <s v="MJTI"/>
    <s v="Producto"/>
    <m/>
    <s v="Departamento"/>
    <s v="Porcentaje"/>
    <s v="Es la proporción de personas privadas de libertad que ya cuentan con sentencia ejecutoriada, respecto al total de personas de privadas de libertad en los centros penitenciarios en todo el país"/>
    <s v="Cantidad de personas con sentencia ejecutoriada de privación de libertad / Cantidad de personas con detención preventiva+cantidad de personas con sentencia ejecutoriada de privación de libertad"/>
    <s v="Cantidad de personas con sentencia ejecutoriada de privación de libertad"/>
    <s v="Dirección General de Régimen Penitenciario"/>
    <s v="Cantidad de personas con detención preventiva+cantidad de personas con sentencia ejecutoriada de privación de libertad"/>
    <s v="Dirección General de Régimen Penitenciario"/>
    <s v="2007-2017"/>
    <s v="A efectos del informe de medio término del PDES y el primer informe de seguimiento ODS, la DGRP proporcionará el dato, corresponde al MJTI la elaboración del informe. El MG solicita que el requerimiento de información a la DGRP se haga mediante nota oficial."/>
    <m/>
    <m/>
    <s v="DGRP"/>
    <s v="Dirección General de Régimen Penitenciario"/>
    <s v="Registro administrativo"/>
    <s v="Anual"/>
    <s v="2007-2017"/>
    <s v="Nacional"/>
    <s v="Departamental"/>
    <s v="Número de privados de libertad con sentencia ejecutoriada_x000a_Número de privados de libertad con detención preventiva"/>
    <m/>
    <s v="Ministerio de Gobierno (MG)"/>
    <s v="Dirección General de Régimen Penitenciario (DGRP)"/>
    <s v="Dirección General de Régimen Penitenciario (DGRP)"/>
    <m/>
    <n v="2015"/>
    <n v="0.44979999999999998"/>
    <n v="0.6"/>
    <n v="0.8"/>
    <n v="0.1502"/>
    <n v="5"/>
    <n v="0.47983999999999999"/>
    <m/>
    <n v="-0.44979999999999998"/>
    <n v="-2.9946737683089211"/>
    <n v="0.50988"/>
    <m/>
    <n v="-0.44979999999999998"/>
    <n v="-2.9946737683089211"/>
    <n v="0.53991999999999996"/>
    <m/>
    <n v="-0.44979999999999998"/>
    <n v="-2.9946737683089211"/>
    <n v="0.56996000000000002"/>
    <m/>
    <n v="-0.44979999999999998"/>
    <n v="-2.9946737683089211"/>
    <n v="0.6"/>
    <m/>
    <n v="-0.44979999999999998"/>
    <n v="-2.9946737683089211"/>
    <m/>
    <m/>
    <m/>
    <m/>
  </r>
  <r>
    <x v="11"/>
    <m/>
    <x v="7"/>
    <s v="Soberanía y transparencia en la gestión pública "/>
    <s v="1102"/>
    <s v="Sistema judicial transparente que garantiza justicia para todos y todas."/>
    <n v="5"/>
    <m/>
    <m/>
    <m/>
    <s v="1102307"/>
    <s v="Se ha logrado que al menos la mitad de las autoridades de los tribunales judiciales sean mujeres."/>
    <m/>
    <m/>
    <s v="Proceso"/>
    <m/>
    <m/>
    <m/>
    <m/>
    <m/>
    <m/>
    <m/>
    <m/>
    <m/>
    <n v="0"/>
    <n v="1"/>
    <s v="Etapa 1"/>
    <m/>
    <n v="5"/>
    <s v="5.5 Asegurar la participación plena y efectiva de las mujeres y la igualdad de oportunidades de liderazgo a todos los niveles decisorios en la vida política, económica y pública"/>
    <s v="5.5.2 Proporción de mujeres en cargos directivos"/>
    <m/>
    <x v="0"/>
    <m/>
    <n v="1"/>
    <n v="11023071"/>
    <x v="143"/>
    <s v="MJTI"/>
    <s v="Producto"/>
    <m/>
    <s v="Nacional"/>
    <s v="Porcentaje"/>
    <s v="Es el porcentaje de magistrados y consejeros mujeres en las siguientes 4 instancias: Tribunal Supremo de Justicia, Tribunal Constitucional Plurinacional, Tribunal Agroambiental y Consejo de la Magistratura"/>
    <s v="Magistrados y consejeros mujeres en el Tribunal Supremo de Justicia, Tribunal Constitucional Plurinacional, Tribunal Agroambiental y Consejo de la Magistratura / Total de magistrados y consejeros en las 4 instancias"/>
    <s v="Magistrados y consejeros mujeres en el Tribunal Supremo de Justicia, Tribunal Constitucional Plurinacional, Tribunal Agroambiental y Consejo de la Magistratura"/>
    <s v="MJTI, con base a información del Órgano Judicial"/>
    <s v="Total de magistrados y consejeros en el Tribunal Supremo de Justicia, Tribunal Constitucional Plurinacional, Tribunal Agroambiental y Consejo de la Magistratura"/>
    <s v="MJTI, con base a información del Tribunal Supremo Electoral"/>
    <s v="2011, 2017"/>
    <s v="El dato corresponde a la última elección de autoridades del Órgano Judicial"/>
    <m/>
    <m/>
    <s v="MTJI"/>
    <s v="Ministerio de Justicia y Transparencia Institucional"/>
    <s v="Registro administrativo"/>
    <s v="En cada elección para autoridades judiciales (cada 6 años)"/>
    <s v="2011, 2017"/>
    <s v="Nacional"/>
    <s v="Nacional"/>
    <s v="Número de magistrados y consejeros"/>
    <m/>
    <s v="Ministerio de Justicia y Transparencia Institucional (MJTI)"/>
    <s v="Viceministerio de Justicia y Derechos Fundamentales (VJDF)"/>
    <s v="Dirección General de Desarrollo Constitucional (DGDC)"/>
    <s v="Daniel Mercado_x000a_Director General de Desarrollo Constitucional_x000a_Cel: 70605999"/>
    <n v="2011"/>
    <s v="SLB"/>
    <n v="0.5"/>
    <n v="0.5"/>
    <e v="#VALUE!"/>
    <n v="9"/>
    <e v="#VALUE!"/>
    <m/>
    <e v="#VALUE!"/>
    <e v="#VALUE!"/>
    <e v="#VALUE!"/>
    <m/>
    <e v="#VALUE!"/>
    <e v="#VALUE!"/>
    <e v="#VALUE!"/>
    <m/>
    <e v="#VALUE!"/>
    <e v="#VALUE!"/>
    <e v="#VALUE!"/>
    <m/>
    <e v="#VALUE!"/>
    <e v="#VALUE!"/>
    <e v="#VALUE!"/>
    <m/>
    <e v="#VALUE!"/>
    <e v="#VALUE!"/>
    <m/>
    <m/>
    <m/>
    <m/>
  </r>
  <r>
    <x v="11"/>
    <m/>
    <x v="7"/>
    <s v="Soberanía y transparencia en la gestión pública "/>
    <s v="1103"/>
    <s v="Seguridad Ciudadana para una Vida sin Violencia"/>
    <n v="1"/>
    <m/>
    <m/>
    <m/>
    <s v="1103308"/>
    <s v="Se ha transformado institucionalmente la Policía boliviana para contar con una Institución Policial científica, técnica y especializada con servicios desconcentrados para la prevención del delito y la inseguridad pública, en favor de la comunidad"/>
    <m/>
    <m/>
    <s v="Resultado"/>
    <m/>
    <m/>
    <m/>
    <m/>
    <m/>
    <m/>
    <m/>
    <m/>
    <m/>
    <n v="1"/>
    <n v="0"/>
    <s v="Etapa 1"/>
    <m/>
    <n v="16"/>
    <s v="16.1 Reducir significativamente todas las formas de violencia y las correspondientes tasas de mortalidad en todo el mundo"/>
    <m/>
    <m/>
    <x v="1"/>
    <m/>
    <n v="1"/>
    <n v="11033081"/>
    <x v="144"/>
    <s v="MG"/>
    <s v="Producto"/>
    <m/>
    <s v="Ciudad capital eje troncal (La Paz, Cochabamba, Santa Cruz) más El Alto"/>
    <s v="Moda en una escala del 1 a 7"/>
    <s v="Valor modal reportado por la población encuestada  mayores de  18 años respecto a su percepción sobre la confianza en la  Policia Boliviana en un rango de 1 a 7 puntos;  en un periodo determinado. "/>
    <s v="Valor más frecuente reportado en la escala de 1 a 7"/>
    <s v="Valor más frecuente reportado en la escala de 1 a 7"/>
    <s v="OBSCD - Encuesta de Victimización  2013 "/>
    <m/>
    <m/>
    <n v="2013"/>
    <s v="2015  en revisión"/>
    <m/>
    <m/>
    <s v="OBSCD"/>
    <s v="Oservatorio Boliviano de Seguridad Ciudadana y Lucha Contra las Drogas"/>
    <s v="Encuesta "/>
    <s v="Bianual"/>
    <n v="2013"/>
    <s v="LP , CBBA, SC y El Alto"/>
    <s v="LP , CBBA, SC y El Alto"/>
    <s v="Percepcion de la poblacion en seguridad ciudadana"/>
    <m/>
    <s v="Ministerio de Gobierno "/>
    <s v="Observatorio Boliviano de Seguridad Ciudadana y Lucha Contra las Drogas "/>
    <s v="Observatorio Boliviano de Seguridad Ciudadana y Lucha Contra las Drogas - OBSCD "/>
    <s v="OBSCD_x000a_2145986_x000a_Patricia Miranda _x000a__x000a_Viceministerio de Seguridad Ciudadana _x000a_2120003_x000a_Sandra Flores_x000a_"/>
    <n v="2013"/>
    <n v="3.04"/>
    <s v="No es posible estimar una meta solamente con el dato 2013"/>
    <s v="No es posible estimar una meta solamente con el dato 2013"/>
    <m/>
    <m/>
    <m/>
    <m/>
    <m/>
    <m/>
    <m/>
    <m/>
    <m/>
    <m/>
    <m/>
    <m/>
    <m/>
    <m/>
    <m/>
    <m/>
    <m/>
    <m/>
    <m/>
    <m/>
    <m/>
    <m/>
    <m/>
    <m/>
    <m/>
    <m/>
  </r>
  <r>
    <x v="11"/>
    <m/>
    <x v="8"/>
    <s v="Soberanía y transparencia en la gestión pública "/>
    <s v="1103"/>
    <s v="Seguridad Ciudadana para una Vida sin Violencia"/>
    <n v="2"/>
    <m/>
    <m/>
    <m/>
    <s v="1103309"/>
    <s v="Se ha fortalecido a la Policía boliviana con equipamiento e infraestructura moderna."/>
    <m/>
    <m/>
    <s v="Proceso"/>
    <m/>
    <m/>
    <m/>
    <m/>
    <m/>
    <m/>
    <m/>
    <m/>
    <m/>
    <n v="0"/>
    <n v="1"/>
    <s v="Etapa 1"/>
    <m/>
    <n v="16"/>
    <s v="16.1 Reducir significativamente todas las formas de violencia y las correspondientes tasas de mortalidad en todo el mundo"/>
    <m/>
    <m/>
    <x v="1"/>
    <m/>
    <n v="1"/>
    <n v="11033091"/>
    <x v="145"/>
    <s v="MG"/>
    <s v="Proceso"/>
    <m/>
    <s v="Sexo, grado jerárquico, departamento, edad (+/- 35 años), tipo de unidad, funciones"/>
    <s v="Porcentaje"/>
    <s v="Indicador compuesto de clima Interno de la Policía Boliviana"/>
    <s v="1. Porcentaje de servidoras (res) públicos policiales satisfechos con las prestaciones otorgadas por la Policía Boliviana (alimentación, material de uso personal, equipo, armamento, medios técnicos y tecnológicos e infraestructura) para el ejercicio de sus funciones_x000a_2. Porcentaje de servidoras (res) públicos policiales satisfechos con el salario que perciben por las funciones que cumplen_x000a_3. Porcentaje  de servidoras (res) públicos policiales satisfechos con el proceso de administración del talento humano_x000a_4. Porcentaje   de servidoras (res) públicos policiales satisfechos con los servicios de orden social otorgados por la Policía Boliviana_x000a__x000a__x000a__x000a__x000a__x000a__x000a__x000a__x000a_"/>
    <s v="NSPPS = Número de servidoras (res) públicos policiales satisfechos (i)_x000a_i = 1 Indicador satisfacción de prestaciones otorgadas_x000a_i = 2 Indicador satisfacción con el salario_x000a_i = 3 Indicador satisfacción con el proceso de administración del talento humano_x000a_i = 4 Indicador satisfacción con los servicios de orden social "/>
    <s v="Policía Boliviana - Diagnósticos Instituionales de clima interno 2005 y 2015"/>
    <s v="NSPPE = Número de servidoras (es) públicos policiales encuestados (muestra) "/>
    <s v="Policía Boliviana - Diagnósticos Instituionales de clima interno 2005 y 2015"/>
    <s v="2005 y_x000a_2015"/>
    <s v="Los diagnósticos institucionales de clima interno se realizan con base a encuestas, talleres, entrevistas y grupos focales"/>
    <m/>
    <m/>
    <s v="DICI"/>
    <s v="Policía Boliviana - Diagnosticos Institucionales de Clima Interno "/>
    <s v="Encuesta"/>
    <s v="10 años "/>
    <s v="2005 y_x000a_2015"/>
    <s v="9 capitales de departamento y El Alto"/>
    <s v="_x000a__x000a_ "/>
    <s v="1. Prestaciones otorgadas por la Policía Boliviana (alimentación, material de uso personal, equipo, armamento, medios técnicos y tecnológicos e infraestructura) para el ejercicio de la función policial_x000a_2. Salario percibido _x000a_3. Proceso de administración del talento humano_x000a_4. Servicios de orden social otorgados por la Policía Boliviana"/>
    <s v="Documento Policía Nacional y Seguridad Ciudadana 2005_x000a_Documento de Diagnostico de la Policía Boliviana - Diagnostico Institucional y de Clima Interno 2015, surge dentro del proceso de Transformación que se viene implementando a la cabeza del Ministerio de Gobierno "/>
    <s v="Ministerio de Gobierno "/>
    <s v="Policía Boliviana "/>
    <s v="Departamento Nacional de Planificación de la Dirección Nacional de Planeamiento y Operaciones."/>
    <s v="PB_x000a_2430555_x000a_Miguel Morales"/>
    <n v="2015"/>
    <s v="1. 22% del personal policial satisfecho_x000a_2. No especifica_x000a_3. No especifica_x000a_4. 18% del personal policial satisfecho"/>
    <s v="1. 40% del personal policial satisfecho_x000a_2. 50% del personal policial satisfecho_x000a_3. 50% del personal policial satisfecho_x000a_4. 45% del personal policial satisfecho"/>
    <s v="1. 60% del personal policial satisfecho_x000a_2. 60% del personal policial satisfecho_x000a_3. 60% del personal policial satisfecho_x000a_4. 70% del personal policial satisfecho"/>
    <m/>
    <m/>
    <m/>
    <m/>
    <m/>
    <m/>
    <m/>
    <m/>
    <m/>
    <m/>
    <m/>
    <m/>
    <m/>
    <m/>
    <m/>
    <m/>
    <m/>
    <m/>
    <m/>
    <m/>
    <m/>
    <m/>
    <m/>
    <m/>
    <m/>
    <m/>
  </r>
  <r>
    <x v="11"/>
    <m/>
    <x v="8"/>
    <s v="Soberanía y transparencia en la gestión pública "/>
    <s v="1103"/>
    <s v="Seguridad Ciudadana para una Vida sin Violencia"/>
    <n v="2"/>
    <m/>
    <m/>
    <m/>
    <s v="1103309"/>
    <s v="Se ha fortalecido a la Policía boliviana con equipamiento e infraestructura moderna."/>
    <m/>
    <m/>
    <s v="Producto"/>
    <m/>
    <m/>
    <m/>
    <m/>
    <m/>
    <m/>
    <m/>
    <m/>
    <m/>
    <n v="0"/>
    <n v="1"/>
    <s v="Etapa 1"/>
    <m/>
    <n v="16"/>
    <s v="16.1 Reducir significativamente todas las formas de violencia y las correspondientes tasas de mortalidad en todo el mundo"/>
    <m/>
    <m/>
    <x v="1"/>
    <m/>
    <n v="2"/>
    <n v="11033092"/>
    <x v="146"/>
    <s v="MG"/>
    <s v="Producto"/>
    <m/>
    <s v="Departamento"/>
    <s v="Porcentaje "/>
    <s v="Proporción de  municipios en los que se ha implementado tecnología preventiva (centro de monitoreo, cámras de video vigilancia, vehiculos para patrullaje u otros similares) en relación al total de municipios "/>
    <s v="(Número de municipios en los que se ha implementado tecnología preventiva  / Total municipios) )*100"/>
    <s v="Numero de municipios en los que se ha implementado tecnología preventiva "/>
    <s v="VMSC"/>
    <s v="Total de municipios "/>
    <s v="INE"/>
    <s v="2015-2017"/>
    <m/>
    <m/>
    <m/>
    <s v="VMSC"/>
    <s v="Viceministerio de Seguridad Ciudadana "/>
    <s v="Registro adminstrativo"/>
    <s v="Anual"/>
    <s v="2015-2017"/>
    <s v="Nacional"/>
    <s v="Departamental"/>
    <s v="Camaras de vigilancia _x000a_Centros de monitoreo_x000a_Vehículos_x000a_Otros"/>
    <m/>
    <s v="Ministerio de Gobierno "/>
    <s v="Viceministerio de Seguridad Ciudadana "/>
    <s v="Dirección General de Seguridad Ciudadana y Prevención del Delito "/>
    <s v="VMSC_x000a_2120002_x000a_Sandra Flores_x000a_"/>
    <n v="2015"/>
    <n v="7.0000000000000007E-2"/>
    <s v="No es posible estimar una meta debido a que la implementacion de tecnologia preventiva se encuentra sujeta a la inversion de las ETAS, aspecto que no puede ser previsto"/>
    <s v="No es posible estimar una meta debido a que la implementacion de tecnologia preventiva se encuentra sujeta a la inversion de las ETAS, aspecto que no puede ser previsto"/>
    <m/>
    <m/>
    <m/>
    <m/>
    <m/>
    <m/>
    <m/>
    <m/>
    <m/>
    <m/>
    <m/>
    <m/>
    <m/>
    <m/>
    <m/>
    <m/>
    <m/>
    <m/>
    <m/>
    <m/>
    <m/>
    <m/>
    <m/>
    <m/>
    <m/>
    <m/>
  </r>
  <r>
    <x v="11"/>
    <m/>
    <x v="7"/>
    <s v="Soberanía y transparencia en la gestión pública "/>
    <s v="1103"/>
    <s v="Seguridad Ciudadana para una Vida sin Violencia"/>
    <n v="3"/>
    <m/>
    <m/>
    <m/>
    <s v="1103310"/>
    <s v="Se cuenta con al menos una Estación Policial Integral en 50 municipios en coordinación con la Entidades Territoriales Autónomas."/>
    <m/>
    <m/>
    <s v="Producto"/>
    <m/>
    <m/>
    <m/>
    <m/>
    <m/>
    <m/>
    <m/>
    <m/>
    <m/>
    <n v="0"/>
    <n v="1"/>
    <s v="Etapa 1"/>
    <m/>
    <n v="16"/>
    <s v="16.1 Reducir significativamente todas las formas de violencia y las correspondientes tasas de mortalidad en todo el mundo"/>
    <m/>
    <m/>
    <x v="1"/>
    <m/>
    <n v="1"/>
    <s v="11033101"/>
    <x v="147"/>
    <s v="MG"/>
    <s v="Producto"/>
    <m/>
    <s v="Departamento, municipio"/>
    <s v="Número de municipios"/>
    <s v="Número de municipios que cuentan con  EPI. Son iInfraestructura s en las que funcionan el Ministerio Público, los Juzgados Contravencionales y los Servicios Policiales de Seguridad Ciudadana."/>
    <s v="Número de municipios con EPIs"/>
    <s v="Número de municipios con EPI"/>
    <s v="VMSC"/>
    <m/>
    <m/>
    <s v="2015-2017"/>
    <m/>
    <m/>
    <m/>
    <s v="VMSC"/>
    <s v="Viceministerio de Seguridad Ciudadana "/>
    <s v="Registro adminstrativo"/>
    <s v="Anual"/>
    <s v="2015-2017"/>
    <s v="Nacional"/>
    <s v="Departamental"/>
    <m/>
    <m/>
    <s v="Ministerio de Gobierno "/>
    <s v="Viceministerio de Seguridad Ciudadana "/>
    <s v="Dirección General de Seguridad Ciudadana y Prevención del Delito "/>
    <s v="VMSC_x000a_2120002_x000a_Jorge Cusicanqui_x000a_"/>
    <n v="2015"/>
    <n v="14"/>
    <s v="No es posible estimar una meta debido a que la construccion de EPIS se encuentra sujeta a la inversion de las ETAS, aspecto que no puede ser previsto"/>
    <s v="No es posible estimar una meta debido a que la construccion de EPIS se encuentra sujeta a la inversion de las ETAS, aspecto que no puede ser previsto"/>
    <m/>
    <m/>
    <m/>
    <m/>
    <m/>
    <m/>
    <m/>
    <m/>
    <m/>
    <m/>
    <m/>
    <m/>
    <m/>
    <m/>
    <m/>
    <m/>
    <m/>
    <m/>
    <m/>
    <m/>
    <m/>
    <m/>
    <m/>
    <m/>
    <m/>
    <m/>
  </r>
  <r>
    <x v="11"/>
    <m/>
    <x v="7"/>
    <s v="Soberanía y transparencia en la gestión pública "/>
    <s v="1103"/>
    <s v="Seguridad Ciudadana para una Vida sin Violencia"/>
    <n v="4"/>
    <m/>
    <m/>
    <m/>
    <s v="1103311"/>
    <s v="Se ha reducido los delitos contra la vida, integridad y dignidad, contra la propiedad y accidentes de tránsito."/>
    <m/>
    <m/>
    <s v="Resultado"/>
    <m/>
    <m/>
    <m/>
    <m/>
    <m/>
    <m/>
    <m/>
    <m/>
    <m/>
    <n v="1"/>
    <n v="0"/>
    <s v="Etapa 1"/>
    <m/>
    <n v="16"/>
    <s v="16.3 Promover el estado de derecho en los planos nacional e internacional y garantizar la igualdad de acceso a la justicia para todos"/>
    <s v="16.3.1* Porcentaje de las víctimas de violencia en los 12 meses anteriores que notificaron su victimización a las autoridades competentes u otros mecanismos de resolución de conflictos reconocidos oficialmente (también denominada tasa de denuncias de delitos)"/>
    <m/>
    <x v="0"/>
    <s v="Parcial"/>
    <n v="1"/>
    <n v="11033111"/>
    <x v="148"/>
    <s v="MG"/>
    <s v="Impacto"/>
    <m/>
    <s v="Departamento"/>
    <s v="Porcentaje"/>
    <s v="Es el número de homicidios  a nivel nacional  por cada 100.000 habitantes"/>
    <s v=" (Nímero de víctimas  por asesinato, infanticidio, parricidio, feminicidio y homicidios dolosos / Población total)*100.000"/>
    <s v="Nímero de víctimas  por asesinato, infanticidio, parricidio, feminicidio y homicidios dolosos"/>
    <s v="Policia Boliviana "/>
    <s v="Población total"/>
    <s v="INE - proyecciones poblacionales"/>
    <s v="2012 - 2017"/>
    <m/>
    <m/>
    <m/>
    <s v="OBSCD_x000a_PB"/>
    <s v="Oservatorio Boliviano de Seguridad Ciudadana y Lucha Contra las Drogas_x000a__x000a_Policia Boliviana "/>
    <s v="Registro adminstrativo"/>
    <s v="Anual "/>
    <s v="2012-2017"/>
    <s v="Nacional"/>
    <s v="Departamental"/>
    <s v="Asesinatos_x000a_Feminicidios_x000a_Infanticidios_x000a_Parricidios_x000a_Homicidios  dolosos"/>
    <m/>
    <s v="Ministerio de Gobierno "/>
    <s v="Observatorio Boliviano de Seguridad Ciudadana y Lucha Contra las Drogas OBSCD_x000a_Policia Boliviana "/>
    <s v="OBSCD_x000a_PB: Departamento Nacional de Estadistica de la Dirección Nacional de Planeamiento y Operaciones"/>
    <s v="OBSCD_x000a_2120002_x000a_Patricia Miranda_x000a__x000a_PB_x000a_2430555_x000a_Miguel Morales_x000a_Sandra Flores"/>
    <n v="2015"/>
    <n v="6.4"/>
    <n v="6.08"/>
    <n v="5.78"/>
    <n v="-0.32000000000000028"/>
    <n v="5"/>
    <n v="6.3360000000000003"/>
    <m/>
    <n v="-6.4"/>
    <n v="19.999999999999982"/>
    <n v="6.2720000000000002"/>
    <m/>
    <n v="-6.4"/>
    <n v="19.999999999999982"/>
    <n v="6.2080000000000002"/>
    <m/>
    <n v="-6.4"/>
    <n v="19.999999999999982"/>
    <n v="6.1440000000000001"/>
    <m/>
    <n v="-6.4"/>
    <n v="19.999999999999982"/>
    <n v="6.08"/>
    <m/>
    <n v="-6.4"/>
    <n v="19.999999999999982"/>
    <m/>
    <m/>
    <m/>
    <m/>
  </r>
  <r>
    <x v="11"/>
    <m/>
    <x v="7"/>
    <s v="Soberanía y transparencia en la gestión pública "/>
    <s v="1103"/>
    <s v="Seguridad Ciudadana para una Vida sin Violencia"/>
    <n v="4"/>
    <m/>
    <m/>
    <m/>
    <s v="1103311"/>
    <s v="Se ha reducido los delitos contra la vida, integridad y dignidad, contra la propiedad y accidentes de tránsito."/>
    <m/>
    <m/>
    <s v="Producto"/>
    <m/>
    <m/>
    <m/>
    <m/>
    <m/>
    <m/>
    <m/>
    <m/>
    <m/>
    <n v="0"/>
    <n v="1"/>
    <s v="Etapa 1"/>
    <m/>
    <n v="16"/>
    <s v="16.1 Reducir significativamente todas las formas de violencia y las correspondientes tasas de mortalidad en todo el mundo"/>
    <m/>
    <m/>
    <x v="1"/>
    <m/>
    <n v="2"/>
    <n v="11033112"/>
    <x v="149"/>
    <s v="MG"/>
    <s v="Producto "/>
    <m/>
    <s v="Departamento"/>
    <s v="Porcentaje"/>
    <s v="Es el número de hechos de tránsito (colision, atropellos, choques, enucnetamientos, embarrancamientos y otros) atendidos por la Policía Boliviana referidos a hechos de tránsito por cada 100.000 habitantes"/>
    <s v="(Número de hechos de tránsito atendidos por la Policía Boliviana / Poblacion total)*100.000"/>
    <s v="Número de hechos de tránsito atendidos por la Policía Boliviana"/>
    <s v="Policia Boliviana "/>
    <s v="Población total"/>
    <s v="INE - proyecciones poblacionales"/>
    <s v="2012-2017 "/>
    <s v="L"/>
    <m/>
    <m/>
    <s v="OBSCD_x000a_PB"/>
    <s v="Oservatorio Boliviano de Seguridad Ciudadana y Lucha Contra las Drogas_x000a__x000a_Policia Boliviana "/>
    <s v="Registro adminstrativo"/>
    <s v="Anual "/>
    <s v="2012-2017"/>
    <s v="Nacional"/>
    <s v="Departamental"/>
    <s v="Hechos de transito: Colision, Atropellos, Choques, Enucnetamientos, Embarrancamientos y otros hechos desde 2012 al 2017"/>
    <m/>
    <s v="Ministerio de Gobierno "/>
    <s v="Observatorio Boliviano de Seguridad Ciudadana y Lucha Contra las Drogas OBSCD_x000a_Policia Boliviana "/>
    <s v="OBSCD_x000a_PB: Departamento Nacional de Estadistica de la Dirección Nacional de Planeamiento y Operaciones"/>
    <s v="OBSCD_x000a_2120002_x000a_Patricia Miranda_x000a__x000a_PB_x000a_2430555_x000a_Miguel Morales_x000a_Sandra Flores_x000a_Edwin Silva"/>
    <n v="2012"/>
    <n v="384.5"/>
    <n v="276.39999999999998"/>
    <n v="223.9"/>
    <n v="-108.10000000000002"/>
    <n v="8"/>
    <n v="330.45"/>
    <m/>
    <n v="-384.5"/>
    <n v="3.5568917668825155"/>
    <n v="316.9375"/>
    <m/>
    <n v="-384.5"/>
    <n v="3.5568917668825155"/>
    <n v="303.42499999999995"/>
    <m/>
    <n v="-384.5"/>
    <n v="3.5568917668825155"/>
    <n v="289.91249999999997"/>
    <m/>
    <n v="-384.5"/>
    <n v="3.5568917668825155"/>
    <n v="276.39999999999998"/>
    <m/>
    <n v="-384.5"/>
    <n v="3.5568917668825155"/>
    <m/>
    <m/>
    <m/>
    <m/>
  </r>
  <r>
    <x v="11"/>
    <m/>
    <x v="7"/>
    <s v="Soberanía y transparencia en la gestión pública "/>
    <s v="1103"/>
    <s v="Seguridad Ciudadana para una Vida sin Violencia"/>
    <n v="4"/>
    <m/>
    <m/>
    <m/>
    <s v="1103311"/>
    <s v="Se ha reducido los delitos contra la vida, integridad y dignidad, contra la propiedad y accidentes de tránsito."/>
    <m/>
    <m/>
    <s v="Producto"/>
    <m/>
    <m/>
    <m/>
    <m/>
    <m/>
    <m/>
    <m/>
    <m/>
    <m/>
    <n v="0"/>
    <n v="1"/>
    <s v="Etapa 1"/>
    <m/>
    <n v="16"/>
    <s v="16.1 Reducir significativamente todas las formas de violencia y las correspondientes tasas de mortalidad en todo el mundo"/>
    <s v="16.1.3 Proporción de la población que ha sufrido violencia física, psicológica o sexual en los últimos 12 meses"/>
    <m/>
    <x v="0"/>
    <m/>
    <n v="2"/>
    <n v="11033113"/>
    <x v="150"/>
    <s v="MG"/>
    <s v="Producto "/>
    <m/>
    <s v="Departamento"/>
    <s v="Porcentaje"/>
    <s v="Es el número de denuncias atendidas por la Policía Boliviana referidos a violencia familiar y domestica (psicologica, fisca y/o sexual) por cada 100.000 habitantes._x000a_"/>
    <s v="(Número de denuncias de violencia familiar y domestica  atendidos por la Policía Boliviana / Poblacion total)*100.000"/>
    <s v="Número de denuncias de violencia familiar y domestica  atendidos por la Policía Boliviana"/>
    <s v="Policia Boliviana "/>
    <s v="Población total"/>
    <s v="INE - proyecciones poblacionales"/>
    <s v="2015 - 2017"/>
    <s v="La ley 348 se promulgó el 2013. Desde el 2014 los tipos de  violencia se adecuaron a los los 17 tipos penales establecidos en dicha Ley."/>
    <m/>
    <m/>
    <s v="OBSCD_x000a_PB"/>
    <s v="Oservatorio Boliviano de Seguridad Ciudadana y Lucha Contra las Drogas_x000a__x000a_Policia Boliviana "/>
    <s v="Registro adminstrativo"/>
    <s v="Anual "/>
    <n v="2015"/>
    <s v="Nacional"/>
    <s v="Departamental"/>
    <s v="Denuncias de violencia familiar y domestica con tipos de violencia psicologica, fisica y sexual."/>
    <m/>
    <s v="Ministerio de Gobierno "/>
    <s v="Observatorio Boliviano de Seguridad Ciudadana y Lucha Contra las Drogas OBSCD_x000a_Policia Boliviana "/>
    <s v="OBSCD_x000a_PB: Departamento Nacional de Estadistica de la Dirección Nacional de Planeamiento y Operaciones recoleccion de la Fuerza de Lucha Contra la Violencia."/>
    <s v="OBSCD_x000a_2120002_x000a_Patricia Miranda_x000a__x000a_PB_x000a_2430555_x000a_Miguel Morales_x000a_Sandra Flores_x000a_Miguel Roman "/>
    <n v="2015"/>
    <n v="306.3"/>
    <n v="356"/>
    <n v="250"/>
    <n v="49.699999999999989"/>
    <n v="5"/>
    <n v="346.06"/>
    <m/>
    <n v="-306.3"/>
    <n v="-6.1629778672032209"/>
    <n v="356"/>
    <m/>
    <n v="-306.3"/>
    <n v="-6.1629778672032209"/>
    <n v="365.94"/>
    <m/>
    <n v="-306.3"/>
    <n v="-6.1629778672032209"/>
    <n v="375.88"/>
    <m/>
    <n v="-306.3"/>
    <n v="-6.1629778672032209"/>
    <n v="385.82"/>
    <m/>
    <n v="-306.3"/>
    <n v="-6.1629778672032209"/>
    <m/>
    <m/>
    <m/>
    <m/>
  </r>
  <r>
    <x v="11"/>
    <m/>
    <x v="7"/>
    <s v="Soberanía y transparencia en la gestión pública "/>
    <s v="1103"/>
    <s v="Seguridad Ciudadana para una Vida sin Violencia"/>
    <n v="5"/>
    <m/>
    <m/>
    <m/>
    <s v="1103312"/>
    <s v="Se ha logrado formar nuevos servidores públicos policiales post graduados a nivel de especialidad, diplomados y maestrías, en el modelo de Policía Comunitaria en todo el territorio nacional y con valores ético morales."/>
    <m/>
    <m/>
    <s v="Proceso"/>
    <m/>
    <m/>
    <m/>
    <m/>
    <m/>
    <m/>
    <m/>
    <m/>
    <m/>
    <n v="0"/>
    <n v="1"/>
    <s v="Etapa 1"/>
    <m/>
    <n v="16"/>
    <s v="16.1 Reducir significativamente todas las formas de violencia y las correspondientes tasas de mortalidad en todo el mundo"/>
    <m/>
    <m/>
    <x v="1"/>
    <m/>
    <n v="1"/>
    <n v="11033121"/>
    <x v="151"/>
    <s v="MG"/>
    <s v="Proceso"/>
    <m/>
    <s v="Sexo, nivel académico, grado jerárquico"/>
    <s v="Número de servidores públicos policiales"/>
    <s v="Número de servidores (as) públicos policiales postgraduados en el Modelo de policía Comunitaria, en los diferentes niveles académicos (Especialidad, Diplomado o Maestría)"/>
    <s v="Número de servidoras (es) públicos policiales Post graduados en el Modelo de Policía Comunitaria_x000a_ "/>
    <s v="Número de servidoras (res) públicos policiales post graduados en el Modelo de Policía Comunitaria de acuerdo al nivel académico"/>
    <s v="Policía Boliviana: Dirección Nacional de Instrucción y Enseñanza &quot;UNIPOL&quot;"/>
    <m/>
    <m/>
    <s v="Anual"/>
    <m/>
    <m/>
    <m/>
    <s v="PB-UNIPOL"/>
    <s v="Policía Boliviana: Dirección Nacional de Instrucción y Enseñanza de la Universidad Policial"/>
    <s v="Registro administrativo"/>
    <s v="Anual "/>
    <s v="2015 -  2017"/>
    <s v="Nacional "/>
    <s v="Nacional "/>
    <s v="Nivel académico: Diplomado, Especialidad y Maestría"/>
    <m/>
    <s v="Ministerio de Gobierno "/>
    <s v="Policía Boliviana -  UNIPOL"/>
    <s v="Dirección Nacional de Instrucción y Enseñanza &quot;UNIPOL&quot;"/>
    <s v="PB_x000a_2430555_x000a_Miguel Morales"/>
    <n v="2015"/>
    <n v="87"/>
    <n v="700"/>
    <s v="No es factible una estimación"/>
    <n v="613"/>
    <n v="5"/>
    <n v="577.4"/>
    <m/>
    <n v="-87"/>
    <n v="-0.14192495921696574"/>
    <n v="700"/>
    <m/>
    <n v="-87"/>
    <n v="-0.14192495921696574"/>
    <n v="822.59999999999991"/>
    <m/>
    <n v="-87"/>
    <n v="-0.14192495921696574"/>
    <n v="945.19999999999993"/>
    <m/>
    <n v="-87"/>
    <n v="-0.14192495921696574"/>
    <n v="1067.8"/>
    <m/>
    <n v="-87"/>
    <n v="-0.14192495921696574"/>
    <m/>
    <m/>
    <m/>
    <m/>
  </r>
  <r>
    <x v="11"/>
    <m/>
    <x v="7"/>
    <s v="Soberanía y transparencia en la gestión pública "/>
    <s v="1103"/>
    <s v="Seguridad Ciudadana para una Vida sin Violencia"/>
    <n v="6"/>
    <m/>
    <m/>
    <m/>
    <s v="1103313"/>
    <s v="Se ha reducido en 5% las tasas de criminalidad y violencia y se ha elevado la percepción de seguridad en un 10%, con la articulación del Sistema Nacional de Seguridad Ciudadana, con acciones preventivas a nivel nacional, especialmente para la población de regiones con mayor incidencia criminal y más vulnerable."/>
    <m/>
    <m/>
    <s v="Resultado"/>
    <m/>
    <m/>
    <m/>
    <m/>
    <m/>
    <m/>
    <m/>
    <m/>
    <m/>
    <n v="1"/>
    <n v="0"/>
    <s v="Etapa 1"/>
    <m/>
    <n v="16"/>
    <s v="16.1 Reducir significativamente todas las formas de violencia y las correspondientes tasas de mortalidad en todo el mundo"/>
    <s v="16.1.4  Proporción de personas que no tienen miedo de caminar solas cerca de donde viven"/>
    <m/>
    <x v="0"/>
    <s v="Parcial"/>
    <n v="1"/>
    <n v="11033131"/>
    <x v="152"/>
    <s v="MG"/>
    <s v="Impacto"/>
    <m/>
    <s v="Ciudad capital eje troncal (La Paz, Cochabamba, Santa Cruz) más El Alto"/>
    <s v="Porcentaje"/>
    <s v="Porcentaje de la población encuestada  mayores de  18 años que perciben que el principal problema del pais es la inseguridad y delincuencia en un periodo determinado. "/>
    <s v="(Número de personas que responden como principal problema del pais la inseguridad y delincuencia/ población total del grupo en consideración )*100"/>
    <s v="Número de personas que responden como principal problema del pais la inseguridad y delincuencia"/>
    <s v="Encuesta de Victimización - 2011, 2013 "/>
    <s v="población total del grupo en consideración"/>
    <s v="Encuesta de Victimización "/>
    <s v="2011, 2013 "/>
    <s v="2015  en revisión"/>
    <m/>
    <m/>
    <s v="EVIC/OBSCD"/>
    <s v="Encuesta de Victimización y Percepción sobre Violencia y Delito"/>
    <s v="Encuesta "/>
    <s v="Bianual "/>
    <s v="2011 - 2013_x000a_"/>
    <s v="Ciudades capitales La Paz, Cochabamba, Santa Cruz y El Alto "/>
    <s v="Ciudades "/>
    <s v="Percepcion de seguridad e inseguridad "/>
    <m/>
    <s v="Ministerio de Gobierno "/>
    <s v="Observatorio Boliviano de Seguridad Ciudadana y Lucha Contra las Drogas"/>
    <s v="Observatorio Boliviano de Seguridad Ciudadana y Lucha Contra las Drogas"/>
    <s v="OBSCD_x000a_2120002_x000a_Patricia Miranda_x000a__x000a_PB_x000a_2430555_x000a_Miguel Morales_x000a_Sandra Flores_x000a_Miguel Roman "/>
    <n v="2013"/>
    <n v="0.52500000000000002"/>
    <n v="0.47249999999999998"/>
    <n v="0.42520000000000002"/>
    <n v="-5.2500000000000047E-2"/>
    <n v="7"/>
    <n v="0.50249999999999995"/>
    <m/>
    <n v="-0.52500000000000002"/>
    <n v="9.9999999999999911"/>
    <n v="0.495"/>
    <m/>
    <n v="-0.52500000000000002"/>
    <n v="9.9999999999999911"/>
    <n v="0.48749999999999999"/>
    <m/>
    <n v="-0.52500000000000002"/>
    <n v="9.9999999999999911"/>
    <n v="0.48"/>
    <m/>
    <n v="-0.52500000000000002"/>
    <n v="9.9999999999999911"/>
    <n v="0.47249999999999998"/>
    <m/>
    <n v="-0.52500000000000002"/>
    <n v="9.9999999999999911"/>
    <m/>
    <m/>
    <m/>
    <m/>
  </r>
  <r>
    <x v="11"/>
    <m/>
    <x v="7"/>
    <s v="Soberanía y transparencia en la gestión pública "/>
    <s v="1103"/>
    <s v="Seguridad Ciudadana para una Vida sin Violencia"/>
    <n v="6"/>
    <m/>
    <m/>
    <m/>
    <s v="1103313"/>
    <s v="Se ha reducido en 5% las tasas de criminalidad y violencia y se ha elevado la percepción de seguridad en un 10%, con la articulación del Sistema Nacional de Seguridad Ciudadana, con acciones preventivas a nivel nacional, especialmente para la población de regiones con mayor incidencia criminal y más vulnerable."/>
    <m/>
    <m/>
    <s v="Resultado"/>
    <m/>
    <m/>
    <m/>
    <m/>
    <m/>
    <m/>
    <m/>
    <m/>
    <m/>
    <n v="1"/>
    <n v="0"/>
    <s v="Etapa 1"/>
    <m/>
    <n v="16"/>
    <s v="16.1 Reducir significativamente todas las formas de violencia y las correspondientes tasas de mortalidad en todo el mundo"/>
    <s v="16.1.1 Número de víctimas de homicidios intencionales por cada 100.000 habitantes, desglosado por sexo y edad"/>
    <m/>
    <x v="2"/>
    <m/>
    <n v="2"/>
    <n v="11033132"/>
    <x v="148"/>
    <s v="MG"/>
    <s v="Impacto"/>
    <m/>
    <s v="Departamento"/>
    <s v="Tasa"/>
    <s v="Número de víctimas de homicidios  a nivel nacional  corroborados por la Policía Boliviana con base en denuncias recibidas, por cada 100.00 habitantes "/>
    <s v=" (Nímero de víctimas  por asesinato, infanticidio, parricidio, feminicidio y homicidios dolosos / Población total)*100.000"/>
    <s v="Nímero de víctimas  por asesinato, infanticidio, parricidio, feminicidio y homicidios dolosos"/>
    <s v="Policia Boliviana "/>
    <s v="Población total"/>
    <s v="INE - proyecciones poblacionales"/>
    <s v="2012 - 2017"/>
    <m/>
    <m/>
    <m/>
    <s v="OBSCD_x000a_PB"/>
    <s v="Oservatorio Boliviano de Seguridad Ciudadana y Lucha Contra las Drogas_x000a__x000a_Policia Boliviana "/>
    <s v="Registro adminstrativo"/>
    <s v="Anual "/>
    <s v="2012-2017"/>
    <s v="A nivel nacional "/>
    <s v="Departamental"/>
    <s v="Asesinatos_x000a_Feminicidios_x000a_Infanticidios_x000a_Parricidios_x000a_Homicidios  dolosos"/>
    <m/>
    <s v="Ministerio de Gobierno "/>
    <s v="Observatorio Boliviano de Seguridad Ciudadana y Lucha Contra las Drogas OBSCD_x000a_Policia Boliviana "/>
    <s v="OBSCD_x000a_PB: Departamento Nacional de Estadistica de la Dirección Nacional de Planeamiento y Operaciones"/>
    <s v="OBSCD_x000a_2120002_x000a_Patricia Miranda_x000a__x000a_PB_x000a_2430555_x000a_Miguel Morales_x000a_Sandra Flores"/>
    <n v="2015"/>
    <n v="6.4"/>
    <n v="6.08"/>
    <n v="5.78"/>
    <n v="-0.32000000000000028"/>
    <n v="5"/>
    <n v="6.3360000000000003"/>
    <m/>
    <n v="-6.4"/>
    <n v="19.999999999999982"/>
    <n v="6.2720000000000002"/>
    <m/>
    <n v="-6.4"/>
    <n v="19.999999999999982"/>
    <n v="6.2080000000000002"/>
    <m/>
    <n v="-6.4"/>
    <n v="19.999999999999982"/>
    <n v="6.1440000000000001"/>
    <m/>
    <n v="-6.4"/>
    <n v="19.999999999999982"/>
    <n v="6.08"/>
    <m/>
    <n v="-6.4"/>
    <n v="19.999999999999982"/>
    <m/>
    <m/>
    <m/>
    <m/>
  </r>
  <r>
    <x v="11"/>
    <s v="4-30-2018"/>
    <x v="7"/>
    <s v="Soberanía y transparencia en la gestión pública "/>
    <s v="1103"/>
    <s v="Seguridad Ciudadana para una Vida sin Violencia"/>
    <n v="6"/>
    <m/>
    <m/>
    <m/>
    <s v="1103313"/>
    <s v="Se ha reducido en 5% las tasas de criminalidad y violencia y se ha elevado la percepción de seguridad en un 10%, con la articulación del Sistema Nacional de Seguridad Ciudadana, con acciones preventivas a nivel nacional, especialmente para la población de regiones con mayor incidencia criminal y más vulnerable."/>
    <m/>
    <m/>
    <s v="Resultado"/>
    <m/>
    <m/>
    <m/>
    <m/>
    <m/>
    <m/>
    <m/>
    <m/>
    <m/>
    <n v="1"/>
    <n v="0"/>
    <s v="Etapa 1"/>
    <m/>
    <n v="16"/>
    <s v="16.1 Reducir significativamente todas las formas de violencia y las correspondientes tasas de mortalidad en todo el mundo"/>
    <s v="16.1.2 Muertes causadas por conflictos por cada 100.000 habitantes (desglosadas por grupo de edad, sexo y causa)_x000a_16.1.3 Porcentaje de la población sometida a violencia física, psicológica o sexual en los últimos 12 meses"/>
    <m/>
    <x v="0"/>
    <m/>
    <n v="3"/>
    <n v="11033133"/>
    <x v="153"/>
    <s v="INE"/>
    <s v="Impacto"/>
    <m/>
    <s v="Sexo, grupo de edad, area, departamento"/>
    <s v="Porcentaje"/>
    <s v="Es el número de personas de 15 años o más de edad que en los últimos 12 meses ha sido víctima de Atraco (robo) en la vía pública, robo en su vivienda o negocio, robo de vehículo o accesorios, lesionesgraves o gravísimas ocasionadas por otra persona, violación o abuso sexual, estafa o abuso de confianza, despojo de su inmueble, trata de personas, extorsión, secuestro y otros hechos delictivos"/>
    <s v="Porcentaje de población de 15 años o más de edad que en los últimos 12 meses ha sido víctima de algún hecho delictivo=número de 15 años o más de edad que en los últimos 12 meses ha sido víctima de algún hecho delictivo/Total de personsa de 15 años o más de edad."/>
    <s v="número de personas de 15 años o más de edad que en los últimos 12 meses ha sido víctima de algún hecho delictivo"/>
    <s v="Instituto Nacional de Estadística -  Encuesta de hogares"/>
    <s v="Total de personsa de 15 años o más de edad."/>
    <s v="Instituto Nacional de Estadística -  Encuesta de hogares"/>
    <s v="2016-2017"/>
    <s v="Las preguntas de seguridad ciudadana fueron incorporados a las encuestas de hogares reicien a partir del año 2016. Por otra parte no se cuenta con información sobre homicidios."/>
    <m/>
    <m/>
    <s v="INE-EH"/>
    <s v="Instituto Nacional de Estadística -  Encuesta de hogares"/>
    <s v="Encuesta"/>
    <s v="Anual"/>
    <s v="2016-2017"/>
    <s v="Nacional"/>
    <s v="Nacional, area, departamento"/>
    <s v="Características sociodemográficas, vivienda, migración, salud, educación, empleo, ingresos, gastos del hogar, equipamiento del hogar"/>
    <s v="Ninguna"/>
    <s v="Insituto Nacional de Estadística"/>
    <s v="Direción de Estadadísticas e Indicadores Económicos y Sociales"/>
    <s v="Unidad de Estadísticas e Indicadores Sociales "/>
    <s v="Ivan Marquez Callisaya_x000a_telef: 2222333 int 165"/>
    <n v="2016"/>
    <n v="0.90500000000000003"/>
    <s v="No es factible una estimación"/>
    <s v="No es factible una estimación"/>
    <m/>
    <m/>
    <m/>
    <m/>
    <m/>
    <m/>
    <m/>
    <m/>
    <m/>
    <m/>
    <m/>
    <m/>
    <m/>
    <m/>
    <m/>
    <m/>
    <m/>
    <m/>
    <m/>
    <m/>
    <m/>
    <m/>
    <m/>
    <m/>
    <m/>
    <m/>
  </r>
  <r>
    <x v="11"/>
    <s v="4-30-2018"/>
    <x v="7"/>
    <s v="Soberanía y transparencia en la gestión pública "/>
    <s v="1103"/>
    <s v="Seguridad Ciudadana para una Vida sin Violencia"/>
    <n v="6"/>
    <m/>
    <m/>
    <m/>
    <s v="1103313"/>
    <s v="Se ha reducido en 5% las tasas de criminalidad y violencia y se ha elevado la percepción de seguridad en un 10%, con la articulación del Sistema Nacional de Seguridad Ciudadana, con acciones preventivas a nivel nacional, especialmente para la población de regiones con mayor incidencia criminal y más vulnerable."/>
    <m/>
    <m/>
    <s v="Resultado"/>
    <m/>
    <m/>
    <m/>
    <m/>
    <m/>
    <m/>
    <m/>
    <m/>
    <m/>
    <n v="1"/>
    <n v="0"/>
    <s v="Etapa 1"/>
    <m/>
    <n v="16"/>
    <s v="16.1 Reducir significativamente todas las formas de violencia y las correspondientes tasas de mortalidad en todo el mundo"/>
    <s v="16.1.4 Proporción de personas que no tienen miedo de caminar solas cerca de donde viven"/>
    <m/>
    <x v="2"/>
    <m/>
    <n v="4"/>
    <n v="11033134"/>
    <x v="154"/>
    <s v="INE"/>
    <s v="Impacto"/>
    <m/>
    <s v="Sexo, grupo de edad, area, departamento"/>
    <s v="Porcentaje"/>
    <s v="Es el número de personas de 15 años o más de edad que en los últimos 12 meses que se sienten seguros (algo seguro o muy seguro) caminando sola(o) cercad de su vivienda cuando es de noche"/>
    <s v="Porcentaje de población de 15 años o más de edad que se siente seguro caminando sola(o) cerca de su vivienda cuando es de noche"/>
    <s v="número de personas de 15 años o más de edad que se siente seguro caminando sola(o) cerca de su vivienda cuando es de noche"/>
    <s v="Instituto Nacional de Estadística -  Encuesta de hogares"/>
    <s v="Total de personsa de 15 años o más de edad."/>
    <s v="Instituto Nacional de Estadística -  Encuesta de hogares"/>
    <s v="2016-2017"/>
    <s v="Se trata de un indicador subjetivo, que necesariamente no guarda una relación directa con la dimensión objetiva de la seguridad ciudadana. Se trata de una construcción social en el que intervienen muchos factores. Las preguntas de seguridad ciudadana fueron recien incorporados a partir del año 2016"/>
    <m/>
    <m/>
    <s v="INE-EH"/>
    <s v="Instituto Nacional de Estadística -  Encuesta de hogares"/>
    <s v="Encuesta"/>
    <s v="Anual"/>
    <s v="2016-2017"/>
    <s v="Nacional"/>
    <s v="Nacional, area, departamento"/>
    <s v="Características sociodemográficas, vivienda, migración, salud, educación, empleo, ingresos, gastos del hogar, equipamiento del hogar"/>
    <s v="Ninguna"/>
    <s v="Insituto Nacional de Estadística"/>
    <s v="Direción de Estadadísticas e Indicadores Económicos y Sociales"/>
    <s v="Unidad de Estadísticas e Indicadores Sociales "/>
    <s v="Ivan Marquez Callisaya_x000a_telef: 2222333 int 165"/>
    <n v="2016"/>
    <n v="0.49299999999999999"/>
    <n v="0.59299999999999997"/>
    <s v="No es factible una estimación"/>
    <m/>
    <m/>
    <m/>
    <m/>
    <m/>
    <m/>
    <m/>
    <m/>
    <m/>
    <m/>
    <m/>
    <m/>
    <m/>
    <m/>
    <m/>
    <m/>
    <m/>
    <m/>
    <m/>
    <m/>
    <m/>
    <m/>
    <m/>
    <m/>
    <m/>
    <m/>
  </r>
  <r>
    <x v="11"/>
    <m/>
    <x v="7"/>
    <s v="Soberanía y transparencia en la gestión pública "/>
    <s v="1103"/>
    <s v="Seguridad Ciudadana para una Vida sin Violencia"/>
    <n v="7"/>
    <m/>
    <m/>
    <m/>
    <s v="1103314"/>
    <s v="Se ha incrementado en un 20% los operativos de interdicción al tráfico ilícito de sustancias controladas y se ha reducido en 5% la prevalencia de consumo de alcohol y otras drogas."/>
    <m/>
    <m/>
    <s v="Producto"/>
    <m/>
    <m/>
    <m/>
    <m/>
    <m/>
    <m/>
    <m/>
    <m/>
    <m/>
    <n v="0"/>
    <n v="1"/>
    <s v="Etapa 1"/>
    <m/>
    <n v="16"/>
    <s v="16.4 De aquí a 2030, reducir significativamente las corrientes financieras y de armas ilícitas, fortalecer la recuperación y devolución de los activos robados y luchar contra todas las formas de delincuencia organizada"/>
    <s v="16.4.2. Proporción de armas pequeñas y armas ligeras incautadas que se registran y localizan, de conformidad con las normas internacionales y los instrumentos jurídicos"/>
    <m/>
    <x v="0"/>
    <m/>
    <n v="1"/>
    <n v="11033141"/>
    <x v="155"/>
    <s v="MG"/>
    <s v="Producto"/>
    <m/>
    <s v="Nacional"/>
    <s v="Número  de operativos"/>
    <s v="Número  de operativos  de interdicción  a nivel nacional. Estos están referidos a Secuestro de sustancias controladas, fabricas destruidas, secuestro de sustancias quimicas solidas y liquidas, personas aprehendidas "/>
    <s v="Número  de operativos  de interdicción  a nivel nacional "/>
    <s v="Número  de operativos  de interdicción  a nivel nacional "/>
    <s v="VDS-SC - DGFELCN"/>
    <m/>
    <m/>
    <s v="1998-2017"/>
    <m/>
    <m/>
    <m/>
    <s v="VDS-SC"/>
    <s v="Viceministerio de Defensa Social y Sustancias Controladas_x000a_Dirección General de la Fuerza Especial de Lucha contra el Narcotrafico "/>
    <s v="Registro adminstrativo"/>
    <s v="Anual"/>
    <s v="1998-2017"/>
    <s v="A nivel nacional "/>
    <s v="Nacional "/>
    <s v="Secuestro de cocaína, secuestro de marihuana, fabricas destruidas, secuestro de sustancias quimicas controladas solidas y liquidas, personas aprehendidas "/>
    <s v="En el marco de la Estrategia de Lucha contra el Narcotrafico y control de Cultivos Excedentarios de Coca 2016-2020, Pilar 1 &quot;Reducción de la Oferta&quot;."/>
    <s v="Ministerio de Gobierno "/>
    <s v="Viceministerio de Defensa Social y Sustancias Controladas"/>
    <s v="Dirección General de  la Fuerza de Lucha Contra el Narcotrafico "/>
    <s v="VDS-SC_x000a_2415583- 2415906_x000a_Luis Torrez"/>
    <n v="2015"/>
    <n v="12114"/>
    <n v="69437"/>
    <s v="No es factible una estimación"/>
    <n v="57323"/>
    <n v="5"/>
    <n v="23578.6"/>
    <m/>
    <n v="-12114"/>
    <n v="-0.21132878600212829"/>
    <n v="35043.199999999997"/>
    <m/>
    <n v="-12114"/>
    <n v="-0.21132878600212829"/>
    <n v="46507.8"/>
    <m/>
    <n v="-12114"/>
    <n v="-0.21132878600212829"/>
    <n v="57972.4"/>
    <m/>
    <n v="-12114"/>
    <n v="-0.21132878600212829"/>
    <n v="69437"/>
    <m/>
    <n v="-12114"/>
    <n v="-0.21132878600212829"/>
    <m/>
    <m/>
    <m/>
    <m/>
  </r>
  <r>
    <x v="11"/>
    <m/>
    <x v="7"/>
    <s v="Soberanía y transparencia en la gestión pública "/>
    <s v="1103"/>
    <s v="Seguridad Ciudadana para una Vida sin Violencia"/>
    <n v="7"/>
    <m/>
    <m/>
    <m/>
    <s v="1103314"/>
    <s v="Se ha incrementado en un 20% los operativos de interdicción al tráfico ilícito de sustancias controladas y se ha reducido en 5% la prevalencia de consumo de alcohol y otras drogas."/>
    <m/>
    <m/>
    <s v="Producto"/>
    <m/>
    <m/>
    <m/>
    <m/>
    <m/>
    <m/>
    <m/>
    <m/>
    <m/>
    <n v="0"/>
    <n v="1"/>
    <s v="Etapa 1"/>
    <m/>
    <n v="16"/>
    <s v="16.4 De aquí a 2030, reducir significativamente las corrientes financieras y de armas ilícitas, fortalecer la recuperación y devolución de los activos robados y luchar contra todas las formas de delincuencia organizada"/>
    <s v="16.4.2. Proporción de armas pequeñas y armas ligeras incautadas que se registran y localizan, de conformidad con las normas internacionales y los instrumentos jurídicos"/>
    <m/>
    <x v="0"/>
    <m/>
    <n v="2"/>
    <n v="11033142"/>
    <x v="156"/>
    <s v="MG"/>
    <s v="Producto"/>
    <m/>
    <s v="Superficie racionalizada (zonas autorizadas) y superficie erradicada (zona no autorizadas)"/>
    <s v="Héctareas"/>
    <s v="Superficie de cultivos excedentarios de coca  racionalizadas y erradicadas "/>
    <s v="Superficie de cultivos excedentarios de coca  racionalizadas y erradicadas "/>
    <s v="Superficie de cultivos excedentarios de coca  racionalizadas y erradicadas "/>
    <s v="VDS-SC"/>
    <m/>
    <m/>
    <s v="2006-2017"/>
    <s v="Este datos reporta anualmente el VDS-SC"/>
    <m/>
    <m/>
    <s v="VDS-SC"/>
    <s v="Viceministerio de Defensa Social y Sustancias Controladas"/>
    <s v="Registro adminstrativo"/>
    <s v="Anual "/>
    <s v="2006-2017"/>
    <s v="Zonas autorizadas de cultivo de coca y zonas no autorizadas"/>
    <s v="Zonas autorizadas de cultivo de coca y zonas no autorizadas"/>
    <m/>
    <s v="En el marco de la Estrategia de Lucha Contra el Narcotrafico y Control de Cultivos Excedentarios de Coca 2016-2020,  Pilar 3: Control de Cultivos Excedentarios de Coca."/>
    <s v="Ministerio de Gobierno "/>
    <s v="Viceministerio de Defensa Social y Sustancias Controladas"/>
    <s v="Viceministerio de Defensa Social y Sustancias Controladas-Dirección General de Defensa Social "/>
    <s v="VDS-SC_x000a_2415583_x000a_Luis Torrez"/>
    <n v="2015"/>
    <n v="11020"/>
    <n v="39500"/>
    <s v="No es factible una estimación"/>
    <n v="28480"/>
    <n v="5"/>
    <n v="16716"/>
    <m/>
    <n v="-11020"/>
    <n v="-0.386938202247191"/>
    <n v="22412"/>
    <m/>
    <n v="-11020"/>
    <n v="-0.386938202247191"/>
    <n v="28108"/>
    <m/>
    <n v="-11020"/>
    <n v="-0.386938202247191"/>
    <n v="33804"/>
    <m/>
    <n v="-11020"/>
    <n v="-0.386938202247191"/>
    <n v="39500"/>
    <m/>
    <n v="-11020"/>
    <n v="-0.386938202247191"/>
    <m/>
    <m/>
    <m/>
    <m/>
  </r>
  <r>
    <x v="11"/>
    <m/>
    <x v="7"/>
    <s v="Soberanía y transparencia en la gestión pública "/>
    <s v="1103"/>
    <s v="Seguridad Ciudadana para una Vida sin Violencia"/>
    <n v="7"/>
    <m/>
    <m/>
    <m/>
    <s v="1103314"/>
    <s v="Se ha incrementado en un 20% los operativos de interdicción al tráfico ilícito de sustancias controladas y se ha reducido en 5% la prevalencia de consumo de alcohol y otras drogas."/>
    <m/>
    <m/>
    <s v="Resultado"/>
    <m/>
    <m/>
    <m/>
    <m/>
    <m/>
    <m/>
    <m/>
    <m/>
    <m/>
    <n v="1"/>
    <n v="0"/>
    <s v="Etapa 1"/>
    <m/>
    <n v="3"/>
    <s v="3.5 Fortalecer la prevención y el tratamiento del abuso de sustancias adictivas, incluido el uso indebido de estupefacientes y el consumo nocivo de alcohol"/>
    <s v="3.5.1 Cobertura de las intervenciones de tratamiento (farmacológico, psicosocial y servicios de rehabilitación y postratamiento) por trastornos de uso indebido de drogas_x000a_"/>
    <m/>
    <x v="0"/>
    <m/>
    <n v="3"/>
    <n v="11033143"/>
    <x v="157"/>
    <s v="MG"/>
    <s v="Impacto"/>
    <m/>
    <s v="Sexo, tipo de droga (lícita e ilícita)  "/>
    <s v="Porcentaje"/>
    <s v="Proporción de estudiantes universitarios que consume algun tipo de droga en el último año. _x000a_"/>
    <s v="(Número de estudiantes universitarios que consumen algun tipo de droga en el último año /  población universitaria total)*100"/>
    <s v="Número de estudiantes universitarios que consumen algun tipo de droga"/>
    <s v="III Estudio Epidemiologico Andino sobre Consumo de Drogas en la Población universitaria de Bolivia"/>
    <s v="Población universitaria total"/>
    <s v="III Estudio Epidemiologico Andino sobre Consumo de Drogas en la Población universitaria de Bolivia"/>
    <n v="2016"/>
    <s v="El indicador abarca a la edades de 18 a 25 años, y son comparables a nivel regional."/>
    <m/>
    <m/>
    <s v="UNODC/OBSCD"/>
    <s v="Oficina de Naciones Unidas contra la Droga y el Delito/ Observatorio Boliviano de Seguridad Ciudadana y lucha contra las Drogas "/>
    <s v="Encuesta en linea  en 2 Universidades Públicas( (Cochabamba, Santa Cruz y Chuquisaca) y 5 Privadas "/>
    <s v="Cada 4 años "/>
    <s v="2009, 2012, 2016"/>
    <s v="Universidad Mayor de San Simón_x000a_Universidad Autónoma Gabriel René Moreno_x000a_Universidad Mayor, Real y Pontificia de San Francisco Xavier_x000a_Universidad Privada del Valle_x000a_Universidad Privada Abierta Latinoamericana_x000a_Universidad de Aquino Bolivia_x000a_Universidad Tecnológica Privada de Santa Cruz_x000a_Universidad Privada de Santa Cruz de la Sierra"/>
    <s v="Universidad "/>
    <s v="Consumo de drogas "/>
    <s v="Estudios realizados en el marco de la Estrategia de Lucha contra el Narcotrafico y control de Cultivos Excedentarios de Coca 2016-2020, pilar 2 &quot;Reducción de la demanda&quot;"/>
    <s v=" Ministerio de Gobierno "/>
    <s v="Oficina de Naciones Unidas contra la Droga y el Delito/Ministerio de Gobierno/ Observatorio Boliviano de Seguridad Ciudadana y lucha contra las Drogas - OBSCD "/>
    <s v="Observatorio Boliviano de Seguridad Ciudadana y lucha contra las Drogas - OBSCD "/>
    <s v="OBSCD_x000a_2145986_x000a_Roberto Ríos_x000a_Carlos Oyola"/>
    <n v="2012"/>
    <n v="0.56999999999999995"/>
    <n v="0.56000000000000005"/>
    <n v="0.54"/>
    <n v="-9.9999999999998979E-3"/>
    <n v="8"/>
    <n v="0.56499999999999995"/>
    <m/>
    <n v="-0.56999999999999995"/>
    <n v="57.000000000000576"/>
    <n v="0.56374999999999997"/>
    <m/>
    <n v="-0.56999999999999995"/>
    <n v="57.000000000000576"/>
    <n v="0.5625"/>
    <m/>
    <n v="-0.56999999999999995"/>
    <n v="57.000000000000576"/>
    <n v="0.56125000000000003"/>
    <m/>
    <n v="-0.56999999999999995"/>
    <n v="57.000000000000576"/>
    <n v="0.56000000000000005"/>
    <m/>
    <n v="-0.56999999999999995"/>
    <n v="57.000000000000576"/>
    <m/>
    <m/>
    <m/>
    <m/>
  </r>
  <r>
    <x v="11"/>
    <m/>
    <x v="7"/>
    <s v="Soberanía y transparencia en la gestión pública "/>
    <s v="1103"/>
    <s v="Seguridad Ciudadana para una Vida sin Violencia"/>
    <n v="8"/>
    <m/>
    <m/>
    <m/>
    <s v="1103315"/>
    <s v="Se cuenta con un sistema penitenciario con enfoque humanístico y se ha mejorado la situación de las personas privadas de libertad en términos de hacinamiento y habitabilidad en los centros penitenciarios, incluyendo infraestructura, equipamiento y tecnología.."/>
    <m/>
    <m/>
    <s v="Proceso"/>
    <m/>
    <m/>
    <m/>
    <m/>
    <m/>
    <m/>
    <m/>
    <m/>
    <m/>
    <n v="0"/>
    <n v="1"/>
    <s v="Etapa 1"/>
    <m/>
    <m/>
    <m/>
    <m/>
    <m/>
    <x v="1"/>
    <m/>
    <n v="1"/>
    <n v="11033151"/>
    <x v="158"/>
    <s v="MG"/>
    <s v="Insumo"/>
    <m/>
    <s v="Departamento"/>
    <s v="Porcentaje "/>
    <s v="Número de Centros Penitenciarios que   han sido construídos  y/o refaccionados  total o parcialmente en relación al total de Centros Penitenciarios existentes en el año base"/>
    <s v="(Número de Centros Penitenciarios que  han sido construídos y/o refaccionados total o parcialmente / total de Centros Penitenciarios existentes en el año base)*100"/>
    <s v="Número de Centros Penitenciarios que que  han sido construídos y/o refaccionados  total o parcialmente"/>
    <s v="DGRP"/>
    <s v="Total de Centros Penitenciarios existentes en el año base"/>
    <s v="DGRP"/>
    <s v="2010-2017"/>
    <s v="El indicador abarca Centros Penitenciarios Urbanos y Carceletas Provinciales._x000a_Se considera infraestructura y/o equipamiento "/>
    <m/>
    <m/>
    <s v="DGRP "/>
    <s v="Dirección General de Régimen Penitenciario"/>
    <s v="Registro adminstrativo"/>
    <s v="Anual "/>
    <s v="2010-2017"/>
    <s v="Nacional "/>
    <s v="Departamental"/>
    <m/>
    <m/>
    <s v="Ministerio de Gobierno"/>
    <s v="Dirección General de Régimen Penitenciario "/>
    <s v="Responsable  Administrativo "/>
    <s v="DGRP_x000a_2118043_x000a_Juan Carlos Limpias Esprella"/>
    <n v="2015"/>
    <n v="4"/>
    <n v="9"/>
    <s v="No es factible una estimación"/>
    <n v="5"/>
    <n v="5"/>
    <n v="5"/>
    <m/>
    <n v="-4"/>
    <n v="-0.8"/>
    <n v="6"/>
    <m/>
    <n v="-4"/>
    <n v="-0.8"/>
    <n v="7"/>
    <m/>
    <n v="-4"/>
    <n v="-0.8"/>
    <n v="8"/>
    <m/>
    <n v="-4"/>
    <n v="-0.8"/>
    <n v="9"/>
    <m/>
    <n v="-4"/>
    <n v="-0.8"/>
    <m/>
    <m/>
    <m/>
    <m/>
  </r>
  <r>
    <x v="11"/>
    <m/>
    <x v="7"/>
    <s v="Soberanía y transparencia en la gestión pública "/>
    <s v="1103"/>
    <s v="Seguridad Ciudadana para una Vida sin Violencia"/>
    <n v="8"/>
    <m/>
    <m/>
    <m/>
    <s v="1103315"/>
    <s v="Se cuenta con un sistema penitenciario con enfoque humanístico y se ha mejorado la situación de las personas privadas de libertad en términos de hacinamiento y habitabilidad en los centros penitenciarios, incluyendo infraestructura, equipamiento y tecnología.."/>
    <m/>
    <m/>
    <s v="Producto"/>
    <m/>
    <m/>
    <m/>
    <m/>
    <m/>
    <m/>
    <m/>
    <m/>
    <m/>
    <n v="0"/>
    <n v="1"/>
    <s v="Etapa 1"/>
    <m/>
    <m/>
    <m/>
    <m/>
    <m/>
    <x v="1"/>
    <m/>
    <n v="2"/>
    <n v="11033152"/>
    <x v="159"/>
    <s v="MG"/>
    <s v="Producto "/>
    <m/>
    <s v="Sexo, edad,departamento  y componente de reinserción social"/>
    <s v="Número de personas"/>
    <s v="Personas privadas de libertad beneficiadas con programas  de reinserción social en 5 componentes: salud, educación, trabajo, cultura y deportes"/>
    <s v="Personas privadas de libertad beneficiadas con programas  de reinserción social en 5 componentes: salud, educación, trabajo, cultura y deportes"/>
    <s v="Personas privadas de libertad beneficiadas con programas  de reinserción social en 5 componentes: salud, educación, trabajo, cultura y deportes"/>
    <s v="DGRP"/>
    <m/>
    <m/>
    <s v="2015-2017_x000a_"/>
    <s v="El indicador engloba los 5 componentes de reinserción social "/>
    <m/>
    <m/>
    <s v="DGRP"/>
    <s v="Dirección General de Régimen Penitenciario"/>
    <s v="Registro adminstrativo"/>
    <s v="Anual "/>
    <s v="2015 - 2017 "/>
    <s v="Nacional "/>
    <s v="Departamental"/>
    <s v="Salud, educación, trabajo, cultura y deportes"/>
    <m/>
    <s v="Ministerio de Gobierno "/>
    <s v="Dirección General de Régimen Penitenciario"/>
    <s v="Responsable de Reinserción Social "/>
    <s v="DGRP_x000a_2118043_x000a_Angélica Salcedo Meneses"/>
    <n v="2015"/>
    <n v="7407"/>
    <n v="16301"/>
    <s v="No es factible una estimación"/>
    <n v="8894"/>
    <n v="5"/>
    <n v="9185.7999999999993"/>
    <m/>
    <n v="-7407"/>
    <n v="-0.83280863503485492"/>
    <n v="10964.6"/>
    <m/>
    <n v="-7407"/>
    <n v="-0.83280863503485492"/>
    <n v="12743.4"/>
    <m/>
    <n v="-7407"/>
    <n v="-0.83280863503485492"/>
    <n v="14522.2"/>
    <m/>
    <n v="-7407"/>
    <n v="-0.83280863503485492"/>
    <n v="16301"/>
    <m/>
    <n v="-7407"/>
    <n v="-0.83280863503485492"/>
    <m/>
    <m/>
    <m/>
    <m/>
  </r>
  <r>
    <x v="11"/>
    <m/>
    <x v="7"/>
    <s v="Soberanía y transparencia en la gestión pública "/>
    <s v="1103"/>
    <s v="Seguridad Ciudadana para una Vida sin Violencia"/>
    <n v="9"/>
    <m/>
    <m/>
    <m/>
    <n v="1103316"/>
    <s v="La mayoría de las personas en tránsito y hacía el país son registradas en el  sistema integral de control migratotio en línea y en tiempo real."/>
    <m/>
    <m/>
    <s v="Producto"/>
    <m/>
    <m/>
    <m/>
    <m/>
    <m/>
    <m/>
    <m/>
    <m/>
    <m/>
    <n v="0"/>
    <n v="1"/>
    <s v="Etapa 1"/>
    <m/>
    <n v="10"/>
    <s v="10.7  Facilitar la migración y la movilidad ordenadas, seguras, regulares y responsables de las personas, incluso mediante la aplicación de políticas migratorias planificadas y bien gestionadas"/>
    <s v="10.7.2 Número de países que han aplicado políticas migratorias bien gestionadas"/>
    <m/>
    <x v="0"/>
    <s v="Parcial "/>
    <n v="1"/>
    <n v="11033161"/>
    <x v="160"/>
    <s v="MG"/>
    <s v="Producto "/>
    <m/>
    <s v="Nacional"/>
    <s v="Portcentaje"/>
    <s v="Proporción de puestos  de control migratorio fijo que cuentan con nuevo sistema de control de fronteras en relación a los puestos de control migratorio fijos "/>
    <s v="(Número de puestos de control migratorio fijo  que cuentan con el nuevo sistema de control de fronteras / Número de puestos de control migratorio fijos)*100"/>
    <s v="Número de puestos de control migratorio fijo  que cuentan con el nuevo sistema de control de fronteras"/>
    <s v="DIGEMIG"/>
    <s v="Numero de puestos de control migratorio fijos"/>
    <s v="DIGEMIG"/>
    <s v="2015-2017"/>
    <s v="El sistema de control de fronteras  será implementado el 2018 "/>
    <m/>
    <m/>
    <s v="DIGEMIG"/>
    <s v="Dirección General de Migración"/>
    <s v="Registro Administrativo "/>
    <s v="Anual "/>
    <m/>
    <s v="Nacional "/>
    <s v="Nacional"/>
    <s v="Puestos de control migratorio"/>
    <m/>
    <s v="Ministrio de Gobierno "/>
    <s v="Dirección General de Migración -DIGEMIG"/>
    <s v="DIGEMIG"/>
    <s v="DIGEMIG_x000a_2110960_x000a_Miroslava Peña"/>
    <n v="2015"/>
    <n v="0"/>
    <n v="1"/>
    <n v="1"/>
    <n v="1"/>
    <n v="5"/>
    <n v="0.2"/>
    <m/>
    <n v="0"/>
    <n v="0"/>
    <n v="0.4"/>
    <m/>
    <n v="0"/>
    <n v="0"/>
    <n v="0.60000000000000009"/>
    <m/>
    <n v="0"/>
    <n v="0"/>
    <n v="0.8"/>
    <m/>
    <n v="0"/>
    <n v="0"/>
    <n v="1"/>
    <m/>
    <n v="0"/>
    <n v="0"/>
    <m/>
    <m/>
    <m/>
    <m/>
  </r>
  <r>
    <x v="11"/>
    <m/>
    <x v="7"/>
    <s v="Soberanía y transparencia en la gestión pública "/>
    <s v="1104"/>
    <s v="Defensa Integral del Estado y Complementariedad en el Desarrollo Nacional"/>
    <n v="5"/>
    <m/>
    <m/>
    <m/>
    <s v="1104321"/>
    <s v="Se ha implementado el sistema integrado de vigilancia aérea y control del espacio aéreo."/>
    <m/>
    <m/>
    <s v="Producto"/>
    <m/>
    <m/>
    <m/>
    <m/>
    <m/>
    <m/>
    <m/>
    <m/>
    <m/>
    <n v="0"/>
    <n v="1"/>
    <s v="Etapa 1"/>
    <m/>
    <m/>
    <m/>
    <m/>
    <m/>
    <x v="1"/>
    <m/>
    <n v="1"/>
    <n v="11043211"/>
    <x v="161"/>
    <s v="MD"/>
    <s v="Producto"/>
    <m/>
    <s v="Nacional"/>
    <s v="Porcentaje"/>
    <s v="El % de avance físico de la implementación del Sistema Integrado de Vigilancia, Control y Defensa del Espacio Aéreo representa la comparación entre los volúmenes de obra real ejecutados contra lo programado"/>
    <s v="(avance ejecutado / avance programado)*100 "/>
    <s v="Avance ejecutado"/>
    <s v="Planillas de avance de obra"/>
    <s v="Avance programado"/>
    <s v="Planillas de avance de obra"/>
    <s v="2017-2018"/>
    <s v="Dato actualizado hasta marzo 2018"/>
    <m/>
    <m/>
    <s v="PAO"/>
    <s v="Planillas de avance de obra"/>
    <s v="Registro administrativo"/>
    <s v="Mensual"/>
    <s v="2017 - 2018"/>
    <s v="Nacional"/>
    <s v="Nacional"/>
    <s v="Avance físico de obra"/>
    <m/>
    <s v="Ministerio de Defensa (MD)"/>
    <s v="Comando de Seguridad y Defensa del Espacio Aéreo (COSDEA)"/>
    <s v="Fuerza Aérea Boliviana (FAB)"/>
    <s v="Gral. Div. Aé. Jorge Elmer Toranzo 71554225"/>
    <n v="2016"/>
    <n v="0"/>
    <n v="1"/>
    <s v="No corresponde"/>
    <n v="1"/>
    <n v="4"/>
    <s v="No corresponde"/>
    <m/>
    <s v="No corresponde"/>
    <s v="No corresponde"/>
    <n v="0.25"/>
    <m/>
    <n v="0"/>
    <n v="0"/>
    <n v="0.5"/>
    <m/>
    <n v="0"/>
    <n v="0"/>
    <n v="0.75"/>
    <m/>
    <n v="0"/>
    <n v="0"/>
    <n v="1"/>
    <m/>
    <n v="0"/>
    <n v="0"/>
    <m/>
    <m/>
    <m/>
    <m/>
  </r>
  <r>
    <x v="12"/>
    <m/>
    <x v="0"/>
    <s v="Universalización de los servicios básicos"/>
    <s v="0201"/>
    <s v="El 100% de las bolivianas y los bolivianos cuentan con servicios de agua y alcantarillado sanitario."/>
    <n v="1"/>
    <s v="2.1.1"/>
    <n v="39"/>
    <s v="2.1.39"/>
    <s v="0201039"/>
    <s v="El 95% de la población urbana cuenta con servicios de agua potable."/>
    <s v="Servicios Básicos"/>
    <s v="Agua, alcant., SB"/>
    <s v="Resultado"/>
    <s v="Social"/>
    <s v="Servicios Básicos"/>
    <n v="1"/>
    <n v="1"/>
    <s v="RS"/>
    <m/>
    <m/>
    <s v="MMAyA"/>
    <e v="#DIV/0!"/>
    <n v="1"/>
    <n v="0"/>
    <s v="Etapa 1"/>
    <n v="1"/>
    <n v="6"/>
    <s v="6.1 De aquí a 2030, lograr el acceso universal y equitativo al agua potable a un precio asequible para todos"/>
    <s v="6.1.1 Porcentaje de la población que dispone de servicios de suministro de agua potable gestionados de manera segura"/>
    <s v="No se tiene definido en concreto el concepto de &quot;gestionados de manera segura&quot;"/>
    <x v="2"/>
    <m/>
    <n v="1"/>
    <s v="02010391"/>
    <x v="162"/>
    <s v="Impacto"/>
    <m/>
    <s v="Departamental y municipal"/>
    <s v="Porcentaje"/>
    <s v="La población urbana que tiene acceso a fuentes mejoradas de agua, es aquella que accede a este recurso mediante conexión domiciliaria, pileta pública, pozo perforado con bomba o cosecha de agua. El indicador representa la relación porcentual de la población servida respecto a la población total urbana proyectada."/>
    <s v="La cobertura de acceso a fuentes mejoradas de agua (urbana), es el cociente entre la población servida estimada para el año &quot;t&quot; y la población urbana proyectada para el mismo año, multiplicado por 100. La población servida para el año &quot;t&quot; está definida como la suma de la población servida del año anterior, más el crecimiento natural de la población servida del último año, más el incremento neto de la población servida del área urbana en el año &quot;t&quot;."/>
    <s v="Población servida urbana: es la población que accede a este recurso mediante conexión domiciliaria, pileta pública, pozo perforado con bomba o cosecha de agua."/>
    <s v="Registros Administrativo con base al CNPV2012"/>
    <s v="Población total urbana proyectada"/>
    <s v="Proyecciones de Poblacion INE_x000a_Proyecciones de población a nivel comunidad y municipal (área urbana y rural) por el VAPSB"/>
    <s v="2012-2016"/>
    <s v="Hasta la gestión 2015, en el área urbana se ha considerado como población servida a aquella que tiene acceso al agua mediante cañería de red o pileta pública. A partir de la gestión 2015, el dato considera conexión domiciliaria, pileta pública, pozo perforado con bomba o cosecha de agua que se registra a nivel de comunidad, en ese sentido, la fórmula es aplicada a este nivel. Por otro lado, se considera el supuesto de que la tasa de crecimiento de la población servida es igual a la tasa de crecimiento de la población."/>
    <n v="1"/>
    <s v="020103911"/>
    <s v="RA"/>
    <s v="Sistema de Informacion de Agua en Bolivia (SIAB)_x000a_*Otras fuentes (AAPS, AEVIVIENDA, ONGs y GAMs)"/>
    <s v="RA"/>
    <s v="Anual"/>
    <s v="2012-2016"/>
    <s v="Nacional"/>
    <s v="Departamental y municipal_x000a_"/>
    <s v="Población Servida _x000a_Población total_x000a_Tipo de proyecto_x000a_Fuente de financiamiento_x000a_Monto programado_x000a_Monto ejecutado_x000a_Ubicación_x000a_"/>
    <s v="Además del SIAB, se recoge información de nuevas conexiones de otras fuentes de información: AAPS, AEVIVIENDA, ONGs y GAMs. "/>
    <s v="Ministerio de Medio Ambiente y Agua - MMAyA"/>
    <s v="Viceministerio de Agua Potable y Saneamiento Básico (VAPSB)"/>
    <s v="Dirección General de Agua Potable y Alcantarillado Sanitario (DGAPAS)"/>
    <s v="2115571 int 1202"/>
    <n v="2015"/>
    <n v="0.93300000000000005"/>
    <n v="0.95"/>
    <n v="1"/>
    <n v="1.6999999999999904E-2"/>
    <n v="5"/>
    <n v="0.93640000000000001"/>
    <n v="0.93807915514872597"/>
    <n v="5.0791551487259223E-3"/>
    <n v="0.29877383227799714"/>
    <n v="0.93979999999999997"/>
    <n v="0.94016214219702399"/>
    <n v="7.1621421970239352E-3"/>
    <n v="0.42130248217788091"/>
    <n v="0.94320000000000004"/>
    <m/>
    <n v="-0.93300000000000005"/>
    <n v="-54.882352941176784"/>
    <n v="0.9466"/>
    <m/>
    <n v="-0.93300000000000005"/>
    <n v="-54.882352941176784"/>
    <n v="0.95"/>
    <m/>
    <n v="-0.93300000000000005"/>
    <n v="-54.882352941176784"/>
    <s v="Anual"/>
    <m/>
    <m/>
    <m/>
    <m/>
  </r>
  <r>
    <x v="12"/>
    <m/>
    <x v="0"/>
    <s v="Universalización de los servicios básicos"/>
    <s v="0201"/>
    <s v="El 100% de las bolivianas y los bolivianos cuentan con servicios de agua y alcantarillado sanitario."/>
    <n v="2"/>
    <s v="2.1.2"/>
    <n v="40"/>
    <s v="2.1.40"/>
    <s v="0201040"/>
    <s v="80% de la población rural cuentan con servicios sostenibles de agua segura."/>
    <s v="Servicios Básicos"/>
    <s v="Agua, alcant., SB"/>
    <s v="Resultado"/>
    <s v="Social"/>
    <s v="Servicios Básicos"/>
    <n v="1"/>
    <n v="1"/>
    <s v="RS"/>
    <m/>
    <m/>
    <s v="MMAyA"/>
    <e v="#DIV/0!"/>
    <n v="1"/>
    <n v="0"/>
    <s v="Etapa 1"/>
    <n v="1"/>
    <n v="6"/>
    <s v="6.1 De aquí a 2030, lograr el acceso universal y equitativo al agua potable a un precio asequible para todos"/>
    <s v="6.1.1 Porcentaje de la población que dispone de servicios de suministro de agua potable gestionados de manera segura"/>
    <s v="No se tiene definido en concreto el concepto de &quot;gestionados de manera segura&quot;"/>
    <x v="2"/>
    <m/>
    <n v="1"/>
    <s v="02010401"/>
    <x v="163"/>
    <s v="Impacto"/>
    <m/>
    <s v="Departamental y municipal"/>
    <s v="Porcentaje"/>
    <s v="La población rural que tiene acceso a fuentes mejoradas de agua, es aquella que accede a este recurso mediante conexión domiciliaria, pileta pública, pozo perforado con bomba, Pozo excavado protegido con bomba, manantial protegido o cosecha de agua. El indicador representa la relación porcentual de la población servida respecto a la población total rural proyectada."/>
    <s v="La cobertura de acceso a fuentes mejoradas de agua (rural), es el cociente entre la población servida estimada para el año &quot;t&quot; y la población rural proyectada para el mismo año, multiplicado por 100. La población servida para el año &quot;t&quot; está definida como la suma de la población servida del año anterior, más el crecimiento natural de la población servida del último año, más el incremento neto de la población servida del área rural en el año &quot;t&quot;."/>
    <s v="Población servida rural: es la población que accede a este recurso mediante conexión domiciliaria, pileta pública, pozo perforado con bomba, pozo excavado protegido con bomba, manatial protegido o cosecha de agua."/>
    <s v="Registros Administrativo con base al CNPV2012"/>
    <s v="Población total rural proyectada"/>
    <s v="Proyecciones de Poblacion INE_x000a_Proyecciones de población a nivel comunidad y municipal (área urbana y rural) por el VAPSB"/>
    <s v="2012-2016"/>
    <s v="Hasta la gestión 2015, en el área rural se ha considerado como población servida a aquella que tiene acceso al agua mediante cañería de red, pileta pública o  pozo con bomba. A partir de la gestión 2015, el dato contempla conexión domiciliaria, pileta pública, pozo perforado con bomba, pozo excavado protegido con bomba, manatial protegido o cosecha de agua y se registra a nivel de comunidad, en ese sentido, la fórmula es aplicada a este nivel. Por otro lado, se considera el supuesto de que la tasa de crecimiento de la población servida es igual a la tasa de crecimiento de la población."/>
    <n v="1"/>
    <s v="020104011"/>
    <s v="RA"/>
    <s v="Sistema de Informacion de Agua en Bolivia (SIAB)_x000a_*Otras fuentes (AAPS, AEVIVIENDA, ONGs y GAMs)"/>
    <s v="RA"/>
    <s v="Anual"/>
    <s v="2012-2016"/>
    <s v="Nacional"/>
    <s v="Departamental y municipal_x000a_"/>
    <s v="Población Servida _x000a_Población total_x000a_Tipo de proyecto_x000a_Fuente de financiamiento_x000a_Monto programado_x000a_Monto ejecutado_x000a_Ubicación_x000a_"/>
    <s v="Además del SIAB, se recoge información de nuevas conexiones de otras fuentes de información: AEVIVIENDA, ONGs y GAMs. "/>
    <s v="Ministerio de Medio Ambiente y Agua - MMAyA"/>
    <s v="Viceministerio de Agua Potable y Saneamiento Básico (VAPSB)"/>
    <s v="Dirección General de Agua Potable y Alcantarillado Sanitario (DGAPAS)"/>
    <s v="2115571 int 1202"/>
    <n v="2015"/>
    <n v="0.66100000000000003"/>
    <n v="0.8"/>
    <n v="1"/>
    <n v="0.13900000000000001"/>
    <n v="5"/>
    <n v="0.68880000000000008"/>
    <n v="0.66428392099571498"/>
    <n v="3.2839209957149507E-3"/>
    <n v="2.3625330904424105E-2"/>
    <n v="0.71660000000000001"/>
    <n v="0.66731662498382105"/>
    <n v="6.3166249838210176E-3"/>
    <n v="4.5443345207345449E-2"/>
    <n v="0.74440000000000006"/>
    <m/>
    <n v="-0.66100000000000003"/>
    <n v="-4.7553956834532372"/>
    <n v="0.7722"/>
    <m/>
    <n v="-0.66100000000000003"/>
    <n v="-4.7553956834532372"/>
    <n v="0.8"/>
    <m/>
    <n v="-0.66100000000000003"/>
    <n v="-4.7553956834532372"/>
    <s v="Anual"/>
    <m/>
    <m/>
    <m/>
    <m/>
  </r>
  <r>
    <x v="12"/>
    <m/>
    <x v="0"/>
    <s v="Universalización de los servicios básicos"/>
    <s v="0201"/>
    <s v="El 100% de las bolivianas y los bolivianos cuentan con servicios de agua y alcantarillado sanitario."/>
    <m/>
    <m/>
    <m/>
    <m/>
    <m/>
    <s v="90,5% de la población boliviana cuentan con servicios sostenibles de agua segura."/>
    <m/>
    <m/>
    <s v="Resultado"/>
    <m/>
    <m/>
    <m/>
    <m/>
    <m/>
    <m/>
    <m/>
    <m/>
    <m/>
    <n v="1"/>
    <n v="0"/>
    <s v="Etapa 1"/>
    <m/>
    <n v="6"/>
    <s v="6.1 De aquí a 2030, lograr el acceso universal y equitativo al agua potable a un precio asequible para todos"/>
    <s v="6.1.1 Porcentaje de la población que dispone de servicios de suministro de agua potable gestionados de manera segura"/>
    <s v="No se tiene definido en concreto el concepto de &quot;gestionados de manera segura&quot;"/>
    <x v="2"/>
    <m/>
    <m/>
    <m/>
    <x v="164"/>
    <s v="Impacto"/>
    <m/>
    <s v="Departamental y municipal"/>
    <s v="Porcentaje"/>
    <s v="La población servida total que tiene acceso a fuentes mejoradas de agua, es la suma de la población servida del área urbana más la población servida del área rural, todo dividido entre la población total proyectada."/>
    <s v="La cobertura de acceso a fuentes mejoradas de agua (total), es el promedio ponderado de la cobertura de acceso a fuentes mejoradas de agua (urbana) y la cobertura de acceso a fuentes mejoradas de agua (rural). Los coeficientes de ponderación son las participaciones de la población urbana y rural respecto del total, respectivamente."/>
    <s v="Población servida total: es la suma de la población servida del área urbana más la población servida del área rural."/>
    <s v="Registros Administrativo con base al CNPV2012"/>
    <s v="Población total proyectada"/>
    <s v="Proyecciones de Poblacion INE_x000a_Proyecciones de población a nivel comunidad y municipal (área urbana y rural) por el VAPSB"/>
    <s v="2012-2016"/>
    <s v="Se toma en cuenta las observaciones de los indicadores de cobertura del área urbana y rural."/>
    <n v="1"/>
    <m/>
    <s v="RA"/>
    <s v="Sistema de Informacion de Agua en Bolivia (SIAB)_x000a_*Otras fuentes (AAPS, AEVIVIENDA, ONGs y GAMs)"/>
    <s v="RA"/>
    <s v="Anual"/>
    <s v="2012-2016"/>
    <s v="Nacional"/>
    <s v="Departamental y municipal_x000a_"/>
    <s v="Población Servida _x000a_Población total_x000a_Tipo de proyecto_x000a_Fuente de financiamiento_x000a_Monto programado_x000a_Monto ejecutado_x000a_Ubicación_x000a_"/>
    <s v="Además del SIAB, se recoge información de nuevas conexiones de otras fuentes de información: AAPS, AEVIVIENDA, ONGs y GAMs. "/>
    <s v="Ministerio de Medio Ambiente y Agua - MMAyA"/>
    <s v="Viceministerio de Agua Potable y Saneamiento Básico (VAPSB)"/>
    <s v="Dirección General de Agua Potable y Alcantarillado Sanitario (DGAPAS)"/>
    <s v="2115571 int 1202"/>
    <n v="2015"/>
    <n v="0.847202308209699"/>
    <n v="0.90506620952888517"/>
    <n v="1"/>
    <n v="5.7863901319186173E-2"/>
    <n v="5"/>
    <n v="0.85877508847353623"/>
    <n v="0.85250311354722796"/>
    <n v="5.3008053375289688E-3"/>
    <n v="9.1608156669024304E-2"/>
    <n v="0.87034786873737346"/>
    <n v="0.85580834702313102"/>
    <n v="8.6060388134320265E-3"/>
    <n v="0.14872897639514132"/>
    <n v="0.8819206490012107"/>
    <m/>
    <n v="-0.847202308209699"/>
    <n v="-14.641292565746662"/>
    <n v="0.89349342926504793"/>
    <m/>
    <n v="-0.847202308209699"/>
    <n v="-14.641292565746662"/>
    <n v="0.90506620952888517"/>
    <m/>
    <n v="-0.847202308209699"/>
    <n v="-14.641292565746662"/>
    <s v="Anual"/>
    <m/>
    <m/>
    <m/>
    <m/>
  </r>
  <r>
    <x v="12"/>
    <m/>
    <x v="0"/>
    <s v="Universalización de los servicios básicos"/>
    <s v="0201"/>
    <s v="El 100% de las bolivianas y los bolivianos cuentan con servicios de agua y alcantarillado sanitario."/>
    <n v="3"/>
    <s v="2.1.3"/>
    <n v="41"/>
    <s v="2.1.41"/>
    <s v="0201041"/>
    <s v="El 70% de la población urbana cuenta con servicios de alcantarillado y saneamiento."/>
    <s v="Servicios Básicos"/>
    <s v="Agua, alcant., SB"/>
    <s v="Resultado"/>
    <s v="Social"/>
    <s v="Servicios Básicos"/>
    <n v="1"/>
    <n v="1"/>
    <s v="RS"/>
    <m/>
    <m/>
    <s v="MMAyA"/>
    <e v="#DIV/0!"/>
    <n v="1"/>
    <n v="0"/>
    <s v="Etapa 1"/>
    <n v="1"/>
    <n v="6"/>
    <s v="6.2 De aquí a 2030, lograr el acceso a servicios de saneamiento e higiene adecuados y equitativos para todos y poner fin a la defecación al aire libre, prestando especial atención a las necesidades de las mujeres y las niñas y las personas en situaciones de vulnerabilidad"/>
    <s v="6.2.1 Porcentaje de la población que utiliza servicios de saneamiento gestionados de manera segura, incluida una instalación para lavarse las manos con agua y jabón"/>
    <s v="En los registros administrativos no se registra si la vivienda cuenta con instalación para lavarse las manos. En la encuesta de hogares 2016 se incluyó la pregunta pero no se analizó el método de cálculo del indicador."/>
    <x v="0"/>
    <m/>
    <n v="1"/>
    <s v="02010411"/>
    <x v="165"/>
    <s v="Impacto"/>
    <m/>
    <s v="Departamental y municipal"/>
    <s v="Porcentaje"/>
    <s v="La población urbana que dispone de servicio de saneamiento, es aquella que accede a este servicio mediante conexión a la red de alcantarillado o baño ecológico. El indicador representa la relación porcentual de la población servida respecto a la población total urbana proyectada."/>
    <s v="La cobertura de saneamiento (urbana), es el cociente entre la población servida estimada para el año &quot;t&quot; y la población urbana proyectada para el mismo año, multiplicado por 100. La población servida para el año &quot;t&quot; está definida como la suma de la población servida del año anterior, más el crecimiento natural de la población servida del último año, más el incremento neto de la población servida del área urbana en el año &quot;t&quot;."/>
    <s v="Población servida urbana: es la población que accede a este servicio mediante conexión a la red de alcantarillado o baño ecológico."/>
    <s v="Registros Administrativo con base al CNPV2012"/>
    <s v="Población total urbana proyectada"/>
    <s v="Proyecciones de Poblacion INE_x000a_Proyecciones de población a nivel comunidad y municipal (área urbana y rural) por el VAPSB"/>
    <s v="2012-2016"/>
    <s v="Hasta la gestión 2015, en el area urbana se ha considerado como población servida con saneamiento a la conexión de alcantarillado, a partir de la gestión 2015, el dato contempla conexión a la red de alcantarillado o baño ecológico y se registra a nivel de comunidad, en ese sentido , la formula es aplicada a este nivel. Por otro lado , se considera el supuesto de que la tasa de crecimiento de la población servida es igual a la tasa de crecimiento de la población."/>
    <n v="1"/>
    <s v="020104111"/>
    <s v="RA"/>
    <s v="Sistema de Informacion de Agua en Bolivia (SIAB)_x000a_*Otras fuentes (AAPS, AEVIVIENDA, ONGs y GAMs)"/>
    <s v="RA"/>
    <s v="Anual"/>
    <s v="2012-2016"/>
    <s v="Nacional"/>
    <s v="Departamental y municipal_x000a_"/>
    <s v="Población Servida _x000a_Población total_x000a_Tipo de proyecto_x000a_Fuente de financiamiento_x000a_Monto programado_x000a_Monto ejecutado_x000a_Ubicación_x000a_"/>
    <s v="Además del SIAB, se recoge información de nuevas conexiones de otras fuentes de información: AAPS, AEVIVIENDA, ONGs y GAMs. "/>
    <s v="Ministerio de Medio Ambiente y Agua - MMAyA"/>
    <s v="Viceministerio de Agua Potable y Saneamiento Básico (VAPSB)"/>
    <s v="Dirección General de Agua Potable y Alcantarillado Sanitario (DGAPAS)"/>
    <s v="2115571 int 1202"/>
    <n v="2015"/>
    <n v="0.63743575800722896"/>
    <n v="0.7"/>
    <n v="1"/>
    <n v="6.2564241992770997E-2"/>
    <n v="5"/>
    <n v="0.64994860640578311"/>
    <n v="0.65553612633042602"/>
    <n v="1.8100368323197058E-2"/>
    <n v="0.28930852107643962"/>
    <n v="0.66246145480433738"/>
    <n v="0.66254324077638305"/>
    <n v="2.5107482769154088E-2"/>
    <n v="0.40130723188582929"/>
    <n v="0.67497430320289153"/>
    <m/>
    <n v="-0.63743575800722896"/>
    <n v="-10.188499655775924"/>
    <n v="0.6874871516014458"/>
    <m/>
    <n v="-0.63743575800722896"/>
    <n v="-10.188499655775924"/>
    <n v="0.7"/>
    <m/>
    <n v="-0.63743575800722896"/>
    <n v="-10.188499655775924"/>
    <s v="Anual"/>
    <m/>
    <m/>
    <m/>
    <m/>
  </r>
  <r>
    <x v="12"/>
    <m/>
    <x v="0"/>
    <s v="Universalización de los servicios básicos"/>
    <s v="0201"/>
    <s v="El 100% de las bolivianas y los bolivianos cuentan con servicios de agua y alcantarillado sanitario."/>
    <n v="4"/>
    <s v="2.1.4"/>
    <n v="42"/>
    <s v="2.1.42"/>
    <s v="0201042"/>
    <s v="El 60% de la población rural cuenta con servicios de alcantarillado y saneamiento."/>
    <s v="Servicios Básicos"/>
    <s v="Agua, alcant., SB"/>
    <s v="Resultado"/>
    <s v="Social"/>
    <s v="Servicios Básicos"/>
    <n v="1"/>
    <n v="1"/>
    <s v="RS"/>
    <m/>
    <m/>
    <s v="MMAyA"/>
    <e v="#DIV/0!"/>
    <n v="1"/>
    <n v="0"/>
    <s v="Etapa 1"/>
    <n v="1"/>
    <n v="6"/>
    <s v="6.2 De aquí a 2030, lograr el acceso a servicios de saneamiento e higiene adecuados y equitativos para todos y poner fin a la defecación al aire libre, prestando especial atención a las necesidades de las mujeres y las niñas y las personas en situaciones de vulnerabilidad"/>
    <s v="6.2.1 Porcentaje de la población que utiliza servicios de saneamiento gestionados de manera segura, incluida una instalación para lavarse las manos con agua y jabón"/>
    <s v="En los registros administrativos no se registra si la vivienda cuenta con instalación para lavarse las manos. En la encuesta de hogares 2016 se incluyó la pregunta pero no se analizó el método de cálculo del indicador."/>
    <x v="0"/>
    <m/>
    <n v="1"/>
    <s v="02010421"/>
    <x v="166"/>
    <s v="Impacto"/>
    <m/>
    <s v="Departamental y municipal"/>
    <s v="Porcentaje"/>
    <s v="La población rural que dispone de servicio de saneamiento, es aquella que accede a este servicio mediante conexión a la red de alcantarillado, conexión a cámara séptica, baño ecológico, Letrina con descarga a pozo de absorción o letrina de pozo con loza (tapa). El indicador representa la relación porcentual de la población servida respecto a la población total rural proyectada."/>
    <s v="La cobertura de saneamiento (rural), es el cociente entre la población servida estimada para el año &quot;t&quot; y la población rural proyectada para el mismo año, multiplicado por 100. La población servida para el año &quot;t&quot; está definida como la suma de la población servida del año anterior, más el crecimiento natural de la población servida del último año, más el incremento neto de la población servida del área rural en el año &quot;t&quot;."/>
    <s v="Población servida rural: es la población que accede a este servicio mediante conexión a la red de alcantarillado, conexión a cámara séptica, baño ecológico, Letrina con descarga a pozo de absorción o letrina de pozo con loza (tapa)."/>
    <s v="Registros Administrativo con base al CNPV2012"/>
    <s v="Población total rural proyectada"/>
    <s v="Proyecciones de Poblacion INE_x000a_Proyecciones de población a nivel comunidad y municipal (área urbana y rural) por el VAPSB"/>
    <s v="2012-2016"/>
    <s v="En el area rual se ha considerado como población servida con saneamiento a la conexión de alcantarillado, letrina con descarga a camara septica o letrina de pozo ciego. A partir del 2015, se registra a nivel de comunidad en ese sentido, la formula es aplicada a este nivel. Por lo tanto, se tiene el supuesto de que la tasa de crecimiento de la población servida es igual a la tasa de crecimiento de la población."/>
    <n v="1"/>
    <s v="020104211"/>
    <s v="RA"/>
    <s v="Sistema de Informacion de Agua en Bolivia (SIAB)_x000a_*Otras fuentes (AAPS, AEVIVIENDA, ONGs y GAMs)"/>
    <s v="RA"/>
    <s v="Anual"/>
    <s v="2012-2016"/>
    <s v="Nacional"/>
    <s v="Departamental y municipal_x000a_"/>
    <s v="Población Servida _x000a_Población total_x000a_Tipo de proyecto_x000a_Fuente de financiamiento_x000a_Monto programado_x000a_Monto ejecutado_x000a_Ubicación_x000a_"/>
    <s v="Además del SIAB, se recoge información de nuevas conexiones de otras fuentes de información: AEVIVIENDA, ONGs y GAMs. "/>
    <s v="Ministerio de Medio Ambiente y Agua - MMAyA"/>
    <s v="Viceministerio de Agua Potable y Saneamiento Básico (VAPSB)"/>
    <s v="Dirección General de Agua Potable y Alcantarillado Sanitario (DGAPAS)"/>
    <s v="2115571 int 1202"/>
    <n v="2015"/>
    <n v="0.42599999999999999"/>
    <n v="0.6"/>
    <n v="1"/>
    <n v="0.17399999999999999"/>
    <n v="5"/>
    <n v="0.46079999999999999"/>
    <n v="0.43254887089718302"/>
    <n v="6.5488708971830345E-3"/>
    <n v="3.7637189064270313E-2"/>
    <n v="0.49559999999999998"/>
    <n v="0.43309569564886802"/>
    <n v="7.0956956488680278E-3"/>
    <n v="4.0779860050965677E-2"/>
    <n v="0.53039999999999998"/>
    <m/>
    <n v="-0.42599999999999999"/>
    <n v="-2.4482758620689657"/>
    <n v="0.56519999999999992"/>
    <m/>
    <n v="-0.42599999999999999"/>
    <n v="-2.4482758620689657"/>
    <n v="0.6"/>
    <m/>
    <n v="-0.42599999999999999"/>
    <n v="-2.4482758620689657"/>
    <s v="Anual"/>
    <m/>
    <m/>
    <m/>
    <m/>
  </r>
  <r>
    <x v="12"/>
    <m/>
    <x v="0"/>
    <s v="Universalización de los servicios básicos"/>
    <s v="0201"/>
    <s v="El 100% de las bolivianas y los bolivianos cuentan con servicios de agua y alcantarillado sanitario."/>
    <m/>
    <m/>
    <m/>
    <m/>
    <m/>
    <s v="67% de la población boliviana cuenta con servicios de alcantarillado y saneamiento."/>
    <m/>
    <m/>
    <s v="Resultado"/>
    <m/>
    <m/>
    <m/>
    <m/>
    <m/>
    <m/>
    <m/>
    <m/>
    <m/>
    <n v="1"/>
    <n v="0"/>
    <s v="Etapa 1"/>
    <m/>
    <n v="6"/>
    <s v="6.2 De aquí a 2030, lograr el acceso a servicios de saneamiento e higiene adecuados y equitativos para todos y poner fin a la defecación al aire libre, prestando especial atención a las necesidades de las mujeres y las niñas y las personas en situaciones de vulnerabilidad"/>
    <s v="6.2.1 Porcentaje de la población que utiliza servicios de saneamiento gestionados de manera segura, incluida una instalación para lavarse las manos con agua y jabón"/>
    <s v="En los registros administrativos no se registra si la vivienda cuenta con instalación para lavarse las manos. En la encuesta de hogares 2016 se incluyó la pregunta pero no se analizó el método de cálculo del indicador."/>
    <x v="0"/>
    <m/>
    <m/>
    <m/>
    <x v="167"/>
    <s v="Impacto"/>
    <m/>
    <s v="Departamental y municipal"/>
    <s v="Porcentaje"/>
    <s v="La población servida total que tiene acceso a saneamiento, es la suma de la población servida del área urbana más la población servida del área rural, todo dividido entre la población total proyectada."/>
    <s v="La cobertura saneamiento (total), es el promedio ponderado de la cobertura de saneamiento (urbana) y la cobertura de saneamiento (rural). Los coeficientes de ponderación son las participaciones de la población urbana y rural respecto del total, respectivamente."/>
    <s v="Población servida total: es la suma de la población servida del área urbana más la población servida del área rural."/>
    <s v="Registros Administrativo con base al CNPV2012"/>
    <s v="Población total proyectada"/>
    <s v="Proyecciones de Poblacion INE_x000a_Proyecciones de población a nivel comunidad y municipal (área urbana y rural) por el VAPSB"/>
    <s v="2012-2016"/>
    <s v="Se toma en cuenta las observaciones de los indicadores de cobertura del área urbana y rural."/>
    <n v="1"/>
    <m/>
    <s v="RA"/>
    <s v="Sistema de Informacion de Agua en Bolivia (SIAB)_x000a_*Otras fuentes (AAPS, AEVIVIENDA, ONGs y GAMs)"/>
    <s v="RA"/>
    <s v="Anual"/>
    <s v="2012-2016"/>
    <s v="Nacional"/>
    <s v="Departamental y municipal_x000a_"/>
    <s v="Población Servida _x000a_Población total_x000a_Tipo de proyecto_x000a_Fuente de financiamiento_x000a_Monto programado_x000a_Monto ejecutado_x000a_Ubicación_x000a_"/>
    <s v="Además del SIAB, se recoge información de nuevas conexiones de otras fuentes de información: AAPS, AEVIVIENDA, ONGs y GAMs. "/>
    <s v="Ministerio de Medio Ambiente y Agua - MMAyA"/>
    <s v="Viceministerio de Agua Potable y Saneamiento Básico (VAPSB)"/>
    <s v="Dirección General de Agua Potable y Alcantarillado Sanitario (DGAPAS)"/>
    <s v="2115571 int 1202"/>
    <n v="2015"/>
    <n v="0.57059940713235202"/>
    <n v="0.67004416579179205"/>
    <n v="1"/>
    <n v="9.9444758659440025E-2"/>
    <n v="5"/>
    <n v="0.59048835886424"/>
    <n v="0.58584036735715295"/>
    <n v="1.5240960224800926E-2"/>
    <n v="0.15326056828188744"/>
    <n v="0.61037731059612799"/>
    <n v="0.59160650183881403"/>
    <n v="2.1007094706462004E-2"/>
    <n v="0.21124386030643613"/>
    <n v="0.63026626232801608"/>
    <m/>
    <n v="-0.57059940713235202"/>
    <n v="-5.7378530032581718"/>
    <n v="0.65015521405990406"/>
    <m/>
    <n v="-0.57059940713235202"/>
    <n v="-5.7378530032581718"/>
    <n v="0.67004416579179205"/>
    <m/>
    <n v="-0.57059940713235202"/>
    <n v="-5.7378530032581718"/>
    <s v="Anual"/>
    <m/>
    <m/>
    <m/>
    <m/>
  </r>
  <r>
    <x v="13"/>
    <s v="24/04/2022"/>
    <x v="9"/>
    <s v="Disfrute y felicidad"/>
    <s v="1201"/>
    <s v="Promover los derechos del pueblo boliviano y de la Madre Tierra para vivir en una sociedad justa, equitativa, sin pobreza."/>
    <n v="4"/>
    <s v="12.1.4"/>
    <n v="330"/>
    <s v="12.1.330"/>
    <s v="1201330"/>
    <s v="Se ha recuperado el patrimonio material del Estado Plurinacional, sustraído y/o enajenado"/>
    <s v="Disfrute y felicidad"/>
    <s v="Justicia y Derechos"/>
    <s v="Resultado"/>
    <s v="Política e Institucional"/>
    <s v="Estado"/>
    <m/>
    <m/>
    <s v="RS"/>
    <m/>
    <m/>
    <s v="M.Defensa Legal del Estado"/>
    <e v="#DIV/0!"/>
    <n v="1"/>
    <n v="0"/>
    <s v="Etapa 1"/>
    <m/>
    <m/>
    <m/>
    <m/>
    <m/>
    <x v="1"/>
    <m/>
    <n v="1"/>
    <s v="12013301"/>
    <x v="168"/>
    <s v="Producto"/>
    <m/>
    <s v="NA"/>
    <s v="Número"/>
    <s v="Es el número total de piezas de Patrimonio Cultural Material recuperado, en un periodo dado a través de acciones contra el tráfico ilícito."/>
    <s v="∑PPCR = Sumatoria del número de piezas de Patrimonio Cultural Material recuperado."/>
    <s v="Es el número de piezas de Patrimonio Cultural Material recuperado."/>
    <s v="Registros administrativos"/>
    <s v="NA"/>
    <s v="NA"/>
    <s v="2016 - 2017"/>
    <s v="NA"/>
    <n v="1"/>
    <s v="120133011"/>
    <s v="MDCyT - VI"/>
    <s v="Viceministerio de Interculturalidad"/>
    <s v="Registro administrativo"/>
    <s v="Anual"/>
    <s v="2016-2017"/>
    <s v="Internacional"/>
    <s v="NA"/>
    <s v="Denuncias internacionales de tráfico o posesión ilícita reportadas por cancillería, denuncias de tráfico o posesión ilícita nacional reportadas por personas naturales o jurídicas, reportes de denuncias de Ministerios de Cultura de Perú, Ecuador y Uruguay."/>
    <s v="NA"/>
    <s v="Ministerio de Culturas y Turismo - MDCyT"/>
    <s v="Viceministerio de Interculturalidad - VI"/>
    <s v="Dirección General de Patrimonio Cultural - DGPC"/>
    <s v="2200910 int. 2101"/>
    <s v="NA"/>
    <n v="0"/>
    <n v="300"/>
    <m/>
    <n v="300"/>
    <n v="5"/>
    <n v="60"/>
    <n v="52"/>
    <n v="52"/>
    <n v="0.17333333333333334"/>
    <n v="120"/>
    <n v="237"/>
    <n v="237"/>
    <n v="0.79"/>
    <n v="180"/>
    <m/>
    <n v="0"/>
    <n v="0"/>
    <n v="240"/>
    <m/>
    <n v="0"/>
    <n v="0"/>
    <n v="300"/>
    <m/>
    <n v="0"/>
    <n v="0"/>
    <m/>
    <m/>
    <m/>
    <m/>
    <m/>
  </r>
  <r>
    <x v="13"/>
    <s v="24/04/2024"/>
    <x v="9"/>
    <s v="Disfrute y felicidad"/>
    <s v="1202"/>
    <s v="Práctica y fortalecimiento de las virtudes humanas y solidarias para llevar una vida armoniosa."/>
    <n v="2"/>
    <s v="12.2.2"/>
    <n v="333"/>
    <s v="12.2.333"/>
    <s v="1202333"/>
    <s v="Saber aprender y pensar. Rescatar nuestros conocimientos, valores y sabidurías ancestrales"/>
    <s v="Disfrute y felicidad"/>
    <s v="Afectivo"/>
    <s v="Proceso"/>
    <s v="Cultural y Afectiva"/>
    <s v="Felicidad"/>
    <m/>
    <m/>
    <s v="PC"/>
    <m/>
    <m/>
    <m/>
    <e v="#DIV/0!"/>
    <n v="0"/>
    <n v="1"/>
    <s v="Etapa 1"/>
    <m/>
    <m/>
    <m/>
    <m/>
    <m/>
    <x v="1"/>
    <m/>
    <n v="1"/>
    <s v="12023331"/>
    <x v="169"/>
    <s v="Producto"/>
    <m/>
    <s v="NA"/>
    <s v="Número"/>
    <s v="Es el número de manifestaciones culturales que cuentan con Declaratoria Nacional de Patrimonio Cultural Inmaterial."/>
    <s v="∑MCPI= Sumatoria del número de manifestaciones culturales con Declaratoria Nacional de Patrimonio Cultural Inmaterial."/>
    <s v="Es el número de manifestaciones culturales que cuentan con Declaratoria Nacional de Patrimonio Cultural Inmaterial."/>
    <s v="Registros administrativos"/>
    <s v="NA"/>
    <s v="NA"/>
    <s v="1968 - 2017"/>
    <s v="NA"/>
    <n v="1"/>
    <s v="120233311"/>
    <s v="MDCyT - VI"/>
    <s v="Viceministerio de Interculturalidad - Dirección General de Patrimonio Cultural"/>
    <s v="Registro administrativo"/>
    <s v="Anual"/>
    <s v="1968-2017"/>
    <s v="Nacional"/>
    <s v="Nacional"/>
    <s v="Leyes de aprobación de Declaratorias Nacionales de Patrimonio Cultural Inmaterial."/>
    <s v="NA"/>
    <s v="Ministerio de Culturas y Turismo - MDCyT"/>
    <s v="Viceministerio de Interculturalidad - VI"/>
    <s v="Dirección General de Patrimonio Cultural - DGPC"/>
    <s v="2200910 int. 2101"/>
    <n v="2015"/>
    <n v="144"/>
    <n v="164"/>
    <m/>
    <n v="20"/>
    <n v="5"/>
    <n v="148"/>
    <n v="149"/>
    <n v="5"/>
    <n v="0.25"/>
    <n v="152"/>
    <n v="155"/>
    <n v="11"/>
    <n v="0.55000000000000004"/>
    <n v="156"/>
    <m/>
    <n v="-144"/>
    <n v="-7.2"/>
    <n v="160"/>
    <m/>
    <n v="-144"/>
    <n v="-7.2"/>
    <n v="164"/>
    <m/>
    <n v="-144"/>
    <n v="-7.2"/>
    <m/>
    <m/>
    <m/>
    <m/>
    <m/>
  </r>
  <r>
    <x v="13"/>
    <s v="24/04/2026"/>
    <x v="9"/>
    <s v="Disfrute y felicidad"/>
    <s v="1202"/>
    <s v="Práctica y fortalecimiento de las virtudes humanas y solidarias para llevar una vida armoniosa."/>
    <n v="5"/>
    <s v="12.2.5"/>
    <n v="336"/>
    <s v="12.2.336"/>
    <s v="1202336"/>
    <s v="Saber Trabajar. Fortalecer las relaciones de cooperación y el trabajo comunitario colectivo"/>
    <s v="Disfrute y felicidad"/>
    <s v="Afectivo"/>
    <s v="Proceso"/>
    <s v="Cultural y Afectiva"/>
    <s v="Felicidad"/>
    <m/>
    <m/>
    <s v="PC"/>
    <m/>
    <m/>
    <m/>
    <e v="#DIV/0!"/>
    <n v="0"/>
    <n v="1"/>
    <s v="Etapa 1"/>
    <m/>
    <m/>
    <m/>
    <m/>
    <m/>
    <x v="1"/>
    <m/>
    <n v="1"/>
    <s v="12023361"/>
    <x v="170"/>
    <s v="Producto"/>
    <m/>
    <s v="NA"/>
    <s v="Número"/>
    <s v="Es el número de formas de organización laboral que han sido fortalecidas mediante su inscripción en la Lista Representativa de Patrimonio Cultural Inmaterial de UNESCO."/>
    <s v="∑OFDPI = Sumatoria de organizaciones laborales fortalecidas, valoradas y enriquecidas mediante su inscripción en la Lista Representativa de Patrimonio Cultural Inmaterial de UNESCO."/>
    <s v="Formas de organización social que han sido fortalecidas mediante su inscripción en la Lista Representativa de Patrimonio Cultural Inmaterial de UNESCO."/>
    <s v="Diploma de Inscripción en la Lista Representativa an la UNESCO"/>
    <s v="NA"/>
    <s v="NA"/>
    <s v="2008 - 2017"/>
    <s v="NA"/>
    <n v="1"/>
    <s v="120233611"/>
    <s v="MDCyT - VI"/>
    <s v="Viceministerio de Interculturalidad"/>
    <s v="Registro administrativo"/>
    <s v="Anual"/>
    <s v="2008 - 2017"/>
    <s v="Internacional"/>
    <s v="NA"/>
    <s v="Diploma de Inscripción en la Lista Representativa an la UNESCO"/>
    <s v="El Ministerio de Culturas y Turismo elabora la carpeta de postulación y realiza la gestión ante UNESCO. Pasado un periodo de evaluación de la misma, UNESCO publica la Inscripción en la Lista Representativa de Patrimonio Cultural Inmaterial disponible en su página web oficial."/>
    <s v="Organización de Naciones Unidas - ONU"/>
    <s v="Organización de  las Naciones Unidades para la Educación, la Ciencia y la Cultura - UNESCO"/>
    <s v="NA"/>
    <s v="NA"/>
    <n v="2015"/>
    <n v="5"/>
    <n v="8"/>
    <m/>
    <n v="3"/>
    <n v="5"/>
    <n v="2015.6"/>
    <n v="5"/>
    <n v="0"/>
    <n v="0"/>
    <n v="6.2"/>
    <n v="6"/>
    <n v="1"/>
    <n v="0.33333333333333331"/>
    <n v="6.8"/>
    <m/>
    <n v="-5"/>
    <n v="-1.6666666666666667"/>
    <n v="2017.4"/>
    <m/>
    <n v="-5"/>
    <n v="-1.6666666666666667"/>
    <n v="8"/>
    <m/>
    <n v="-5"/>
    <n v="-1.6666666666666667"/>
    <m/>
    <m/>
    <m/>
    <m/>
    <m/>
  </r>
  <r>
    <x v="14"/>
    <s v="10/4/18"/>
    <x v="10"/>
    <s v="Soberanía alimentaria "/>
    <s v="0801"/>
    <s v="Eliminar el hambre, la desnutrición y reducir la malnutrición."/>
    <n v="1"/>
    <s v="8.1.1"/>
    <n v="221"/>
    <s v="8.1.221"/>
    <s v="0801221"/>
    <s v="Se ha disminuido a 9% el porcentaje de niñas y niños menores de cinco años con desnutrición crónica.  "/>
    <s v="Alimentación y Nutrición"/>
    <s v="Nutrición"/>
    <s v="Resultado"/>
    <s v="Social"/>
    <s v="Nutrición"/>
    <n v="1"/>
    <m/>
    <s v="RS"/>
    <m/>
    <m/>
    <s v="M.Salud"/>
    <n v="16.666666666666668"/>
    <n v="1"/>
    <n v="0"/>
    <s v="Etapa 2"/>
    <m/>
    <n v="2"/>
    <s v="2.2 De aquí a 2030, poner fin a todas las formas de malnutrición, incluso logrando, a más tardar en 2025, las metas convenidas internacionalmente sobre el retraso del crecimiento y la emaciación de los niños menores de 5 años, y abordar las necesidades de nutrición de las adolescentes, las mujeres embarazadas y lactantes y las personas de edad"/>
    <s v="2.2.1 Prevalencia del retraso en el crecimiento (estatura para la edad, desviación típica &lt; -2 de la mediana de los patrones de crecimiento infantil de la Organización Mundial de la Salud (OMS)) entre los niños menores de 5 años_x000a_"/>
    <s v="Es aplicable directamente al indicador, sin embargo el reporte oficial pais se lo realiza quinquenalmente"/>
    <x v="2"/>
    <m/>
    <n v="1"/>
    <s v="08012211"/>
    <x v="171"/>
    <s v="Impacto"/>
    <m/>
    <s v="Por Sexo, edad, departamento, area urbana y rural"/>
    <s v="Porcentaje"/>
    <s v="Mide la cantidad de niñas y niños menores de 5 años con desnutrición crónica o talla baja (de acuerdo a norma talla baja es cuando el indicador T/E se encuentra por debajo de 2 Desviaciones Estandar)"/>
    <s v="PDC&lt;5años = Nº de niñas/os menores de5 años con talla baja/Poblacion total de niñas/osmenores de 5 años por 100"/>
    <s v="Número de niñas/os menores de 5 años con talla baja"/>
    <s v="Institución: INE_x000a_Dirección: Estadísticas e Indicadores Económicos y Sociales_x000a_Institución: Ministerio de Salud- Encuesta Nacional de Demografía y Salud-ENDSA_x000a_"/>
    <s v="Poblacion total de niñas/os menores de 5 años "/>
    <s v="Institución: INE_x000a_Dirección: Estadísticas e Indicadores Económicos y Sociales_x000a_"/>
    <s v="Disponible de 2008 (ENDSA)"/>
    <s v="Periodicidad de la informacion es quinquenal_x000a_(es importante plantear la realización de otra encuesta poblacional antes del 2020 para medir los avances)"/>
    <n v="1"/>
    <s v="080122111"/>
    <s v="INE_x000a_"/>
    <s v="INSTITUTO NACIONAL DE ESTADISTICA_x000a_"/>
    <s v="ENCUESTA "/>
    <s v="quinquenal"/>
    <s v="DESDE 2008"/>
    <s v="NACIONAL_x000a_"/>
    <s v="NACIONAL"/>
    <s v="Salud sexual y reproductiva_x000a_Violencia_x000a_Nutrición_x000a_Mortalidad de la niñez_x000a_Mortalidad neonatal"/>
    <s v="Serie disponible con el factor desde 2008_x000a_"/>
    <s v="MINISTERIO DE SALUD - MS_x000a_UC CT CONAN"/>
    <s v="VICEMINISTERIO DE PROMOCION DE LA SALUD - VPS"/>
    <s v="UC CT-CONAN_x000a_DIRECCION GENERAL DE PROMOCION DE LA SALUD - UNIDAD DE ALIMENTACION Y NUTRICION_x000a_DGPS - UAN_x000a_"/>
    <s v="UC CT_CONAN: 2117997 - 2118890_x000a_UAN: 2443957"/>
    <n v="2015"/>
    <n v="0.18099999999999999"/>
    <n v="0.129"/>
    <n v="6.4"/>
    <n v="5.1999999999999991E-2"/>
    <n v="5"/>
    <n v="0.16"/>
    <n v="0.16"/>
    <n v="-2.0999999999999991E-2"/>
    <n v="0.40384615384615374"/>
    <m/>
    <m/>
    <m/>
    <m/>
    <m/>
    <m/>
    <m/>
    <m/>
    <m/>
    <m/>
    <m/>
    <m/>
    <n v="0.129"/>
    <m/>
    <n v="-0.18099999999999999"/>
    <n v="-3.4807692307692313"/>
    <s v="QUINQUENAL"/>
    <s v="PENDIENTE"/>
    <m/>
    <m/>
    <m/>
  </r>
  <r>
    <x v="14"/>
    <s v="10/4/18"/>
    <x v="10"/>
    <s v="Soberanía alimentaria "/>
    <s v="0801"/>
    <s v="Eliminar el hambre, la desnutrición y reducir la malnutrición."/>
    <n v="3"/>
    <s v="8.1.3"/>
    <n v="223"/>
    <s v="8.1.223"/>
    <s v="0801223"/>
    <s v="Se  ha  disminuido  a  30%  la  prevalencia  de  niños  con anemia. "/>
    <s v="Alimentación y Nutrición"/>
    <s v="Nutrición"/>
    <s v="Resultado"/>
    <s v="Social"/>
    <s v="Nutrición"/>
    <m/>
    <m/>
    <s v="RS"/>
    <m/>
    <m/>
    <s v="M.Salud"/>
    <n v="16.666666666666668"/>
    <n v="1"/>
    <n v="0"/>
    <s v="Etapa 2"/>
    <n v="1"/>
    <n v="2"/>
    <s v="2.2 De aquí a 2030, poner fin a todas las formas de malnutrición, incluso logrando, a más tardar en 2025, las metas convenidas internacionalmente sobre el retraso del crecimiento y la emaciación de los niños menores de 5 años, y abordar las necesidades de nutrición de las adolescentes, las mujeres embarazadas y lactantes y las personas de edad"/>
    <s v="Prevalencia de anemia en niños menores de 5 años"/>
    <s v="Reformular indicador en base a porcenttaje o prevalencia. Medición quinquenal/anual"/>
    <x v="2"/>
    <m/>
    <n v="1"/>
    <s v="08012231"/>
    <x v="172"/>
    <s v="Impacto"/>
    <m/>
    <s v="Por Sexo, edad, departamento, area urbana y rural"/>
    <s v="Porcentaje"/>
    <s v="Mide la cantidad de niñas y niños menores de 5 años con anemia (nivel de hemoglobina bajo)"/>
    <s v="PA&lt;5años = Nº de niñas/os menores de5 años con anemia/Poblacion total de niñas/osmenores de 5 años por 100"/>
    <s v="Número de niñas/os menores de 5 años con anemia"/>
    <s v="Institución: INE_x000a_Dirección: Estadísticas e Indicadores Económicos y Sociales_x000a_Institución: Ministerio de Salud- Encuesta Nacional de Demografía y Salud-ENDSA_x000a_"/>
    <s v="Poblacion total de niñas/os menores de 5 años "/>
    <s v="Institución: INE_x000a_Dirección: Estadísticas e Indicadores Económicos y Sociales_x000a_"/>
    <s v="Disponible de 2008 (ENDSA)"/>
    <s v="Periodicidad de la informacion es quinquenal_x000a_(es importante plantear la realización de otra encuesta poblacional antes del 2020 para medir los avances)"/>
    <n v="1"/>
    <s v="080122311"/>
    <s v="INE_x000a_"/>
    <s v="INSTITUTO NACIONAL DE ESTADISTICA_x000a_"/>
    <s v="ENCUESTA POBLACIONAL"/>
    <s v="quinquenal"/>
    <s v="DESDE 2008"/>
    <s v="NACIONAL_x000a_"/>
    <s v="NACIONAL"/>
    <s v="Salud sexual y reproductiva_x000a_Violencia_x000a_Nutrición_x000a_Mortalidad de la niñez_x000a_Mortalidad neonatal"/>
    <s v="Serie disponible con el factor desde 2008_x000a_"/>
    <s v="MINISTERIO DE SALUD - MS_x000a_UC CT CONAN"/>
    <s v="VICEMINISTERIO DE PROMOCION DE LA SALUD - VPS"/>
    <s v="UC CT-CONAN_x000a_DIRECCION GENERAL DE PROMOCION DE LA SALUD - UNIDAD DE ALIMENTACION Y NUTRICION_x000a_DGPS - UAN_x000a_"/>
    <s v="UC CT_CONAN: 2117997 - 2118890_x000a_UAN: 2443957"/>
    <n v="2015"/>
    <n v="0.54500000000000004"/>
    <n v="0.50900000000000001"/>
    <n v="44.2"/>
    <n v="3.6000000000000032E-2"/>
    <n v="5"/>
    <n v="0.53700000000000003"/>
    <n v="0.53700000000000003"/>
    <n v="-8.0000000000000071E-3"/>
    <n v="0.22222222222222221"/>
    <m/>
    <m/>
    <m/>
    <m/>
    <m/>
    <m/>
    <m/>
    <m/>
    <m/>
    <m/>
    <m/>
    <m/>
    <n v="0.50900000000000001"/>
    <m/>
    <n v="-0.54500000000000004"/>
    <n v="15.138888888888877"/>
    <m/>
    <m/>
    <m/>
    <m/>
    <m/>
  </r>
  <r>
    <x v="14"/>
    <s v="10/4/18"/>
    <x v="10"/>
    <s v="Soberanía alimentaria "/>
    <s v="0801"/>
    <s v="Eliminar el hambre, la desnutrición y reducir la malnutrición."/>
    <n v="4"/>
    <s v="8.1.4"/>
    <n v="224"/>
    <s v="8.1.224"/>
    <s v="0801224"/>
    <s v="Se ha reducido a 3,5% de niñas y niños con sobrepeso u obesidad. "/>
    <s v="Alimentación y Nutrición"/>
    <s v="Nutrición"/>
    <s v="Resultado"/>
    <s v="Social"/>
    <s v="Nutrición"/>
    <n v="1"/>
    <m/>
    <s v="RS"/>
    <m/>
    <m/>
    <s v="M.Salud"/>
    <n v="16.666666666666668"/>
    <n v="1"/>
    <n v="0"/>
    <s v="Etapa 2"/>
    <n v="1"/>
    <n v="2"/>
    <s v="2.2 De aquí a 2030, poner fin a todas las formas de malnutrición, incluso logrando, a más tardar en 2025, las metas convenidas internacionalmente sobre el retraso del crecimiento y la emaciación de los niños menores de 5 años, y abordar las necesidades de nutrición de las adolescentes, las mujeres embarazadas y lactantes y las personas de edad"/>
    <s v="_x000a_2.2.2 Prevalencia de la malnutrición (peso para la estatura, desviación típica &gt; +2 o &lt; -2 de la mediana de los patrones de crecimiento infantil de la OMS) entre los niños menores de 5 años, desglosada por tipo (emaciación y peso excesivo)"/>
    <s v="Medición quinquenal"/>
    <x v="2"/>
    <m/>
    <n v="1"/>
    <s v="08012241"/>
    <x v="173"/>
    <s v="Impacto"/>
    <m/>
    <s v="Por Sexo, edad, departamento, area urbana y rural"/>
    <s v="Porcentaje"/>
    <s v="Mide la cantidad de niñas y niños menores de 5 años con sobrepeso y obesidad (de acuerdo a norma se determina sobrepeso  cuando el indicador P/T se encuentra por encima de 2 Desviaciones Estandar, y obesidad cuando se encuentra por encima de 3 Desviaciones Estandar)"/>
    <s v="PSP-OB&lt;5años = Nº de niñas/os menores de 5 años con sobrepeso+obesidad/Poblacion total de niñas/osmenores de 5 años por 100"/>
    <s v="Número de niñas/os menores de 5 años con sobrepeso u obesidad"/>
    <s v="Institución: INE_x000a_Dirección: Estadísticas e Indicadores Económicos y Sociales_x000a_Institución: Ministerio de Salud- Encuesta Nacional de Demografía y Salud-ENDSA_x000a_"/>
    <s v="Poblacion total de niñas/os menores de 5 años "/>
    <s v="Institución: INE_x000a_Dirección: Estadísticas e Indicadores Económicos y Sociales_x000a_"/>
    <s v="Disponible de 2008 (ENDSA)"/>
    <s v="Periodicidad de la informacion es quinquenal_x000a_(es importante plantear la realización de otra encuesta poblacional antes del 2020 para medir los avances)"/>
    <n v="1"/>
    <s v="080122411"/>
    <s v="INE_x000a_"/>
    <s v="INSTITUTO NACIONAL DE ESTADISTICA_x000a_"/>
    <s v="ENCUESTA POBLACIONAL"/>
    <s v="quinquenal"/>
    <s v="DESDE 2008"/>
    <s v="NACIONAL_x000a_"/>
    <s v="NACIONAL"/>
    <s v="Salud sexual y reproductiva_x000a_Violencia_x000a_Nutrición_x000a_Mortalidad de la niñez_x000a_Mortalidad neonatal"/>
    <s v="Serie disponible con el factor desde 2008_x000a_"/>
    <s v="MINISTERIO DE SALUD - MS_x000a_UC CT CONAN"/>
    <s v="VICEMINISTERIO DE PROMOCION DE LA SALUD - VPS"/>
    <s v="UC CT-CONAN_x000a_DIRECCION GENERAL DE PROMOCION DE LA SALUD - UNIDAD DE ALIMENTACION Y NUTRICION_x000a_DGPS - UAN_x000a_"/>
    <s v="UC CT_CONAN: 2117997 - 2118890_x000a_UAN: 2443957"/>
    <n v="2015"/>
    <n v="9.9000000000000005E-2"/>
    <n v="3.5000000000000003E-2"/>
    <n v="1.8"/>
    <n v="6.4000000000000001E-2"/>
    <n v="5"/>
    <n v="0.10100000000000001"/>
    <n v="0.10100000000000001"/>
    <n v="2.0000000000000018E-3"/>
    <n v="3.1250000000000028E-2"/>
    <m/>
    <m/>
    <m/>
    <m/>
    <m/>
    <m/>
    <m/>
    <m/>
    <m/>
    <m/>
    <m/>
    <m/>
    <n v="3.5000000000000003E-2"/>
    <m/>
    <n v="-9.9000000000000005E-2"/>
    <n v="1.546875"/>
    <m/>
    <m/>
    <m/>
    <m/>
    <m/>
  </r>
  <r>
    <x v="14"/>
    <s v="10/4/18"/>
    <x v="10"/>
    <s v="Soberanía alimentaria "/>
    <s v="0801"/>
    <s v="Eliminar el hambre, la desnutrición y reducir la malnutrición."/>
    <n v="5"/>
    <s v="8.1.5"/>
    <n v="225"/>
    <s v="8.1.225"/>
    <s v="0801225"/>
    <s v="Se  ha  reducido  a  35%  el  porcentaje  de mujeres  con sobrepeso u obesidad. "/>
    <s v="Alimentación y Nutrición"/>
    <s v="Nutrición"/>
    <s v="Resultado"/>
    <s v="Social"/>
    <s v="Nutrición"/>
    <m/>
    <m/>
    <s v="RS"/>
    <m/>
    <m/>
    <s v="M.Salud"/>
    <n v="16.666666666666668"/>
    <n v="1"/>
    <n v="0"/>
    <s v="Etapa 2"/>
    <n v="1"/>
    <m/>
    <m/>
    <s v="Prevalencia de sobrepeso y obesidad en mujeres en edad fértil"/>
    <s v="Se debería incluir a los hombes también  en este resultado. Los indicadores no incluyen a mujeres que ya no están en edad fértil. Medición quinquenal"/>
    <x v="2"/>
    <m/>
    <n v="1"/>
    <s v="08012251"/>
    <x v="174"/>
    <s v="Impacto"/>
    <m/>
    <s v="Por edad, departamento, area urbana y rural"/>
    <s v="Porcentaje"/>
    <s v="Mide la cantidad de mujeres con sobrepeso u obesidad (de acuerdo a norma cuando el valor del IMC se encuentra por encima de 24 se considera sobrepeso, y cuando es superior a 30 obesidad)"/>
    <s v="PSP-OB M = Nº de mujeres en edad fertil con sobrepeso + obesidad / Poblacion total de mujeres en edad fértil por 100"/>
    <s v="Número de mujeres en edad fertil con sobrepeso y obesidad"/>
    <s v="Institución: INE_x000a_Dirección: Estadísticas e Indicadores Económicos y Sociales_x000a_Institución: Ministerio de Salud- Encuesta Nacional de Demografía y Salud-ENDSA_x000a_"/>
    <s v="Poblacion total de mujeres en edad fértil"/>
    <s v="Institución: INE_x000a_Dirección: Estadísticas e Indicadores Económicos y Sociales_x000a_"/>
    <s v="Disponible de 2008 (ENDSA)"/>
    <s v="Periodicidad de la informacion es quinquenal_x000a_(es importante plantear la realización de otra encuesta poblacional antes del 2020 para medir los avances)"/>
    <n v="1"/>
    <s v="080122511"/>
    <s v="INE_x000a_"/>
    <s v="INSTITUTO NACIONAL DE ESTADISTICA_x000a_"/>
    <s v="ENCUESTA POBLACIONAL"/>
    <s v="quinquenal"/>
    <s v="DESDE 2008"/>
    <s v="NACIONAL_x000a_"/>
    <s v="NACIONAL"/>
    <s v="Salud sexual y reproductiva_x000a_Violencia_x000a_Nutrición_x000a_Mortalidad de la niñez_x000a_Mortalidad neonatal"/>
    <s v="Serie disponible con el factor desde 1998_x000a_"/>
    <s v="MINISTERIO DE SALUD - MS_x000a_UC CT CONAN"/>
    <s v="VICEMINISTERIO DE PROMOCION DE LA SALUD - VPS"/>
    <s v="UC CT-CONAN_x000a_DIRECCION GENERAL DE PROMOCION DE LA SALUD - UNIDAD DE ALIMENTACION Y NUTRICION_x000a_DGPS - UAN_x000a_"/>
    <s v="UC CT_CONAN: 2117997 - 2118890_x000a_UAN: 2443957"/>
    <n v="2015"/>
    <n v="0.56499999999999995"/>
    <n v="0.35"/>
    <n v="66.900000000000006"/>
    <n v="0.21499999999999997"/>
    <n v="5"/>
    <n v="0.57699999999999996"/>
    <n v="0.57699999999999996"/>
    <n v="1.2000000000000011E-2"/>
    <n v="5.5813953488372148E-2"/>
    <m/>
    <m/>
    <m/>
    <m/>
    <m/>
    <m/>
    <m/>
    <m/>
    <m/>
    <m/>
    <m/>
    <m/>
    <n v="0.35"/>
    <m/>
    <n v="-0.56499999999999995"/>
    <n v="2.6279069767441863"/>
    <m/>
    <m/>
    <m/>
    <m/>
    <m/>
  </r>
  <r>
    <x v="14"/>
    <s v="10/4/18"/>
    <x v="10"/>
    <s v="Soberanía alimentaria "/>
    <s v="0801"/>
    <s v="Eliminar el hambre, la desnutrición y reducir la malnutrición."/>
    <n v="6"/>
    <s v="8.1.6"/>
    <n v="226"/>
    <s v="8.1.226"/>
    <s v="0801226"/>
    <s v="Se  promoverá  el  aumento  de  la  lactancia  materna exclusiva a 84%. "/>
    <s v="Alimentación y Nutrición"/>
    <s v="Nutrición"/>
    <s v="Resultado"/>
    <s v="Social"/>
    <s v="Nutrición"/>
    <m/>
    <m/>
    <s v="RS"/>
    <m/>
    <m/>
    <s v="M.Salud"/>
    <n v="16.666666666666668"/>
    <n v="1"/>
    <n v="0"/>
    <s v="Etapa 2"/>
    <n v="1"/>
    <m/>
    <m/>
    <s v="Prevalencia de lactancia materna exclusiva"/>
    <s v="Medición quinquenal/anual"/>
    <x v="2"/>
    <m/>
    <n v="1"/>
    <s v="08012261"/>
    <x v="175"/>
    <s v="Impacto"/>
    <m/>
    <s v="Área Geografica_x000a_Sexo_x000a_Edad"/>
    <s v="Porcentaje"/>
    <s v="Mide el porcentaje de niñas/os de 6 meses de edad que recibieron lactancia exclusiva (de acuerdo a norma se considera lactancia materna exclusiva hasta los 6 meses de vida)."/>
    <s v="PN&lt;6LME = Nº de niñas/os menores de 6 meses con lactancia materna exclusiva/Poblacion total de niñas/os menores de 1 año por 100"/>
    <s v="Número de niñas/os  menores de 6 meses con lactancia materna exclusiva"/>
    <s v="Institución: INE_x000a_Dirección: Estadísticas e Indicadores Económicos y Sociales_x000a_Institución: Ministerio de Salud- Encuesta Nacional de Demografía y Salud-ENDSA"/>
    <s v="Poblacion total de niñas/os menores de 1 año"/>
    <s v="Institución: INE_x000a_Dirección: Estadísticas e Indicadores Económicos y Sociales_x000a_"/>
    <s v="1998_x000a_(ENDSA)"/>
    <s v="Periodicidad de la informacion es quinquenal_x000a_(es importante plantear la realización de otra encuesta poblacional antes del 2020 para medir los avances, se sugiere replantear la meta)"/>
    <n v="1"/>
    <s v="080122611"/>
    <s v="INE_x000a_"/>
    <s v="INSTITUTO NACIONAL DE ESTADISTICA_x000a_"/>
    <s v="ENCUESTA POBLACIONAL"/>
    <s v="quinquenal"/>
    <s v="DESDE 2008"/>
    <s v="NACIONAL_x000a_"/>
    <s v="NACIONAL"/>
    <s v="Salud sexual y reproductiva_x000a_Violencia_x000a_Nutrición_x000a_Mortalidad de la niñez_x000a_Mortalidad neonatal"/>
    <s v="Serie disponible con el factor desde 1998_x000a_"/>
    <s v="MINISTERIO DE SALUD - MS_x000a_UC CT CONAN"/>
    <s v="VICEMINISTERIO DE PROMOCION DE LA SALUD - VPS"/>
    <s v="UC CT-CONAN_x000a_DIRECCION GENERAL DE PROMOCION DE LA SALUD - UNIDAD DE ALIMENTACION Y NUTRICION_x000a_DGPS - UAN_x000a_"/>
    <s v="UC CT_CONAN: 2117997 - 2118890_x000a_UAN: 2443957"/>
    <n v="2015"/>
    <n v="0.61"/>
    <n v="0.64500000000000002"/>
    <n v="71.5"/>
    <n v="-3.5000000000000031E-2"/>
    <n v="5"/>
    <n v="0.58299999999999996"/>
    <n v="0.58299999999999996"/>
    <n v="-2.7000000000000024E-2"/>
    <n v="0.77142857142857146"/>
    <m/>
    <m/>
    <m/>
    <m/>
    <m/>
    <m/>
    <m/>
    <m/>
    <m/>
    <m/>
    <m/>
    <m/>
    <n v="0.64500000000000002"/>
    <m/>
    <n v="-0.61"/>
    <n v="-17.428571428571413"/>
    <m/>
    <m/>
    <m/>
    <m/>
    <m/>
  </r>
  <r>
    <x v="14"/>
    <s v="ODS"/>
    <x v="11"/>
    <m/>
    <m/>
    <m/>
    <m/>
    <m/>
    <m/>
    <m/>
    <m/>
    <m/>
    <m/>
    <m/>
    <s v="Impacto"/>
    <m/>
    <m/>
    <m/>
    <m/>
    <m/>
    <m/>
    <m/>
    <m/>
    <m/>
    <m/>
    <m/>
    <s v="Etapa 1"/>
    <m/>
    <m/>
    <m/>
    <m/>
    <m/>
    <x v="7"/>
    <m/>
    <n v="1"/>
    <m/>
    <x v="176"/>
    <s v="Impacto"/>
    <s v="Calidad"/>
    <s v="Urbano-Rural, Departamento,Pobreza, Quintil de Ingresos, nivel de ingresos del jefe de hogar, tipología del hogar"/>
    <s v="Porcentaje"/>
    <s v="Porcentaje de hogares con inseguridad alimentaria severa o moderada moderada o grave"/>
    <m/>
    <s v="Hogares con Inseguridad Alimentaria Severa o Moderada"/>
    <s v="Encuesta de Hogares"/>
    <s v="Total hogares en Viviendas Particulares "/>
    <s v="Encuesta de Hogares"/>
    <s v="2016-2017"/>
    <s v="2017 (Dato Preliminar)"/>
    <n v="1"/>
    <s v="1"/>
    <s v="EH"/>
    <s v="Encuesta de Hogares"/>
    <s v="Encuesta"/>
    <s v="Anual"/>
    <s v="2005-2017"/>
    <s v="Nacional"/>
    <s v="Departamental"/>
    <s v="Pobreza por ingresos, Tasa de Desempleo, Analfabetismo. _x000a_Secciones: Empleo, Ingresos, Salud, Educación, Caracterización sociodemográfica, TIC"/>
    <s v="Serie disponible con el factor actualizado sólo desde 2011_x000a_Representatividad departamental de los datos desde 2011"/>
    <s v="Instituto Nacional de Estadística (INE); "/>
    <s v="Dirección de Estadísticas e Indicadores Económicos y Sociales (DEIES)"/>
    <s v="Unidad de Estadísticas e Indicadores Sociales (UEIS)"/>
    <s v="(591) 2222333"/>
    <d v="2016-12-01T00:00:00"/>
    <n v="0.22800000000000001"/>
    <m/>
    <m/>
    <m/>
    <m/>
    <n v="0.22800000000000001"/>
    <m/>
    <n v="-0.22800000000000001"/>
    <m/>
    <m/>
    <m/>
    <m/>
    <m/>
    <m/>
    <m/>
    <m/>
    <m/>
    <m/>
    <m/>
    <m/>
    <m/>
    <n v="0"/>
    <n v="0"/>
    <n v="-0.22800000000000001"/>
    <e v="#DIV/0!"/>
    <s v="Anual"/>
    <s v="Entregado"/>
    <s v="Verificar"/>
    <m/>
    <m/>
  </r>
  <r>
    <x v="15"/>
    <s v="19/04/2018"/>
    <x v="12"/>
    <s v="Erradicación de la extrema pobreza"/>
    <s v="0102"/>
    <s v="Combatir la pobreza social."/>
    <n v="1"/>
    <s v="1.2.1"/>
    <n v="13"/>
    <s v="1.2.13"/>
    <s v="0102013"/>
    <s v="Se ha recuperado, fortalecido e incrementado la práctica de al menos 5 valores compartidos y prácticas comunitarias: ayni, mink´a, tama, thumpa, arete guasu y apthapi, en organizaciones barriales, comunitarias, instituciones públicas, privadas, municipios y organizaciones sociales."/>
    <s v="Pobreza Social"/>
    <s v="Explotación, Discriminación, Racismo"/>
    <s v="Proceso"/>
    <s v="Cultural y Afectiva"/>
    <s v="Culturas"/>
    <m/>
    <m/>
    <s v="PC"/>
    <m/>
    <m/>
    <m/>
    <m/>
    <n v="0"/>
    <n v="1"/>
    <s v="Etapa 1"/>
    <m/>
    <m/>
    <m/>
    <m/>
    <m/>
    <x v="1"/>
    <m/>
    <n v="1"/>
    <s v="01020131"/>
    <x v="177"/>
    <s v="Impacto"/>
    <m/>
    <s v="NA"/>
    <s v="Porcentaje"/>
    <s v="Es la proporción de Unidades Educativas que implementan acciones de recuperación de las prácticas comunitarias y conocimientos ancestrales."/>
    <s v="%UEIRPCCA = ∑UEIRPCCA/∑TUE_x000a_%UEIRPCCA =  Porcentaje de Unidades Educativas que implementan acciones de recuperación de las prácticas comunitarias y conocimientos ancestrales._x000a_∑UEIRPCCA = Sumatoria del número de Unidades Educativas que implementan acciones de recuperación de las prácticas comunitarias y conocimientos ancestrales._x000a_∑TUE = Sumatoria total de Unidades Educativas a nivel nacional."/>
    <s v="Es el número de Unidades Educativas que implementan acciones de recuperación de las prácticas comunitarias y conocimientos ancestrales."/>
    <s v="Registros administrativos"/>
    <s v="Total de Unidades Educativas a nivel nacional."/>
    <s v="Ministerio de Educación"/>
    <s v="2016 - 2017"/>
    <s v="NA"/>
    <n v="1"/>
    <s v="010201311"/>
    <s v="MDCyT - VD"/>
    <s v="Viceministerio de Descolonizacion"/>
    <s v="Registro Administrativo"/>
    <s v="Anual"/>
    <s v="2016-2017"/>
    <s v="Nacional"/>
    <s v="NA"/>
    <s v="Registro de entrega de libro &quot;La Revolución India&quot; a estudiantes de 6to. de secundaria, seguimiento de lectura y debate."/>
    <s v="La información se encuentra en proceso de informatización ."/>
    <s v="Ministerio de Culturas y Turismo - MDCyT"/>
    <s v="Viceministerio de Descolonizacion - VD"/>
    <s v="Direccion General de Administración Pública Plurinacional - DGAPP"/>
    <s v="Sandro Canqui 2118644"/>
    <n v="2015"/>
    <n v="8.1632653061224493E-4"/>
    <n v="4.7619047619047616E-2"/>
    <m/>
    <n v="4.6802721088435369E-2"/>
    <m/>
    <n v="1.0176870748299318E-2"/>
    <m/>
    <m/>
    <m/>
    <n v="1.9537414965986391E-2"/>
    <m/>
    <m/>
    <m/>
    <n v="2.8897959183673463E-2"/>
    <m/>
    <m/>
    <m/>
    <n v="3.8258503401360541E-2"/>
    <m/>
    <m/>
    <m/>
    <n v="4.7619047619047616E-2"/>
    <m/>
    <s v=" "/>
    <s v=" "/>
    <m/>
    <m/>
    <m/>
    <m/>
    <m/>
  </r>
  <r>
    <x v="15"/>
    <s v="27/04/2018"/>
    <x v="12"/>
    <s v="Erradicación de la extrema pobreza"/>
    <s v="0102"/>
    <s v="Combatir la pobreza social."/>
    <n v="6"/>
    <s v="1.2.6"/>
    <n v="18"/>
    <s v="1.2.18"/>
    <s v="0102018"/>
    <s v="Se ha logrado la recuperación de las identidades individuales y colectivas para el fortalecimiento de la identidad plurinacional."/>
    <s v="Pobreza Social"/>
    <s v="Explotación, Discriminación, Racismo"/>
    <s v="Resultado"/>
    <s v="Cultural y Afectiva"/>
    <s v="Culturas"/>
    <m/>
    <m/>
    <s v="RS"/>
    <n v="1"/>
    <m/>
    <s v="M.Culturas y Turismo"/>
    <m/>
    <n v="1"/>
    <n v="0"/>
    <s v="Etapa 1"/>
    <m/>
    <m/>
    <m/>
    <m/>
    <s v="El indicador del INE no existe, se propone Reformular: % de centros patrimonio de la humanidad en el país que implementan un modelo de gestión con base a estándares internacionales "/>
    <x v="1"/>
    <m/>
    <n v="1"/>
    <s v="01020181"/>
    <x v="178"/>
    <s v="Impacto"/>
    <m/>
    <s v="NA"/>
    <s v="Porcentaje"/>
    <s v="Es la proporción de municipios que emplean sitios sagrados para el fortalecimiento de sus identidades culturales."/>
    <s v="%MESS = ∑SMESS/∑TM_x000a_%MESS = Porcentaje de municipios que emplean sitios sagrados para el fortalecimiento de sus identidades culturales._x000a_∑SMESS= Sumatoria de municipios que emplean sitios sagrados donde las personas participan con acciones para el fortalecimiento de la identidad plurinacional._x000a_∑TM = Sumatoria total de Municipios a nivel nacional._x000a_"/>
    <s v="Es el número de municipios que emplean sitios sagrados donde las personas participan con acciones para el fortalecimiento de la identidad plurinacional."/>
    <s v="Registros administrativos"/>
    <s v="Número total de municipios a nivel nacional."/>
    <s v="Instituto Nacional de Estadistica (INE)"/>
    <s v="2015 - 2017"/>
    <s v="NA"/>
    <n v="1"/>
    <s v="010201811"/>
    <s v="MDCyT - VD"/>
    <s v="Viceministerio de Descolonizacion"/>
    <s v="Registro Administrativo"/>
    <s v="Anual"/>
    <s v="2015 - 2017"/>
    <s v="Nacional"/>
    <s v="Nacional"/>
    <s v="Registro de sitios sagrados identificados por municipio."/>
    <s v="La información se encuentra en proceso de informatización ."/>
    <s v="Ministerio de Culturas y Turismo - MDCyT"/>
    <s v="Viceministerio de Descolonizacion - VD"/>
    <s v="Direccion General de Administración Pública Plurinacional - DGAPP"/>
    <s v="Sandro Canqui 2118645"/>
    <n v="2015"/>
    <n v="5.0147492625368731E-2"/>
    <n v="0.1"/>
    <m/>
    <n v="4.9852507374631275E-2"/>
    <m/>
    <n v="6.0117994100294989E-2"/>
    <m/>
    <m/>
    <m/>
    <n v="7.0088495575221232E-2"/>
    <m/>
    <m/>
    <m/>
    <n v="8.005899705014749E-2"/>
    <m/>
    <m/>
    <m/>
    <n v="9.0029498525073748E-2"/>
    <m/>
    <m/>
    <m/>
    <n v="0.1"/>
    <m/>
    <s v=" "/>
    <s v=" "/>
    <m/>
    <m/>
    <m/>
    <m/>
    <m/>
  </r>
  <r>
    <x v="15"/>
    <s v="27/04/2020"/>
    <x v="12"/>
    <s v="Erradicación de la extrema pobreza"/>
    <s v="0104"/>
    <s v="Combatir la discriminación y el racismo."/>
    <n v="1"/>
    <s v="1.4.1"/>
    <n v="24"/>
    <s v="1.4.24"/>
    <s v="0104024"/>
    <s v="Se ha avanzado sustancialmente en la reducción de la violencia escolar en centros educativo y en la erradicación de toda forma de abuso, agresión, acoso y violencia por discriminación y racismo en instituciones públicas, privadas y centros laborales."/>
    <s v="Pobreza Espiritual"/>
    <s v="Ser humano integral"/>
    <s v="Resultado"/>
    <s v="Cultural y Afectiva"/>
    <s v="Justicia"/>
    <n v="1"/>
    <n v="1"/>
    <s v="RS"/>
    <m/>
    <n v="1"/>
    <s v="Educación_x000a_M.Justicia_x000a_M.Culturas y Turismo"/>
    <m/>
    <n v="1"/>
    <n v="0"/>
    <s v="Etapa 1"/>
    <m/>
    <m/>
    <s v="10.3 Garantizar la igualdad de oportunidades y reducir la desigualdad de resultados, incluso eliminando las leyes, políticas y prácticas discriminatorias y promoviendo legislaciones, políticas y medidas adecuadas a ese respecto"/>
    <s v="10.3.1 Porcentaje de la población que declara haberse sentido personalmente víctima de discriminación o acoso en los últimos 12 meses por motivos de discriminación prohibidos por el derecho internacional de los derechos humanos"/>
    <m/>
    <x v="1"/>
    <m/>
    <n v="1"/>
    <s v="01040241"/>
    <x v="179"/>
    <s v="Impacto"/>
    <m/>
    <s v="NA"/>
    <s v="Porcentaje"/>
    <s v="Es la proporción de servidores públicos capacitados en la Ley Nº 045."/>
    <s v="%SPCL = ∑PIPL/∑PTSPC_x000a_donde:_x000a_%SPCL = Porcentaje de servidores públicos capacitados en la Ley Nº 045._x000a_∑PIPL= Sumatoria del número total de servidores publicos capacitados en instituciones públicas en la Ley Nº 045._x000a_∑PTSPC= Sumatoria total de servidores públicos a nivel nacional."/>
    <s v="Número total de servidores públicos capacitados en la Ley Nº 045."/>
    <s v="Registros administrativos"/>
    <s v="Número total de servidores públicos a nivel nacional."/>
    <s v="Ministerio de Economia y Finanzas (MEF)"/>
    <n v="2016"/>
    <m/>
    <n v="1"/>
    <s v="010402411"/>
    <s v="MDCyT - VD"/>
    <s v="Viceministerio de Descolonizacion"/>
    <s v="Registro Administrativo"/>
    <s v="Anual"/>
    <n v="2016"/>
    <s v="Nacional"/>
    <s v="Nacional"/>
    <s v="Informe sobre el registro de servidores públicos a nivel nacional expedido por el Instituto Nacional de Estadistica (INE)"/>
    <s v="NA"/>
    <s v="Ministerio de Culturas y Turismo - MDCyT"/>
    <s v="Viceministerio de Descolonizacion - VD"/>
    <s v="Direccion General de Lucha Contra el Racismo - DGLCR"/>
    <s v="Leoncio Gutierrez  _x000a_2116793"/>
    <n v="2015"/>
    <n v="1.2025714285714285E-2"/>
    <n v="3.9285714285714285E-2"/>
    <m/>
    <n v="2.726E-2"/>
    <m/>
    <n v="1.7477714285714284E-2"/>
    <m/>
    <m/>
    <m/>
    <n v="2.2929714285714286E-2"/>
    <m/>
    <m/>
    <m/>
    <n v="2.8381714285714288E-2"/>
    <m/>
    <m/>
    <m/>
    <n v="3.3833714285714286E-2"/>
    <m/>
    <m/>
    <m/>
    <n v="3.9285714285714285E-2"/>
    <m/>
    <s v=" "/>
    <s v=" "/>
    <m/>
    <m/>
    <m/>
    <m/>
    <m/>
  </r>
  <r>
    <x v="15"/>
    <s v="27/04/2022"/>
    <x v="12"/>
    <s v="Erradicación de la extrema pobreza"/>
    <s v="0104"/>
    <s v="Combatir la discriminación y el racismo."/>
    <n v="3"/>
    <s v="1.4.3"/>
    <n v="26"/>
    <s v="1.4.26"/>
    <s v="0104026"/>
    <s v="Instituciones del Sistema Educativo y de profesionalización implementan políticas y currículas de prevención y lucha contra el racismo y toda forma de discriminación."/>
    <s v="Pobreza Espiritual"/>
    <s v="Ser humano integral"/>
    <s v="Proceso"/>
    <s v="Política e Institucional"/>
    <s v="Justicia"/>
    <m/>
    <n v="1"/>
    <s v="PC"/>
    <m/>
    <m/>
    <m/>
    <m/>
    <n v="0"/>
    <n v="1"/>
    <s v="Etapa 1"/>
    <m/>
    <n v="10"/>
    <s v="10.3 Garantizar la igualdad de oportunidades y reducir la desigualdad de resultados, incluso eliminando las leyes, políticas y prácticas discriminatorias y promoviendo legislaciones, políticas y medidas adecuadas a ese respecto"/>
    <s v="10.3.1 Porcentaje de la población que declara haberse sentido personalmente víctima de discriminación o acoso en los últimos 12 meses por motivos de discriminación prohibidos por el derecho internacional de los derechos humanos"/>
    <m/>
    <x v="1"/>
    <m/>
    <n v="1"/>
    <s v="01040261"/>
    <x v="180"/>
    <s v="Impacto"/>
    <m/>
    <s v="NA"/>
    <s v="Estudiante"/>
    <s v="Porcentaje de estudiantes de nivel secundario que conocen la Ley Nº 045. "/>
    <s v="%EDEL= ∑NEL/∑NTENN_x000a_donde:_x000a_%EDEL= Es el porcentaje de estudiantes de nivel secundario que conocen la Ley Nº 045. _x000a_∑NEL= Sumatoria del número de estudiantes de nivel secundario capacitados en la Ley 045 _x000a_∑NTENN= Sumatoria del número total de estudiantes de nivel secundario a nivel nacional."/>
    <s v="Número de estudiantes de nivel secundario que conocen la Ley N° 045."/>
    <s v="Registros administrativos"/>
    <s v="Es el número total de estudiantes de nivel secundario a nivel nacional."/>
    <s v="Ministerio de Educación"/>
    <n v="2016"/>
    <m/>
    <n v="1"/>
    <s v="010402611"/>
    <s v="MDCyT - VD"/>
    <s v="Viceministerio de Descolonizacion"/>
    <s v="Registro Administrativo"/>
    <s v="Anual"/>
    <n v="2016"/>
    <s v="Nacional"/>
    <s v="Nacional"/>
    <s v="Planillas de registro de estudiantes capacitados, informes de capacitación."/>
    <m/>
    <s v="Ministerio de Culturas y Turismo - MDCyT"/>
    <s v="Viceministerio de Descolonizacion - VD"/>
    <s v="Direccion General de Lucha Contra el Racismo - DGLCR"/>
    <s v="Leoncio Gutierrez _x000a_2116793"/>
    <n v="2015"/>
    <n v="6.6666666666666664E-4"/>
    <n v="0.01"/>
    <m/>
    <n v="9.3333333333333341E-3"/>
    <m/>
    <n v="2.5333333333333336E-3"/>
    <m/>
    <m/>
    <m/>
    <n v="4.4000000000000003E-3"/>
    <m/>
    <m/>
    <m/>
    <n v="6.2666666666666678E-3"/>
    <m/>
    <m/>
    <m/>
    <n v="8.1333333333333344E-3"/>
    <m/>
    <m/>
    <m/>
    <n v="0.01"/>
    <m/>
    <s v=" "/>
    <s v=" "/>
    <m/>
    <m/>
    <m/>
    <m/>
    <m/>
  </r>
  <r>
    <x v="15"/>
    <s v="27/04/2028"/>
    <x v="12"/>
    <s v="Erradicación de la extrema pobreza"/>
    <s v="0106"/>
    <s v="Construir un ser humano integral para Vivir Bien."/>
    <n v="2"/>
    <s v="1.6.2"/>
    <n v="37"/>
    <s v="1.6.37"/>
    <s v="0106037"/>
    <s v="Se combaten prácticas colonialistas, patriarcales y excluyentes en las entidades públicas, privadas, sociales, comunitarias y educativas."/>
    <s v="Pobreza Espiritual"/>
    <s v="Ser humano integral"/>
    <s v="Proceso"/>
    <s v="Cultural y Afectiva"/>
    <s v="Culturas"/>
    <m/>
    <m/>
    <s v="PC"/>
    <m/>
    <m/>
    <m/>
    <m/>
    <n v="0"/>
    <n v="1"/>
    <s v="Etapa 1"/>
    <m/>
    <n v="5"/>
    <s v="5.5 Asegurar la participación plena y efectiva de las mujeres y la igualdad de oportunidades de liderazgo a todos los niveles decisorios en la vida política, económica y pública"/>
    <s v="5.5.1 Proporción de escaños ocupados por mujeres en los parlamentos nacionales y los gobiernos locales_x000a_5.5.2 Proporción de mujeres en cargos directivos"/>
    <m/>
    <x v="1"/>
    <m/>
    <n v="1"/>
    <s v="01060371"/>
    <x v="181"/>
    <s v="Impacto"/>
    <m/>
    <s v="NA"/>
    <s v="Porcentaje"/>
    <s v="Porcentaje de denuncias por casos de racismo y discrimimacion que concluyeron con sanción."/>
    <s v="%DCRDS = ∑DCCRD/∑TDCRD_x000a_%DCRDS = Porcentaje de denuncias por casos de racismo y discrimimacion que concluyeron con sanción._x000a_∑MCPEP = Sumatoria de denuncias por casos de racismo y discriminacion que concluyeron con sanción_x000a_∑TDCRD = Sumatoria total de denuncias por casos de racismo y discrimacion."/>
    <s v="Número de denuncias por casos de racismo y discrimimacion que concluyeron con sanción."/>
    <s v="Registros Administrativos del Ministerio Público (Delitos Penales)._x000a_Registros Administrativos del _x000a_Comité Nacional de Lucha contra el Racismo y toda forma de Discriminación (Faltas Administrativas)."/>
    <s v="Número total de denuncias por casos de racismo y discrimacion."/>
    <s v="Registros Administrativos del Ministerio Público (Delitos Penales)._x000a_Registros Administrativos del _x000a_Comité Nacional de Lucha contra el Racismo y toda forma de Discriminación (Faltas Administrativas)"/>
    <s v="2012 - 2017"/>
    <s v="NA"/>
    <n v="1"/>
    <s v="010603711"/>
    <s v="MDCyT - VD"/>
    <s v="Viceministerio de Descolonizacion"/>
    <s v="Registro Administrativo"/>
    <s v="Anual"/>
    <s v="2012 - 2017"/>
    <s v="Nacional"/>
    <s v="Nacional"/>
    <s v="Notas de denuncias con fotocopias de CI del denunciante, formularios de recepción de denuncias."/>
    <s v="NA"/>
    <s v="Ministerio de Culturas y Turismo - MDCyT"/>
    <s v="Viceministerio de Descolonizacion - VD"/>
    <s v="Direccion General de Lucha Contra el Racismo - DGLCR"/>
    <s v="Leoncio Gutierrez_x000a_2118644"/>
    <n v="2015"/>
    <n v="0.11224489795918367"/>
    <n v="0.25"/>
    <m/>
    <n v="0.13775510204081631"/>
    <m/>
    <n v="0.13979591836734695"/>
    <m/>
    <m/>
    <m/>
    <n v="0.16734693877551021"/>
    <m/>
    <m/>
    <m/>
    <n v="0.19489795918367347"/>
    <m/>
    <m/>
    <m/>
    <n v="0.22244897959183674"/>
    <m/>
    <m/>
    <m/>
    <n v="0.25"/>
    <m/>
    <s v=" "/>
    <s v=" "/>
    <m/>
    <m/>
    <m/>
    <m/>
    <m/>
  </r>
  <r>
    <x v="15"/>
    <m/>
    <x v="12"/>
    <s v="Erradicación de la extrema pobreza"/>
    <s v="0103"/>
    <s v="En Bolivia, ya no existen las comunidades cautivas, ninguna forma de pongueaje y esclavismo, y explotación en el trabajo infantil"/>
    <n v="4"/>
    <m/>
    <m/>
    <m/>
    <s v="0103022"/>
    <s v="Se ha avanzado significativamente hacia la reducción de la Trata y Tráfico de Personas y delitos conexos."/>
    <m/>
    <m/>
    <s v="Producto"/>
    <m/>
    <m/>
    <m/>
    <m/>
    <m/>
    <m/>
    <m/>
    <m/>
    <m/>
    <n v="0"/>
    <n v="1"/>
    <s v="Etapa 1"/>
    <m/>
    <n v="10"/>
    <s v="10.7  Facilitar la migración y la movilidad ordenadas, seguras, regulares y responsables de las personas, incluso mediante la aplicación de políticas migratorias planificadas y bien gestionadas"/>
    <s v="10.7.3* Número de víctimas detectadas y no detectadas de la trata de personas por cada 100.000 habitantes, por sexo, grupo de edad y tipo de explotación"/>
    <m/>
    <x v="0"/>
    <m/>
    <n v="1"/>
    <s v="01030221"/>
    <x v="182"/>
    <s v="Producto "/>
    <m/>
    <s v=" Edad, sexo, lugar de denuncia, mes de denuncia, tipo de delito (trata, tráfico, pornografía y proxenetismo)  y departamento"/>
    <s v="Tasa"/>
    <s v="Denuncias  de trata   de personas  por cada 100 mil habitantes "/>
    <s v="(numero de Denuncias  de  trata  de personas )/(Población total)*100.000"/>
    <s v="Número de denuncias de trata de personas "/>
    <s v="OBDSCD _x000a_Departamento Nacional de Estadistica de  Policia Boliviana"/>
    <s v="Población total "/>
    <s v="INE-Proyecciones de poblacion"/>
    <s v="2015-2017"/>
    <s v="Existencia de información sistematizada  anual"/>
    <m/>
    <m/>
    <s v="OBSCD"/>
    <s v="Observatorio Boliviano de Seguridad Ciudadana y Lucha Contra las Drogas "/>
    <s v="Registro Administrativo"/>
    <s v="Semestral "/>
    <s v="2015-2017"/>
    <s v="A nivel nacional "/>
    <s v="No aplica"/>
    <s v="Denuncias de trata de personas registradas en la Policia Boliviana_x000a_"/>
    <m/>
    <s v="Ministerio de Gobierno "/>
    <s v="Observatorio Boliviano de Seguridad Ciudadana y Lucha Contra las Drogas - OBSCD_x000a_Viceministerio de Seguridad Ciudadana - VMSC"/>
    <s v="Observatorio Boliviano de Seguridad Ciudadana y Lucha Contra las Drogas _x000a_Viceministerio de Seguridad Ciudadana - Dirección General de Trata y Tráfico de Personas _x000a_Policía Boliviana - Departamento Nacional de Estadistica"/>
    <s v="OBSCD _x000a_2145986_x000a_Patricia Miranda_x000a__x000a_Viceministerio de Seguridad Ciudadana 2120003_x000a_Marlene Calvo_x000a__x000a_Policia Boliviana  2430555_x000a_Miguel Morales "/>
    <n v="2015"/>
    <n v="3.4"/>
    <n v="4"/>
    <n v="3"/>
    <s v="-"/>
    <n v="5"/>
    <s v="-"/>
    <n v="3.8"/>
    <m/>
    <m/>
    <s v="-"/>
    <n v="3.6"/>
    <m/>
    <m/>
    <m/>
    <m/>
    <m/>
    <m/>
    <m/>
    <m/>
    <m/>
    <m/>
    <m/>
    <m/>
    <m/>
    <m/>
    <m/>
    <m/>
    <m/>
    <m/>
    <m/>
  </r>
  <r>
    <x v="15"/>
    <m/>
    <x v="12"/>
    <s v="Erradicación de la extrema pobreza"/>
    <s v="0103"/>
    <s v="En Bolivia, ya no existen las comunidades cautivas, ninguna forma de pongueaje y esclavismo, y explotación en el trabajo infantil"/>
    <n v="4"/>
    <m/>
    <m/>
    <m/>
    <s v="0103022"/>
    <s v="Se ha avanzado significativamente hacia la reducción de la Trata y Tráfico de Personas y delitos conexos."/>
    <s v="Pobreza y Desigualdad"/>
    <s v="Poblaciones Vulnerables"/>
    <s v="Producto"/>
    <m/>
    <m/>
    <m/>
    <m/>
    <m/>
    <m/>
    <m/>
    <m/>
    <m/>
    <n v="0"/>
    <n v="1"/>
    <s v="Etapa 1"/>
    <m/>
    <m/>
    <m/>
    <m/>
    <m/>
    <x v="1"/>
    <m/>
    <m/>
    <m/>
    <x v="183"/>
    <s v="Producto "/>
    <m/>
    <s v=" Edad, sexo, lugar de denuncia, mes de denuncia, tipo de delito (trata, tráfico, pornografía y proxenetismo)  y departamento"/>
    <s v="Tasa"/>
    <s v="Denuncias  de  tráfico de personas, pornografía, proxenetismo y violencia sexual comercial  por cada 100 mil habitantes "/>
    <s v="Numero de denuncias  de  tráfico de personas, pornografía, proxenetismo y delitos conexos )/(Población total)*100.000"/>
    <s v="Numero de denuncias  de  tráfico de personas, pornografía, proxenetismo y delitos conexos "/>
    <s v="OBDSCD _x000a_Departamento Nacional de Estadistica de  Policia Boliviana"/>
    <s v="Población total "/>
    <s v="INE-Proyecciones de poblacion"/>
    <s v="2015-2017"/>
    <s v="Existencia de información sistematizada  anual"/>
    <m/>
    <m/>
    <s v="OBSCD"/>
    <s v="Observatorio Boliviano de Seguridad Ciudadana y Lucha Contra las Drogas "/>
    <s v="Registro Administrativo"/>
    <s v="Semestral "/>
    <s v="2015-2018"/>
    <s v="A nivel nacional "/>
    <m/>
    <s v="Denuncias de tráfico de personas, pornografía,  proxenetismo y violencia sexual comercial._x000a_"/>
    <m/>
    <s v="Ministerio de Gobierno "/>
    <s v="Observatorio Boliviano de Seguridad Ciudadana y Lucha Contra las Drogas - OBSCD"/>
    <s v="Observatorio Boliviano de Seguridad Ciudadana y Lucha Contra las Drogas  _x000a_Policía Boliviana - Departamento Nacional de Estadistica"/>
    <s v="OBSCD _x000a_2145986_x000a_Patricia Miranda_x000a__x000a_Viceministerio de Seguridad Ciudadana 2120003_x000a_Marlene Calvo_x000a__x000a_Policia Boliviana  2430555_x000a_Miguel Morales "/>
    <n v="2015"/>
    <n v="0.54"/>
    <n v="1.2"/>
    <n v="1.2"/>
    <m/>
    <m/>
    <m/>
    <n v="0.63"/>
    <m/>
    <s v="-"/>
    <s v="-"/>
    <n v="0.57999999999999996"/>
    <m/>
    <m/>
    <m/>
    <m/>
    <m/>
    <m/>
    <m/>
    <m/>
    <m/>
    <m/>
    <m/>
    <m/>
    <m/>
    <m/>
    <m/>
    <m/>
    <m/>
    <m/>
    <m/>
  </r>
  <r>
    <x v="15"/>
    <m/>
    <x v="12"/>
    <s v="Erradicación de la extrema pobreza"/>
    <s v="0105"/>
    <s v="Combatir la pobreza espiritual."/>
    <n v="3"/>
    <m/>
    <m/>
    <m/>
    <s v="0105031"/>
    <s v="Se ha reducido el consumo de bebidas alcohólicas que genera violencia y el expendio de otras bebidas nocivas para la salud."/>
    <m/>
    <m/>
    <s v="Impacto"/>
    <m/>
    <m/>
    <m/>
    <m/>
    <m/>
    <m/>
    <m/>
    <m/>
    <m/>
    <n v="1"/>
    <n v="0"/>
    <s v="ETAPA 3"/>
    <m/>
    <n v="3"/>
    <s v="3.5 Fortalecer la prevención y el tratamiento del abuso de sustancias adictivas, incluido el uso indebido de estupefacientes y el consumo nocivo de alcohol"/>
    <s v="3.5.2 Consumo nocivo de alcohol, definido según el contexto nacional como el consumo per cápita de alcohol (15 años y mayores) en un año civil en litros de alcohol puro"/>
    <s v=" "/>
    <x v="0"/>
    <m/>
    <n v="1"/>
    <s v="01050311"/>
    <x v="184"/>
    <s v="Impacto"/>
    <m/>
    <s v="Sexo y ciudad"/>
    <s v="Porcentaje"/>
    <s v="Proporción de la población de 12 a 65 años que consume alcohol en los ultimos 12 meses."/>
    <s v="(Número de personas que consumen alcohol durante los ultimos 12 meses/ Población total del grupo en consideración)*100"/>
    <s v="Número de personas que consumen alcohol en los ultimos 12 meses"/>
    <s v="OBDSCD _x000a_"/>
    <s v="Población total del grupo en consideración"/>
    <s v="OBSCD"/>
    <n v="2014"/>
    <s v="El indicador abarca a la edades de 12 a 65 años, y son comparables a nivel regional (paises andinos)."/>
    <m/>
    <m/>
    <s v="OBSCD"/>
    <s v="OBSCD"/>
    <s v="Encuesta a Hogares sobre consumo de drogas"/>
    <s v="Cada 4 años "/>
    <s v="2007- 2014"/>
    <s v="A nivel nacional en ciudades capitales mas El Alto"/>
    <s v="Ciudades capitales y El Alto"/>
    <s v="Frecuencia de consumo, tipos de bebidas, temporalidad (mes, año y vida), edad promedio de inicio, familiares que consumen y grado de dependencia. Otras variables de Consumo de drogas"/>
    <s v="Los estudios son realizados en el marco de la Estrategia de Lucha contra el Narcotrafico y C ontrol de Cultivos Excedentarios de Coca 2016-2020, Pilar 2 &quot;Reducción de la Demanda&quot;"/>
    <s v="Ministerio de Gobierno "/>
    <s v="Observatorio Boliviano de Seguridad Ciudadana y Lucha Contra las Drogas - OBSCD "/>
    <s v="Observatorio Boliviano de Seguridad Ciudadana y Lucha Contra las Drogas - OBSCD "/>
    <s v="OBSCD _x000a_2145986_x000a_ Roberto Ríos_x000a_ Carlos Oyola_x000a__x000a_Viceministerio de Seguridad Ciudadana _x000a_2120003_x000a_Jorge Cusicanqui_x000a_Fernando Fuentes"/>
    <n v="2014"/>
    <s v="48,5% _x000a_"/>
    <s v="Proyectar en base a los datos 2007 Y 2014  y las acciones a realizar  VMSC"/>
    <s v="Proyectar en base a los datos 2007 Y 2014  y las acciones a realizar  VMSC"/>
    <m/>
    <s v="-"/>
    <m/>
    <m/>
    <m/>
    <m/>
    <m/>
    <m/>
    <m/>
    <m/>
    <m/>
    <m/>
    <m/>
    <m/>
    <m/>
    <m/>
    <m/>
    <m/>
    <m/>
    <m/>
    <m/>
    <m/>
    <m/>
    <m/>
    <m/>
    <m/>
    <m/>
  </r>
  <r>
    <x v="15"/>
    <m/>
    <x v="12"/>
    <s v="Erradicación de la extrema pobreza"/>
    <s v="0105"/>
    <s v="Combatir la pobreza espiritual."/>
    <n v="3"/>
    <m/>
    <m/>
    <m/>
    <s v="0105031"/>
    <s v="Se ha reducido el consumo de bebidas alcohólicas que genera violencia y el expendio de otras bebidas nocivas para la salud."/>
    <m/>
    <m/>
    <s v="Impacto"/>
    <m/>
    <m/>
    <m/>
    <m/>
    <m/>
    <m/>
    <m/>
    <m/>
    <m/>
    <n v="1"/>
    <n v="0"/>
    <s v="Etapa 2"/>
    <m/>
    <m/>
    <s v="3.5 Fortalecer la prevención y el tratamiento del abuso de sustancias adictivas, incluido el uso indebido de estupefacientes y el consumo nocivo de alcohol"/>
    <s v="3.5.2 Consumo nocivo de alcohol, definido según el contexto nacional como el consumo per cápita de alcohol (15 años y mayores) en un año civil en litros de alcohol puro"/>
    <m/>
    <x v="0"/>
    <m/>
    <m/>
    <m/>
    <x v="185"/>
    <s v="Impacto"/>
    <m/>
    <s v="Sexo, ciudad"/>
    <s v="Porcentaje "/>
    <s v="Proporción de la población escolar  de 13 a 18 años que consume alcohol en los ultimos 12 meses. "/>
    <s v="(Poblacion escolar de 13 a 18 años que consumen alcohol en los ultimos 12 meses/ Población total del grupo en consideración)*100"/>
    <s v="Número de personas que consumen alcohol "/>
    <s v="OBSCD"/>
    <s v="Población total del grupo en consideración"/>
    <s v="OBSCD"/>
    <n v="2008"/>
    <s v="El indicador abarca a la edades de 13 a 19 años, y son comparables a nivel regional (paises andinos)."/>
    <m/>
    <s v="OBSCD"/>
    <s v="Encuesta Nacional en Población Escolar sobre Consumo de Drogas"/>
    <s v="Encuesta Nacional en Población Escolar sobre Consumo de Drogas"/>
    <s v="Encuesta a Unidades Educativas "/>
    <s v="Cada 4 años "/>
    <s v="2004_x000a_2008_x000a_2017(p)"/>
    <s v="A nivel nacional en ciudades capitales mas El Alto"/>
    <s v="Ciudades capitales y El Alto"/>
    <s v="Consumo de alcohol y otras drogas"/>
    <s v="Los estudios son realizados en el marco de la Estrategia de Lucha contra el Narcotrafico y control de Cultivos Excedentarios de Coca 2016-2020, pilar 2 &quot;Reducción de la Demanda&quot;. La informacion correspondiente a la gestion 2017 aun no esta disponible"/>
    <s v="Ministerio de Gobierno"/>
    <s v="Observatorio Boliviano de Seguridad Ciudadana y Lucha Contra las Drogas "/>
    <s v="Observatorio Boliviano de Seguridad Ciudadana y Lucha Contra las Drogas "/>
    <s v="OBSCD _x000a_2145986_x000a_ Roberto Ríos_x000a_ Carlos Oyola_x000a__x000a_Viceministerio de Seguridad Ciudadana _x000a_2120003_x000a_Jorge Cusicanqui_x000a_Fernando Fuentes"/>
    <n v="2008"/>
    <n v="0.35399999999999998"/>
    <s v="Proyectar en base a  los datos 2004-2008 y las acciones a realizar _x000a_VMSC"/>
    <s v="Proyectar en base a  los datos 2004-2008 y las acciones a realizar _x000a_VMSC"/>
    <m/>
    <m/>
    <m/>
    <m/>
    <m/>
    <m/>
    <m/>
    <m/>
    <m/>
    <m/>
    <m/>
    <m/>
    <m/>
    <m/>
    <m/>
    <m/>
    <m/>
    <m/>
    <m/>
    <m/>
    <m/>
    <m/>
    <m/>
    <m/>
    <m/>
    <m/>
    <m/>
  </r>
  <r>
    <x v="15"/>
    <m/>
    <x v="12"/>
    <s v="Erradicación de la extrema pobreza"/>
    <s v="0105"/>
    <s v="Combatir la pobreza espiritual."/>
    <n v="3"/>
    <m/>
    <m/>
    <m/>
    <s v="0105031"/>
    <s v="Se ha reducido el consumo de bebidas alcohólicas que genera violencia y el expendio de otras bebidas nocivas para la salud."/>
    <m/>
    <m/>
    <s v="Impacto"/>
    <m/>
    <m/>
    <m/>
    <m/>
    <m/>
    <m/>
    <m/>
    <m/>
    <m/>
    <n v="1"/>
    <n v="0"/>
    <s v="Etapa 1"/>
    <m/>
    <m/>
    <s v="3.5 Fortalecer la prevención y el tratamiento del abuso de sustancias adictivas, incluido el uso indebido de estupefacientes y el consumo nocivo de alcohol"/>
    <s v="3.5.2 Consumo nocivo de alcohol, definido según el contexto nacional como el consumo per cápita de alcohol (15 años y mayores) en un año civil en litros de alcohol puro"/>
    <m/>
    <x v="0"/>
    <m/>
    <m/>
    <m/>
    <x v="186"/>
    <s v="Impacto"/>
    <m/>
    <s v="Sexo, ciudad, grupo de edad"/>
    <s v="Porcentaje "/>
    <s v="Proporción de la población universitaria  de 19 a 25 años que consume alcohol en los ultimos 12 meses"/>
    <s v="Poblacion universitaria de 19 a 25 años que consume alcohol en los ultimos 12 meses/ Población total del grupo en consideración)*100"/>
    <s v="Poblacion universitaria de 19 a 25 años que consume alcohol en los ultimos 12 meses"/>
    <s v="OBSCD"/>
    <s v="Población total del grupo en consideración"/>
    <s v="OBSCD"/>
    <n v="2008"/>
    <s v="El indicador abarca a la edades de 18 a 25 años, y son comparables a nivel regional (paises andinos)."/>
    <m/>
    <m/>
    <s v="OBSCD"/>
    <s v="Observatorio Boliviano de Seguridad Ciudadana y Lucha Contra las Drogas"/>
    <s v="Encuesta en linea  en 2 Universidades Públicas( (Cochabamba, Santa Cruz y Chuquisaca) y 5 Privadas "/>
    <s v="Cada 4 años "/>
    <s v="2008_x000a_2012_x000a_ 2016"/>
    <s v="Universidad Mayor de San Simón_x000a_Universidad Autónoma Gabriel René Moreno_x000a_Universidad Mayor, Real y Pontificia de San Francisco Xavier_x000a_Universidad Privada del Valle_x000a_Universidad Privada Abierta Latinoamericana_x000a_Universidad de Aquino Bolivia_x000a_Universidad Tecnológica Privada de Santa Cruz_x000a_Universidad Privada de Santa Cruz de la Sierra"/>
    <s v="Universidades "/>
    <s v="Consumo de drogas y alcohol:Prevalencia (Mes, año y vida) _x000a_Incidencia /mes y año) _x000a_Percepción de riesgo por consumo frecuente_x000a_Dependencia_x000a__x000a_"/>
    <s v="Los estudios son realizados en el marco de la Estrategia de Lucha contra el Narcotrafico y Control de Cultivos Excedentarios de Coca 2016-2020, Pilar 2 &quot;Reducción de la Demanda&quot;"/>
    <s v="Ministerio de Gobierno"/>
    <s v="Observatorio Boliviano de Seguridad Ciudadana y Lucha Contra las Drogas "/>
    <s v="Observatorio Boliviano de Seguridad Ciudadana y Lucha Contra las Drogas "/>
    <s v="OBSCD _x000a_2145986_x000a_ Roberto Ríos_x000a_ Carlos Oyola_x000a__x000a_Viceministerio de Seguridad Ciudadana _x000a_2120003_x000a_Jorge Cusicanqui_x000a_Fernando Fuentes"/>
    <n v="2012"/>
    <n v="0.56999999999999995"/>
    <s v="Proyectar en base a los datos 2008-2012 y las acciones a realizar _x000a_VMSC"/>
    <s v="Proyectar en base a los datos 2008-2012 y las acciones a realizar _x000a_VMSC"/>
    <m/>
    <m/>
    <m/>
    <n v="0.56799999999999995"/>
    <m/>
    <m/>
    <m/>
    <m/>
    <m/>
    <m/>
    <m/>
    <m/>
    <m/>
    <m/>
    <m/>
    <m/>
    <m/>
    <m/>
    <m/>
    <m/>
    <m/>
    <m/>
    <m/>
    <m/>
    <m/>
    <m/>
    <m/>
  </r>
  <r>
    <x v="16"/>
    <s v="18/05/18"/>
    <x v="13"/>
    <s v="Erradicar la Pobreza Extrema"/>
    <n v="101"/>
    <s v="Erradicación de la pobreza extrema y reducción significativa de la moderada"/>
    <n v="7"/>
    <n v="10107"/>
    <n v="7"/>
    <s v="1.1.7"/>
    <s v="0101007"/>
    <s v=" 7 Se ha promovido la incorporación de niñas y niños en situación de calle en familias sustitutas."/>
    <s v="Pobreza y Desigualdad"/>
    <s v="Poblaciones Vulnerables"/>
    <s v="Resultado"/>
    <m/>
    <m/>
    <m/>
    <m/>
    <m/>
    <m/>
    <m/>
    <m/>
    <m/>
    <n v="1"/>
    <n v="0"/>
    <s v="Etapa 1"/>
    <m/>
    <m/>
    <m/>
    <m/>
    <m/>
    <x v="1"/>
    <m/>
    <m/>
    <m/>
    <x v="187"/>
    <s v="Impacto"/>
    <s v="Eficacia"/>
    <s v="sexo, edad, departamento"/>
    <s v="Porcentaje"/>
    <s v="Restitución del derecho a la familia: Niñas, niños y adolescentes en situacion de acogimiento institucional, ejercen el derecho a la familia sustituta efectivizada mediante la guarda, tutela  o adopción, por una decisión judicial, con carácter temporal o permanente._x000a_"/>
    <s v="_x000a_NNA en centros de acogida intregrado a la familia =    Numero de NNA  integrado a la familia/   Numero de NNA  en centros de acogida "/>
    <s v=" Numero de NNA  integrado a familia sustituta"/>
    <s v="Estudio sobre niñas, niños y adolescentes en cuidado institucional (ENNACI) con información de los SEDEGES"/>
    <s v=" Numero de NNA  en centros de acogida "/>
    <s v="Estudio sobre niñas, niños y adolescentes en cuidado institucional (ENNACI) con información de los SEDEGES"/>
    <n v="2014"/>
    <s v="Informacion reportada solo de la gestión 2014"/>
    <m/>
    <m/>
    <s v="ENNACI"/>
    <s v="Estudio sobre niñas, niños y adolescentes en cuidado institucional"/>
    <s v="Estudio"/>
    <s v="No disponible"/>
    <n v="2014"/>
    <s v="Nacional"/>
    <s v="No Aplica"/>
    <s v="Centros de Acogida _x000a_Sexo, Edad y otras caracteristicas de los NNA en Centros de Acogida"/>
    <s v="Es necesario sistematiza la informacion de los centros de acogida para que sean centralizados por los SEDEGES"/>
    <s v="Ministerio de Justicia y Transparencia Institucional (MJTI)"/>
    <m/>
    <m/>
    <m/>
    <n v="2014"/>
    <n v="0.15031664476042539"/>
    <n v="0.2"/>
    <s v="-"/>
    <n v="4.9504950495049506E-4"/>
    <m/>
    <n v="0.19960396039603961"/>
    <m/>
    <m/>
    <m/>
    <n v="0.19970297029702971"/>
    <m/>
    <m/>
    <m/>
    <n v="0.19980198019801981"/>
    <m/>
    <m/>
    <m/>
    <n v="0.19990099009900991"/>
    <m/>
    <m/>
    <m/>
    <n v="0.2"/>
    <m/>
    <m/>
    <m/>
    <m/>
    <m/>
    <m/>
    <m/>
    <m/>
  </r>
  <r>
    <x v="16"/>
    <m/>
    <x v="13"/>
    <s v="Erradicar la Pobreza Extrema"/>
    <n v="102"/>
    <s v="Combatir la Pobreza Social"/>
    <n v="2"/>
    <n v="10216"/>
    <n v="16"/>
    <s v="1.2.16"/>
    <n v="102016"/>
    <s v="16 La sociedad boliviana, sus organizaciones e instituciones practican el equilibrio y la complementariedad de género y generacional para el Vivir Bien"/>
    <s v="Pobreza y Desigualdad"/>
    <s v="Poblaciones Vulnerables"/>
    <s v="Resultado"/>
    <m/>
    <m/>
    <m/>
    <m/>
    <m/>
    <m/>
    <m/>
    <m/>
    <m/>
    <n v="1"/>
    <n v="0"/>
    <s v="Etapa 1"/>
    <m/>
    <m/>
    <s v="5.5 Asegurar la participación plena y efectiva de las mujeres y la igualdad de oportunidades de liderazgo a todos los niveles decisorios en la vida política, económica y pública_x000a__x000a_5.c Aprobar y fortalecer políticas acertadas y leyes aplicables para promover la igualdad de género y el empoderamiento de todas las mujeres y las niñas a todos los niveles"/>
    <m/>
    <s v="5.5.1 Proporción de escaños ocupados por mujeres en los parlamentos nacionales y los gobiernos locales_x000a_5.5.2 Proporción de mujeres en cargos directivos_x000a_5.c.1 Porcentaje de países que cuentan con sistemas para dar seguimiento a la igualdad de género y el empoderamiento de la mujer y asignar fondos públicos para ese fin"/>
    <x v="2"/>
    <m/>
    <m/>
    <m/>
    <x v="188"/>
    <s v="Impacto"/>
    <s v="(sexo, cargo,gestion)"/>
    <s v="Sexo, Area Geografica, Cargo, Gestion."/>
    <s v="Porcentaje y numero"/>
    <s v="El indicador sirve para hacer un seguimiento al avance de la participación política de las mujeres en la toma de decisiones."/>
    <s v="% de mujeres que ocupan escaños en la Asamblea Legislativa Plurinacional (ALP) =  Nº de mujeres que ocupan escaños en la Asamblea Legislativa Plurinacional (ALP)/ Total Escaños ocupadosX100"/>
    <s v="Porcentaje de mujeres que ocupan escaños en la Asamblea Legislativa Plurinacional (ALP)"/>
    <s v="Organo Electoral Asamblea Legisltiva Plurinacional."/>
    <s v="Total Escaños ocupados"/>
    <s v="Organo Electoral Asamblea Legisltiva Plurinacional."/>
    <n v="2006"/>
    <s v="Dato preliminar del año 2006 actualizado hasta 2018,"/>
    <m/>
    <m/>
    <s v="O.E._x000a_ALP"/>
    <s v="Organo Electoral Asamblea Legisltiva Plurinacional."/>
    <s v="Registro Administrativo"/>
    <s v="quinquenal"/>
    <s v="2006-2018"/>
    <s v="Nacional"/>
    <s v="Nacional"/>
    <s v="Sexo, Area Geografica, Cargo, Gestion."/>
    <m/>
    <s v="Ministerio de Justicia y Transparencia Institucional- Viceministerio de Igualdad de Oportunidades - Direccion General de Prevencion y eliminacion de toda forma de violencia en razon de genero y generacional - Organo Electoral "/>
    <m/>
    <m/>
    <m/>
    <n v="2014"/>
    <n v="0.5"/>
    <n v="0.5"/>
    <n v="0.5"/>
    <m/>
    <m/>
    <n v="0.5"/>
    <m/>
    <m/>
    <m/>
    <n v="0.5"/>
    <m/>
    <m/>
    <m/>
    <n v="0.5"/>
    <m/>
    <m/>
    <m/>
    <n v="0.5"/>
    <m/>
    <m/>
    <m/>
    <n v="0.5"/>
    <m/>
    <m/>
    <m/>
    <m/>
    <m/>
    <m/>
    <m/>
    <m/>
  </r>
  <r>
    <x v="16"/>
    <m/>
    <x v="13"/>
    <s v="Erradicar la Pobreza Extrema"/>
    <n v="102"/>
    <s v="Combatir la Pobreza Social"/>
    <n v="2"/>
    <n v="10216"/>
    <n v="16"/>
    <s v="1.2.16"/>
    <n v="102016"/>
    <s v="16 La sociedad boliviana, sus organizaciones e instituciones practican el equilibrio y la complementariedad de género y generacional para el Vivir Bien"/>
    <s v="Pobreza y Desigualdad"/>
    <s v="Poblaciones Vulnerables"/>
    <s v="Resultado"/>
    <m/>
    <m/>
    <m/>
    <m/>
    <m/>
    <m/>
    <m/>
    <m/>
    <m/>
    <n v="1"/>
    <n v="0"/>
    <s v="Etapa 1"/>
    <m/>
    <m/>
    <s v="5.5 Asegurar la participación plena y efectiva de las mujeres y la igualdad de oportunidades de liderazgo a todos los niveles decisorios en la vida política, económica y pública_x000a__x000a_5.c Aprobar y fortalecer políticas acertadas y leyes aplicables para promover la igualdad de género y el empoderamiento de todas las mujeres y las niñas a todos los niveles"/>
    <m/>
    <s v="5.5.1 Proporción de escaños ocupados por mujeres en los parlamentos nacionales y los gobiernos locales_x000a_5.5.2 Proporción de mujeres en cargos directivos_x000a_5.c.1 Porcentaje de países que cuentan con sistemas para dar seguimiento a la igualdad de género y el empoderamiento de la mujer y asignar fondos públicos para ese fin"/>
    <x v="2"/>
    <m/>
    <m/>
    <m/>
    <x v="189"/>
    <s v="Impacto"/>
    <s v="(sexo, cargo,gestion)"/>
    <s v="Sexo,  Cargo, Gestion."/>
    <s v="Porcentaje y numero"/>
    <s v="El indicador sirve para hacer un seguimiento del avance de la participación de mujeres_x000a_en altos cargos del órgano judicial."/>
    <s v="% de   mujeres  en cargos de altas autoridades del Organo Judicial  =  Nº  de mujeres  en cargos de altas autoridades del Organo Judicial/ Total de cargos de altas autoridades del Organo Judicial X100"/>
    <s v="  Nº  de mujeres  en cargos de altas autoridades del Organo Judicial"/>
    <s v="Organo Electoral_x000a_"/>
    <s v="Total de cargos de altas autoridades del Organo Judicial"/>
    <s v="Organo Electoral_x000a_"/>
    <n v="2011"/>
    <s v="Dato preliminar del año 2011 actualizado hasta 2018"/>
    <m/>
    <m/>
    <s v="O.E."/>
    <s v="Organo Electoral_x000a_"/>
    <s v="Registro Administrativo"/>
    <s v="cada 6 años"/>
    <s v="2011 y 2017"/>
    <s v="Nacional"/>
    <s v="Nacional"/>
    <s v="Sexo, Cargo, Gestion."/>
    <m/>
    <s v="Ministerio de Justicia y Transparencia Institucional- Viceministerio de Igualdad de Oportunidades - Direccion General de Prevencion y eliminacion de toda forma de violencia en razon de genero y generacional - Organo Electoral "/>
    <m/>
    <m/>
    <m/>
    <n v="2011"/>
    <n v="0.43"/>
    <n v="0.5"/>
    <n v="0.5"/>
    <m/>
    <m/>
    <n v="0.5"/>
    <m/>
    <m/>
    <m/>
    <n v="0.5"/>
    <m/>
    <m/>
    <m/>
    <n v="0.5"/>
    <m/>
    <m/>
    <m/>
    <n v="0.5"/>
    <m/>
    <m/>
    <m/>
    <n v="0.5"/>
    <m/>
    <m/>
    <m/>
    <m/>
    <m/>
    <m/>
    <m/>
    <m/>
  </r>
  <r>
    <x v="16"/>
    <m/>
    <x v="13"/>
    <s v="Erradicar la Pobreza Extrema"/>
    <n v="102"/>
    <s v="Combatir la Pobreza Social"/>
    <n v="2"/>
    <n v="10216"/>
    <n v="16"/>
    <s v="1.2.16"/>
    <n v="102016"/>
    <s v="16 La sociedad boliviana, sus organizaciones e instituciones practican el equilibrio y la complementariedad de género y generacional para el Vivir Bien"/>
    <s v="Pobreza y Desigualdad"/>
    <s v="Poblaciones Vulnerables"/>
    <s v="Resultado"/>
    <m/>
    <m/>
    <m/>
    <m/>
    <m/>
    <m/>
    <m/>
    <m/>
    <m/>
    <n v="1"/>
    <n v="0"/>
    <s v="Etapa 1"/>
    <m/>
    <m/>
    <s v="5.5 Asegurar la participación plena y efectiva de las mujeres y la igualdad de oportunidades de liderazgo a todos los niveles decisorios en la vida política, económica y pública_x000a__x000a_5.c Aprobar y fortalecer políticas acertadas y leyes aplicables para promover la igualdad de género y el empoderamiento de todas las mujeres y las niñas a todos los niveles"/>
    <m/>
    <s v="5.5.1 Proporción de escaños ocupados por mujeres en los parlamentos nacionales y los gobiernos locales_x000a_5.5.2 Proporción de mujeres en cargos directivos_x000a_5.c.1 Porcentaje de países que cuentan con sistemas para dar seguimiento a la igualdad de género y el empoderamiento de la mujer y asignar fondos públicos para ese fin"/>
    <x v="2"/>
    <m/>
    <m/>
    <m/>
    <x v="190"/>
    <s v="Impacto"/>
    <s v="(sexo, cargo,gestion)"/>
    <s v="Sexo, Area Geografica, Cargo, Gestion."/>
    <s v="Porcentaje y numero"/>
    <s v="El indicador sirve para hacer un seguimiento del avance de la participación de mujeres_x000a_en la toma de decisiones de los Gobiernos Departamentales._x000a_"/>
    <s v="%  de mujeres que ocupan escaños en la Asamblea de Gobiernos Departamentales =  Nº de mujeres que ocupan escaños en la Asamblea de Gobiernos Departamentales / Total Escaños ocupadosX100"/>
    <s v="Nº de mujeres que ocupan escaños en la Asamblea de Gobiernos Departamentales."/>
    <s v="Organo Electoral_x000a_ _x000a_ Asociacion de Mujeres Asambleistas  Departamentales de Bolivia"/>
    <s v="Total Escaños ocupados"/>
    <s v="Organo Electoral_x000a__x000a_ Asociacion de Mujeres Asambleistas  Departamentales de Bolivia"/>
    <n v="2006"/>
    <s v="Dato preliminar del año 2006 actualizado hasta 2018"/>
    <m/>
    <m/>
    <s v="O.E._x000a__x000a_AMADBOL"/>
    <s v="Organo Electoral_x000a__x000a_ Asociacion de Mujeres Asambleistas  Departamentales de Bolivia"/>
    <s v="Registro Administrativo"/>
    <s v="quinquenal"/>
    <s v="2006-2015"/>
    <s v="Nacional"/>
    <s v="Departamental_x000a_"/>
    <s v="Sexo, Area Geografica, Cargo, Gestion."/>
    <s v="Se tiene informacion sobre cantidad de gobernadoras y Asambleistas Departamentales."/>
    <s v="Ministerio de Justicia y Transparencia Institucional- Viceministerio de Igualdad de Oportunidades - Direccion General de Prevencion y eliminacion de toda forma de violencia en razon de genero y generacional - Organo Electoral "/>
    <m/>
    <m/>
    <m/>
    <n v="2015"/>
    <n v="0.46"/>
    <n v="0.5"/>
    <n v="0.5"/>
    <m/>
    <m/>
    <n v="0.5"/>
    <m/>
    <m/>
    <m/>
    <n v="0.5"/>
    <m/>
    <m/>
    <m/>
    <n v="0.5"/>
    <m/>
    <m/>
    <m/>
    <n v="0.5"/>
    <m/>
    <m/>
    <m/>
    <n v="0.5"/>
    <m/>
    <m/>
    <m/>
    <m/>
    <m/>
    <m/>
    <m/>
    <m/>
  </r>
  <r>
    <x v="16"/>
    <m/>
    <x v="13"/>
    <s v="Erradicar la Pobreza Extrema"/>
    <n v="102"/>
    <s v="Combatir la Pobreza Social"/>
    <n v="2"/>
    <n v="10216"/>
    <n v="16"/>
    <s v="1.2.16"/>
    <n v="102016"/>
    <s v="16 La sociedad boliviana, sus organizaciones e instituciones practican el equilibrio y la complementariedad de género y generacional para el Vivir Bien"/>
    <s v="Pobreza y Desigualdad"/>
    <s v="Poblaciones Vulnerables"/>
    <s v="Resultado"/>
    <m/>
    <m/>
    <m/>
    <m/>
    <m/>
    <m/>
    <m/>
    <m/>
    <m/>
    <n v="1"/>
    <n v="0"/>
    <s v="Etapa 1"/>
    <m/>
    <m/>
    <s v="5.5 Asegurar la participación plena y efectiva de las mujeres y la igualdad de oportunidades de liderazgo a todos los niveles decisorios en la vida política, económica y pública_x000a__x000a_5.c Aprobar y fortalecer políticas acertadas y leyes aplicables para promover la igualdad de género y el empoderamiento de todas las mujeres y las niñas a todos los niveles"/>
    <m/>
    <s v="5.5.1 Proporción de escaños ocupados por mujeres en los parlamentos nacionales y los gobiernos locales_x000a_5.5.2 Proporción de mujeres en cargos directivos_x000a_5.c.1 Porcentaje de países que cuentan con sistemas para dar seguimiento a la igualdad de género y el empoderamiento de la mujer y asignar fondos públicos para ese fin"/>
    <x v="2"/>
    <m/>
    <m/>
    <m/>
    <x v="191"/>
    <s v="Impacto"/>
    <s v="(sexo, cargo,gestion)"/>
    <s v="Sexo, Area Geografica, Cargo, Gestion."/>
    <s v="Porcentaje y numero"/>
    <s v="El indicador sirve para hacer un seguimiento del avance de la participación de mujeres_x000a_en la toma de decisiones de los gobiernos Municipales._x000a_"/>
    <s v="% de mujeres que ocupan escaños en Gobiernos Municipales =  Nº  de mujeres que ocupan escaños en Gobiernos Municipales / Total Escaños ocupadosX100"/>
    <s v="Nº  de mujeres que ocupan escaños en Gobiernos Municipales "/>
    <s v="Organo Electoral_x000a_ Asociacion de Concejalas de Bolivia._x000a_ "/>
    <s v="Total Escaños ocupados "/>
    <s v="Organo Electoral_x000a_ Asociacion de Concejalas de Bolivia._x000a_ "/>
    <n v="2006"/>
    <s v="Dato preliminar del año 2006 actualizado hasta 2018"/>
    <m/>
    <m/>
    <s v="O.E._x000a_ACOBOL_x000a_"/>
    <s v="Organo Electoral_x000a_ Asociacion de Concejalas de Bolivia._x000a_"/>
    <s v="Registro Administrativo"/>
    <s v="quinquenal"/>
    <s v="2006-2015"/>
    <s v="Nacional"/>
    <s v="_x000a_Municipal"/>
    <s v="Sexo, Area Geografica, Cargo, Gestion."/>
    <s v="Se tiene informacion sobre cantidad de  Alcaldesas y Concejalas."/>
    <s v="Ministerio de Justicia y Transparencia Institucional- Viceministerio de Igualdad de Oportunidades - Direccion General de Prevencion y eliminacion de toda forma de violencia en razon de genero y generacional - Organo Electoral "/>
    <m/>
    <m/>
    <m/>
    <n v="2015"/>
    <n v="0.5"/>
    <n v="0.5"/>
    <n v="0.5"/>
    <m/>
    <m/>
    <n v="0.5"/>
    <m/>
    <m/>
    <m/>
    <n v="0.5"/>
    <m/>
    <m/>
    <m/>
    <n v="0.5"/>
    <m/>
    <m/>
    <m/>
    <n v="0.5"/>
    <m/>
    <m/>
    <m/>
    <n v="0.5"/>
    <m/>
    <m/>
    <m/>
    <m/>
    <m/>
    <m/>
    <m/>
    <m/>
  </r>
  <r>
    <x v="16"/>
    <m/>
    <x v="13"/>
    <s v="Erradicar la Pobreza Extrema"/>
    <n v="102"/>
    <s v="Combatir la Pobreza Social"/>
    <n v="2"/>
    <n v="10216"/>
    <n v="16"/>
    <s v="1.2.16"/>
    <n v="102016"/>
    <s v="16 La sociedad boliviana, sus organizaciones e instituciones practican el equilibrio y la complementariedad de género y generacional para el Vivir Bien"/>
    <s v="Pobreza y Desigualdad"/>
    <s v="Poblaciones Vulnerables"/>
    <s v="Impacto"/>
    <m/>
    <m/>
    <m/>
    <m/>
    <m/>
    <m/>
    <m/>
    <m/>
    <m/>
    <n v="1"/>
    <n v="0"/>
    <s v="Etapa 1"/>
    <m/>
    <m/>
    <s v="1.2.4 La sociedas boliviana, sus organizaciones e instituciones practican el equilibrio y la complementariedad de género y generacional para el Vivir Bien "/>
    <m/>
    <s v="5.5.2 Proporción de mujeres en cargos directivos"/>
    <x v="2"/>
    <m/>
    <m/>
    <m/>
    <x v="192"/>
    <s v="Impacto"/>
    <m/>
    <s v="Nacional"/>
    <s v="Porcentaje"/>
    <s v="Proporción de mujeres en cargos gerenciales"/>
    <s v="(Mujeres ocupadas en el grupo ocupacional 11 a 13 /Población ocupada en el grupo ocupacional 11 a 13)*100"/>
    <s v="Mujeres ocupadas en el grupo ocupacional 11 a 13"/>
    <s v="INE-Encuesta de Hogares"/>
    <s v="Población ocupada en el grupo ocupacional 11 a 13"/>
    <s v="INE-Encuesta de Hogares"/>
    <n v="2015"/>
    <s v=" "/>
    <m/>
    <m/>
    <s v="EH"/>
    <s v="Encuesta de Hogares"/>
    <s v="Encuesta a Hogares"/>
    <s v="Cada año"/>
    <s v="1989-2017"/>
    <s v="Nacional"/>
    <s v="2017 por departamento"/>
    <s v="Características demográficas, educación, salud, empleo, ingreso no laborla, gastos, vivienda"/>
    <s v=" "/>
    <s v="Ivan Marquez 2222333"/>
    <m/>
    <m/>
    <m/>
    <n v="2015"/>
    <n v="0.34499999999999997"/>
    <n v="0.5"/>
    <s v=" "/>
    <n v="1.2376237623762376E-3"/>
    <m/>
    <n v="0.49900990099009901"/>
    <m/>
    <m/>
    <m/>
    <n v="0.49925742574257426"/>
    <m/>
    <m/>
    <m/>
    <n v="0.4995049504950495"/>
    <m/>
    <m/>
    <m/>
    <n v="0.49975247524752475"/>
    <m/>
    <m/>
    <m/>
    <n v="0.5"/>
    <m/>
    <m/>
    <m/>
    <m/>
    <m/>
    <m/>
    <m/>
    <m/>
  </r>
  <r>
    <x v="16"/>
    <m/>
    <x v="13"/>
    <s v="Erradicar la Pobreza Extrema"/>
    <n v="105"/>
    <s v="Combatir la Pobreza Espiritual"/>
    <n v="5"/>
    <n v="10529"/>
    <n v="29"/>
    <s v="1.5.29"/>
    <n v="105029"/>
    <s v="29 Todas las mujeres que acuden a las instancias públicas a denunciar hechos de violencia reciben asistencia legal y psicológica, reduciendo el porcentaje de mujeres y niñas que han sufrido violencia física, psicológica y/o sexual."/>
    <s v="Pobreza y Desigualdad"/>
    <s v="Poblaciones Vulnerables"/>
    <s v="Resultado"/>
    <m/>
    <m/>
    <m/>
    <m/>
    <m/>
    <m/>
    <m/>
    <m/>
    <m/>
    <n v="1"/>
    <n v="0"/>
    <s v="Etapa 1"/>
    <m/>
    <m/>
    <s v="5.2 Eliminar todas las formas de violencia contra todas las mujeres y las niñas en los ámbitos público y privado, incluidas la trata y la explotación sexual y otros tipos de explotación"/>
    <m/>
    <s v="5.2.1 Proporción de mujeres y niñas de 15 años de edad o más que han sufrido en los 12 últimos meses violencia física, sexual o psicológica infligida por un compañero íntimo actual o anterior, por la forma de violencia y por grupo de edad_x000a__x000a_5.2.2 Proporción de mujeres y niñas de 15 años de edad o más que han sufrido en los últimos 12 meses violencia sexual infligida por otra persona que no sea un compañero íntimo, por grupo de edad y lugar del hecho"/>
    <x v="0"/>
    <m/>
    <m/>
    <m/>
    <x v="193"/>
    <s v="Impacto"/>
    <s v="Eficacia"/>
    <s v="Nacional, Departamental, area, situación conyugal y  situación legal"/>
    <s v="Porcentaje"/>
    <s v="Denuncias presentadas por mujeres en situacion de violencia en razón de género a una institución designada por Ley 348 "/>
    <s v="Porcentaje de mujeres de 15 años o más en situación de violencia de pareja en los últimos 12 meses y busqueda de ayuda en alguna institutición que presentaron denuncia formal = N° de mujeres de 15 años o más que presentaron denuncia formal/ N° total de mujeres  de 15 años o más en situación de violencia de pareja y busqueda de ayuda en alguna institución*100"/>
    <s v="N° de mujeres de 15 años o más que presentaron denuncia formal"/>
    <s v="ENCUESTA DE PREVALENCIA Y_x000a_CARACTERÍSTICAS DE LA VIOLENCIA CONTRA_x000a_LAS MUJERES  (EPCVM) INE"/>
    <s v="N° total de mujeres  de 15 años o más en situación de violencia de pareja y busqueda de ayuda en alguna institución"/>
    <s v="ENCUESTA DE PREVALENCIA Y_x000a_CARACTERÍSTICAS DE LA VIOLENCIA CONTRA_x000a_LAS MUJERES  (EPCVM) INE"/>
    <n v="2016"/>
    <s v="La información proviene de una encuesta, esta fue realizada por primera vez en coordinación entre el Ministerio de Justicia y el INE "/>
    <m/>
    <m/>
    <s v="EPCVM"/>
    <s v="ENCUESTA DE PREVALENCIA Y_x000a_CARACTERÍSTICAS DE LA VIOLENCIA CONTRA_x000a_LAS MUJERES  (EPCVM) INE"/>
    <s v="Encuesta"/>
    <s v="n.d."/>
    <n v="2016"/>
    <s v="Nacional"/>
    <s v="Departamental"/>
    <s v="edad, estado civil, grado de instrucción, tipos de violencia, toma de decisiones, justificación de violencia, conocimiento de la Ley 348"/>
    <s v="Para el Monitoreo de este indicador se debe replicar la encuesta."/>
    <s v="_x000a_Ministerio de Justicia y Transparencia Institucional- Viceministerio de Igualdad de Oportunidades e Instituto Nacional de Estadistica "/>
    <m/>
    <m/>
    <m/>
    <n v="2016"/>
    <n v="0.67600000000000005"/>
    <n v="0.77600000000000002"/>
    <n v="0.876"/>
    <n v="1.9207920792079208E-3"/>
    <m/>
    <n v="0.7744633663366336"/>
    <m/>
    <m/>
    <m/>
    <n v="0.7748475247524752"/>
    <m/>
    <m/>
    <m/>
    <n v="0.77523168316831681"/>
    <m/>
    <m/>
    <m/>
    <n v="0.77561584158415842"/>
    <m/>
    <m/>
    <m/>
    <n v="0.77600000000000002"/>
    <m/>
    <m/>
    <m/>
    <m/>
    <m/>
    <m/>
    <m/>
    <m/>
  </r>
  <r>
    <x v="16"/>
    <m/>
    <x v="13"/>
    <s v="Erradicar la Pobreza Extrema"/>
    <n v="105"/>
    <s v="Combatir la Pobreza Espiritual"/>
    <n v="5"/>
    <n v="10529"/>
    <n v="29"/>
    <s v="1.5.29"/>
    <n v="105029"/>
    <s v="29 Todas las mujeres que acuden a las instancias públicas a denunciar hechos de violencia reciben asistencia legal y psicológica, reduciendo el porcentaje de mujeres y niñas que han sufrido violencia física, psicológica y/o sexual."/>
    <s v="Pobreza y Desigualdad"/>
    <s v="Poblaciones Vulnerables"/>
    <s v="Resultado"/>
    <m/>
    <m/>
    <m/>
    <m/>
    <m/>
    <m/>
    <m/>
    <m/>
    <m/>
    <n v="1"/>
    <n v="0"/>
    <s v="Etapa 1"/>
    <m/>
    <m/>
    <s v="5.2 Eliminar todas las formas de violencia contra todas las mujeres y las niñas en los ámbitos público y privado, incluidas la trata y la explotación sexual y otros tipos de explotación"/>
    <m/>
    <s v="5.2.1 Proporción de mujeres y niñas de 15 años de edad o más que han sufrido en los 12 últimos meses violencia física, sexual o psicológica infligida por un compañero íntimo actual o anterior, por la forma de violencia y por grupo de edad_x000a__x000a_5.2.2 Proporción de mujeres y niñas de 15 años de edad o más que han sufrido en los últimos 12 meses violencia sexual infligida por otra persona que no sea un compañero íntimo, por grupo de edad y lugar del hecho"/>
    <x v="0"/>
    <m/>
    <m/>
    <m/>
    <x v="194"/>
    <s v="Impacto"/>
    <s v="Eficacia"/>
    <s v="Nacional, Departamental, area, ambito (social, educativo, laboral)"/>
    <s v="Porcentaje"/>
    <s v="Denuncias presentadas por mujeres en situacion de violencia en razón de género a una institución designada por Ley 348 "/>
    <s v="Porcentaje de mujeres de 15 años o más en situación de violencia de género en el ámbito público en los ultimos 12 meses y  busqueda de ayuda que presentaron denuncia formal = N° de mujeres de 15 años o más que presentaron denuncia formal/N° de mujeres de 15 años o mas en situación de violencia de genero en el ambito público y buscaron ayuda*100"/>
    <s v="N° de mujeres de 15 años o más que presentaron denuncia formal"/>
    <s v="ENCUESTA DE PREVALENCIA Y_x000a_CARACTERÍSTICAS DE LA VIOLENCIA CONTRA_x000a_LAS MUJERES  (EPCVM) INE"/>
    <s v="N° de mujeres de 15 años o mas en situación de violencia de género en el ámbtio publico y buscaron ayuda"/>
    <s v="ENCUESTA DE PREVALENCIA Y_x000a_CARACTERÍSTICAS DE LA VIOLENCIA CONTRA_x000a_LAS MUJERES  (EPCVM) INE"/>
    <n v="2016"/>
    <s v="La información proviene de una encuesta, esta fue realizada por primera vez en coordinación entre  el Ministerio de Justicia y el INE. "/>
    <m/>
    <m/>
    <s v="EPCVM"/>
    <s v="ENCUESTA DE PREVALENCIA Y_x000a_CARACTERÍSTICAS DE LA VIOLENCIA CONTRA_x000a_LAS MUJERES  (EPCVM) INE"/>
    <s v="Encuesta"/>
    <s v="n.d."/>
    <n v="2016"/>
    <s v="Nacional"/>
    <s v="Departamental"/>
    <s v="edad, estado civil, grado de instrucción, tipos de violencia, toma de decisiones, justificación de violencia, conocimiento de la Ley 348"/>
    <s v="Para el Monitoreo de este indicador se debe replicar la encuesta."/>
    <s v="_x000a_Ministerio de Justicia y Transparencia Institucional- Viceministerio de Igualdad de Oportunidades e Instituto Nacional de Estadistica "/>
    <m/>
    <m/>
    <m/>
    <n v="2016"/>
    <n v="0.80100000000000005"/>
    <n v="0.85099999999999998"/>
    <n v="0.90100000000000002"/>
    <n v="0.85099999999999998"/>
    <n v="2020"/>
    <n v="0.84931485148514851"/>
    <m/>
    <m/>
    <m/>
    <n v="0.84973613861386132"/>
    <m/>
    <m/>
    <m/>
    <n v="0.85015742574257425"/>
    <m/>
    <m/>
    <m/>
    <n v="0.85057871287128706"/>
    <m/>
    <m/>
    <m/>
    <n v="0.85099999999999998"/>
    <m/>
    <m/>
    <m/>
    <m/>
    <m/>
    <m/>
    <m/>
    <m/>
  </r>
  <r>
    <x v="16"/>
    <m/>
    <x v="13"/>
    <s v="Erradicar la Pobreza Extrema"/>
    <n v="105"/>
    <s v="Combatir la Pobreza Espiritual"/>
    <n v="5"/>
    <n v="10529"/>
    <n v="29"/>
    <s v="1.5.29"/>
    <n v="105029"/>
    <s v="29 Todas las mujeres que acuden a las instancias públicas a denunciar hechos de violencia reciben asistencia legal y psicológica, reduciendo el porcentaje de mujeres y niñas que han sufrido violencia física, psicológica y/o sexual."/>
    <s v="Pobreza y Desigualdad"/>
    <s v="Poblaciones Vulnerables"/>
    <s v="Resultado"/>
    <m/>
    <m/>
    <m/>
    <m/>
    <m/>
    <m/>
    <m/>
    <m/>
    <m/>
    <n v="1"/>
    <n v="0"/>
    <s v="Etapa 1"/>
    <m/>
    <m/>
    <s v="5.2 Eliminar todas las formas de violencia contra todas las mujeres y las niñas en los ámbitos público y privado, incluidas la trata y la explotación sexual y otros tipos de explotación"/>
    <m/>
    <s v="5.2.1 Proporción de mujeres y niñas de 15 años de edad o más que han sufrido en los 12 últimos meses violencia física, sexual o psicológica infligida por un compañero íntimo actual o anterior, por la forma de violencia y por grupo de edad_x000a__x000a_5.2.2 Proporción de mujeres y niñas de 15 años de edad o más que han sufrido en los últimos 12 meses violencia sexual infligida por otra persona que no sea un compañero íntimo, por grupo de edad y lugar del hecho"/>
    <x v="0"/>
    <m/>
    <m/>
    <m/>
    <x v="195"/>
    <s v="Impacto"/>
    <s v="Eficacia"/>
    <s v="Nacional"/>
    <s v="Porcentaje"/>
    <s v="Denuncias presentadas por mujeres en situacion de violencia en razón de género a una institución designada por Ley 348 "/>
    <s v="Porcentaje de mujeres de 15 años o más en situación de violencia de pareja que  buscaron  ayuda en alguna institutición, presentaron denuncia formal y recibieron atención médica o psicológica = N° de mujeres de 15 años o más que buscaron ayuda en alguna institución , presentaron denuncia formal y recibieron asistencias medica o psicológica / N° total de mujeres  de 15 años o más en situación de violencia de pareja que buscaron de ayuda en alguna institución y presentaron denuncia formal*100"/>
    <s v="N° de mujeres de 15 años o más que buscaron ayuda en alguna institución , presentaron denuncia formal y recibieron asistencias medica o psicológica"/>
    <s v="ENCUESTA DE PREVALENCIA Y_x000a_CARACTERÍSTICAS DE LA VIOLENCIA CONTRA_x000a_LAS MUJERES  (EPCVM) INE"/>
    <s v="N° total de mujeres  de 15 años o más en situación de violencia de pareja que buscaron de ayuda en alguna institución y presentaron denuncia formal"/>
    <s v="ENCUESTA DE PREVALENCIA Y_x000a_CARACTERÍSTICAS DE LA VIOLENCIA CONTRA_x000a_LAS MUJERES  (EPCVM) INE"/>
    <n v="2016"/>
    <s v="La información proviene de una encuesta, esta fue realizada por primera vez en coordinación entre el Ministerio de Justicia y el INE "/>
    <m/>
    <m/>
    <s v="EPCVM"/>
    <s v="ENCUESTA DE PREVALENCIA Y_x000a_CARACTERÍSTICAS DE LA VIOLENCIA CONTRA_x000a_LAS MUJERES  (EPCVM) INE"/>
    <s v="Encuesta"/>
    <s v="n.d."/>
    <n v="2016"/>
    <s v="Nacional"/>
    <s v="Nacional"/>
    <s v="edad, estado civil, grado de instrucción, tipos de violencia, toma de decisiones, justificación de violencia, conocimiento de la Ley 348"/>
    <s v="Para el Monitoreo de este indicador se debe replicar la encuesta."/>
    <s v="_x000a_Ministerio de Justicia y Transparencia Institucional- Viceministerio de Igualdad de Oportunidades e Instituto Nacional de Estadistica "/>
    <m/>
    <m/>
    <m/>
    <n v="2016"/>
    <n v="0.40100000000000002"/>
    <n v="0.501"/>
    <n v="0.60099999999999998"/>
    <n v="1.2400990099009899E-3"/>
    <m/>
    <n v="0.50000792079207912"/>
    <m/>
    <m/>
    <m/>
    <n v="0.50025594059405942"/>
    <m/>
    <m/>
    <m/>
    <n v="0.50050396039603962"/>
    <m/>
    <m/>
    <m/>
    <n v="0.50075198019801981"/>
    <m/>
    <m/>
    <m/>
    <n v="0.501"/>
    <m/>
    <m/>
    <m/>
    <m/>
    <m/>
    <m/>
    <m/>
    <m/>
  </r>
  <r>
    <x v="16"/>
    <m/>
    <x v="13"/>
    <s v="Erradicar la Pobreza Extrema"/>
    <n v="105"/>
    <s v="Combatir la Pobreza Espiritual"/>
    <n v="5"/>
    <n v="10529"/>
    <n v="29"/>
    <s v="1.5.29"/>
    <n v="105029"/>
    <s v="29 Todas las mujeres que acuden a las instancias públicas a denunciar hechos de violencia reciben asistencia legal y psicológica, reduciendo el porcentaje de mujeres y niñas que han sufrido violencia física, psicológica y/o sexual."/>
    <s v="Pobreza y Desigualdad"/>
    <s v="Poblaciones Vulnerables"/>
    <s v="Resultado"/>
    <m/>
    <m/>
    <m/>
    <m/>
    <m/>
    <m/>
    <m/>
    <m/>
    <m/>
    <n v="1"/>
    <n v="0"/>
    <s v="Etapa 1"/>
    <m/>
    <m/>
    <s v="5.2 Eliminar todas las formas de violencia contra todas las mujeres y las niñas en los ámbitos público y privado, incluidas la trata y la explotación sexual y otros tipos de explotación"/>
    <m/>
    <s v="5.2.1 Proporción de mujeres y niñas de 15 años de edad o más que han sufrido en los 12 últimos meses violencia física, sexual o psicológica infligida por un compañero íntimo actual o anterior, por la forma de violencia y por grupo de edad_x000a__x000a_5.2.2 Proporción de mujeres y niñas de 15 años de edad o más que han sufrido en los últimos 12 meses violencia sexual infligida por otra persona que no sea un compañero íntimo, por grupo de edad y lugar del hecho"/>
    <x v="0"/>
    <m/>
    <m/>
    <m/>
    <x v="196"/>
    <s v="Impacto"/>
    <s v="Eficacia"/>
    <s v="Nacional"/>
    <s v="Porcentaje"/>
    <s v="Denuncias presentadas por mujeres en situacion de violencia en razón de género a una institución designada por Ley 348 "/>
    <s v="Porcentaje de mujeres de 15 años o más en situación de violencia de género en el ámbito social en los ultimos 12 meses que buscaron ayuda,  presentaron denuncia formal y recibieron atención médica o psicológica = N° de mujeres de 15 años o más que buscaron ayuda en alguna institución, presentaron denuncia formal y recibieron asistencia médica o psicológica/N° de mujeres de 15 años o mas en situación de violencia de genero en el ambito social que  buscaron ayuda y presentaron denuncia formal*100"/>
    <s v="N° de mujeres de 15 años o más que buscaron ayuda en alguna institución, presentaron denuncia formal y recibieron asistencia médica o psicológica"/>
    <s v="ENCUESTA DE PREVALENCIA Y_x000a_CARACTERÍSTICAS DE LA VIOLENCIA CONTRA_x000a_LAS MUJERES  (EPCVM) INE"/>
    <s v="N° de mujeres de 15 años o mas en situación de violencia de genero en el ambito social que  buscaron ayuda y presentaron denuncia formal"/>
    <s v="ENCUESTA DE PREVALENCIA Y_x000a_CARACTERÍSTICAS DE LA VIOLENCIA CONTRA_x000a_LAS MUJERES  (EPCVM) INE"/>
    <n v="2016"/>
    <s v="La información proviene de una encuesta, esta fue realizada por primera vez en coordinación entre  el Ministerio de Justicia y el INE. "/>
    <m/>
    <m/>
    <s v="EPCVM"/>
    <s v="ENCUESTA DE PREVALENCIA Y_x000a_CARACTERÍSTICAS DE LA VIOLENCIA CONTRA_x000a_LAS MUJERES  (EPCVM) INE"/>
    <s v="Encuesta"/>
    <s v="n.d."/>
    <n v="2016"/>
    <s v="Nacional"/>
    <s v="Nacional"/>
    <s v="edad, estado civil, grado de instrucción, tipos de violencia, toma de decisiones, justificación de violencia, conocimiento de la Ley 348"/>
    <s v="Para el Monitoreo de este indicador se debe replicar la encuesta."/>
    <s v="_x000a_Ministerio de Justicia y Transparencia Institucional- Viceministerio de Igualdad de Oportunidades e Instituto Nacional de Estadistica "/>
    <m/>
    <m/>
    <m/>
    <n v="2016"/>
    <n v="0.222"/>
    <n v="0.32200000000000001"/>
    <n v="0.42199999999999999"/>
    <n v="7.9702970297029709E-4"/>
    <m/>
    <n v="0.32136237623762381"/>
    <m/>
    <m/>
    <m/>
    <n v="0.32152178217821786"/>
    <m/>
    <m/>
    <m/>
    <n v="0.32168118811881191"/>
    <m/>
    <m/>
    <m/>
    <n v="0.32184059405940596"/>
    <m/>
    <m/>
    <m/>
    <n v="0.32200000000000001"/>
    <m/>
    <m/>
    <m/>
    <m/>
    <m/>
    <m/>
    <m/>
    <m/>
  </r>
  <r>
    <x v="16"/>
    <s v="26-03-2018"/>
    <x v="13"/>
    <s v="Erradicar la Pobreza Extrema"/>
    <n v="103"/>
    <s v="Ya no existen comunidades cautivas, pongueaje, esclavismo, trabajo infantil"/>
    <n v="3"/>
    <n v="10322"/>
    <n v="22"/>
    <s v="1.3.22"/>
    <s v="0103022"/>
    <s v="22. Se ha Avanzado significativamente hacia la redducion de la trata y trafico de personas y delitos conexos."/>
    <s v="Pobreza y Desigualdad"/>
    <s v="Poblaciones Vulnerables"/>
    <s v="Resultado"/>
    <m/>
    <m/>
    <m/>
    <m/>
    <m/>
    <m/>
    <m/>
    <m/>
    <m/>
    <n v="1"/>
    <n v="0"/>
    <s v="Etapa 1"/>
    <m/>
    <m/>
    <s v="16.2 Poner fin al maltrato, la explotación, la trata y todas las formas de violencia y tortura contra los niños"/>
    <m/>
    <s v="16.2.2 Número de víctimas de la trata de personas por cada 100.000 habitantes, desglosado por sexo, edad y tipo de explotación"/>
    <x v="2"/>
    <m/>
    <m/>
    <m/>
    <x v="197"/>
    <s v="Impacto"/>
    <m/>
    <s v="Nacional, departamental, sexo, edad, tipo de delito"/>
    <s v="Tasa"/>
    <s v="Es el número de personas víctimas, cuyo proceso cuenta con resolución de imputación formal (la resolucion se imputacion formal se origina, si el fiscal estima que existen suficientes indicios sobre la_x000a_existencia del hecho y la participación del imputado, formalizará la imputación mediante resolución_x000a_fundamentada)"/>
    <s v="Nº de Victimas de los delitos de trata y tráfico de personas, y delitos conexos en casos que cuenten, con resolución de imputación formal = Nº de Victimas de los delitos de trata y tráfico de personas y delitos conexos en casos que cuenten con resolución de imputación formal por parte del Ministerio Público/Población Total X 100.000"/>
    <s v=" Nº de Víctimas de los delitos de trata y tráfico de personas, y delitos conexos, en casos que cuenten con imputación formal por parte del Ministerio Público"/>
    <s v="Ministerio Público"/>
    <s v="Población total"/>
    <s v="INE"/>
    <s v="2015-2017"/>
    <s v="Ninguna"/>
    <m/>
    <m/>
    <m/>
    <m/>
    <s v="Registro Administrativo"/>
    <s v="Anual"/>
    <s v="2015-2017"/>
    <s v="Nacional"/>
    <s v="Nacional y Departamental"/>
    <s v="Sexo, edad, área geográfica, fin de la trata"/>
    <s v="_x000a_Se cuenta con  datos preliminares _x000a_"/>
    <s v="Ministerio Público"/>
    <m/>
    <m/>
    <m/>
    <n v="2015"/>
    <n v="5.08"/>
    <n v="4.5"/>
    <n v="4"/>
    <n v="1.1138613861386138E-2"/>
    <m/>
    <n v="4.4910891089108906"/>
    <m/>
    <m/>
    <m/>
    <n v="4.4933168316831678"/>
    <m/>
    <m/>
    <m/>
    <n v="4.4955445544554449"/>
    <m/>
    <m/>
    <m/>
    <n v="4.497772277227722"/>
    <m/>
    <m/>
    <m/>
    <n v="4.5"/>
    <m/>
    <m/>
    <m/>
    <m/>
    <m/>
    <m/>
    <m/>
    <m/>
  </r>
  <r>
    <x v="17"/>
    <d v="2018-04-23T00:00:00"/>
    <x v="12"/>
    <s v="Erradicación de la extrema pobreza"/>
    <s v="01"/>
    <s v="Erradicación de la pobreza extrema material y reducción significativa de la pobreza moderada."/>
    <s v="001"/>
    <s v="1.1.1"/>
    <n v="1"/>
    <s v="1.1.1"/>
    <s v="0101001"/>
    <s v="Se ha reducido al 9,5% la población en situación de pobreza extrema."/>
    <s v="Pobreza Material"/>
    <s v="Pobreza Material"/>
    <s v="Resultado"/>
    <s v="Social"/>
    <s v="Pobreza"/>
    <n v="1"/>
    <m/>
    <s v="RS"/>
    <m/>
    <n v="1"/>
    <s v="M.Educación_x000a_M.Salud_x000a_M.Obras Públicas y Vivienda "/>
    <e v="#DIV/0!"/>
    <n v="1"/>
    <n v="0"/>
    <s v="Etapa 1"/>
    <n v="1"/>
    <n v="1"/>
    <s v="Objetivo 1. Poner fin a la pobreza en todas sus formas y en todo el mundo_x000a_Meta 1.2.De aquí a 2030, reducir al menos a la mitad la proporción de hombres, mujeres y niños de todas las edades que viven en la pobreza en todas sus dimensiones con arreglo a las definiciones nacionales"/>
    <s v="1.2.1 Proporción de la población que vive por debajo del umbral nacional de la pobreza, desglosada por sexo y grupo de edad"/>
    <m/>
    <x v="2"/>
    <n v="25"/>
    <s v="1"/>
    <s v="01010011"/>
    <x v="198"/>
    <s v="Impacto"/>
    <s v="Calidad"/>
    <s v="Urbano-Rural, Departamento (Juntando Beni y Pando)"/>
    <s v="Porcentaje y Número"/>
    <s v="A partir del método de línea de pobreza se considera pobres a las personas cuyo ingreso no es suficiente para mantener un nivel de vida considerado adecuado (cubrir la canasta básica de alimentos), aspecto relacionado a la pobreza coyuntural."/>
    <m/>
    <s v="Población en Pobreza Extrema"/>
    <s v="Encuesta de Hogares - INE"/>
    <s v="Población Total"/>
    <s v="Encuesta de Hogares - INE"/>
    <s v="1999-2009; 2011-2017"/>
    <s v="Para los periodos 1999-2009 no se tiene el factor con las  proyecciones  del Censo 2012"/>
    <n v="1"/>
    <s v="010100111"/>
    <s v="EH "/>
    <s v="Encuestas Hogares"/>
    <s v="Encuesta"/>
    <s v="Anual"/>
    <s v="1999-2009; 2011-2017"/>
    <s v="Nacional"/>
    <s v="Departamental"/>
    <s v="Pobreza por ingresos, Tasa de Desempleo, Analfabetismo. _x000a_Secciones: Empleo, Ingresos, Salud, Educación, Caracterización sociodemográfica, TIC"/>
    <s v="Serie disponible con el factor actualizado sólo desde 2011_x000a_Representatividad departamental de los datos desde 2011"/>
    <s v="Instituto Nacional de Estadística (INE); "/>
    <s v="Dirección de Estadísticas e Indicadores Económicos y Sociales (DEIES)"/>
    <s v="Unidad de Estadísticas e Indicadores Sociales (UEIS)"/>
    <s v="(591) 2222333"/>
    <d v="2015-11-01T00:00:00"/>
    <n v="0.16839999999999999"/>
    <n v="9.5000000000000001E-2"/>
    <m/>
    <n v="-7.3399999999999993E-2"/>
    <n v="5"/>
    <n v="0.15372"/>
    <n v="0.18280879999999999"/>
    <n v="1.4408799999999999E-2"/>
    <n v="-0.19630517711171663"/>
    <n v="0.13904"/>
    <n v="0.17119999999999999"/>
    <n v="2.7999999999999969E-3"/>
    <n v="-3.8147138964577616E-2"/>
    <n v="0.12436"/>
    <m/>
    <n v="-0.16839999999999999"/>
    <n v="2.2942779291553137"/>
    <n v="0.10968"/>
    <m/>
    <n v="-0.16839999999999999"/>
    <n v="2.2942779291553137"/>
    <n v="9.5000000000000001E-2"/>
    <m/>
    <n v="-0.16839999999999999"/>
    <n v="2.2942779291553137"/>
    <s v="Anual"/>
    <s v="Entregado"/>
    <s v="Verificar"/>
    <m/>
    <m/>
  </r>
  <r>
    <x v="17"/>
    <d v="2018-04-23T00:00:00"/>
    <x v="12"/>
    <s v="Erradicación de la extrema pobreza"/>
    <s v="01"/>
    <s v="Erradicación de la pobreza extrema material y reducción significativa de la pobreza moderada."/>
    <s v="002"/>
    <s v="1.1.2"/>
    <n v="2"/>
    <s v="1.1.2"/>
    <s v="0101002"/>
    <s v="Se ha disminuido al 24% la población en situación de pobreza"/>
    <s v="Pobreza Material"/>
    <s v="Pobreza Material"/>
    <s v="Resultado"/>
    <s v="Social"/>
    <s v="Pobreza"/>
    <n v="1"/>
    <m/>
    <s v="RS"/>
    <m/>
    <n v="1"/>
    <s v="M.Educación_x000a_M.Salud_x000a_M.Obras Públicas y Vivienda "/>
    <e v="#DIV/0!"/>
    <n v="1"/>
    <n v="0"/>
    <s v="Etapa 1"/>
    <n v="1"/>
    <n v="1"/>
    <s v="Objetivo 1. Poner fin a la pobreza en todas sus formas y en todo el mundo_x000a_Meta 1.2.De aquí a 2030, reducir al menos a la mitad la proporción de hombres, mujeres y niños de todas las edades que viven en la pobreza en todas sus dimensiones con arreglo a las definiciones nacionales"/>
    <s v="1.2.1 Proporción de la población que vive por debajo del umbral nacional de la pobreza, desglosada por sexo y grupo de edad"/>
    <m/>
    <x v="2"/>
    <n v="25"/>
    <s v="1"/>
    <s v="01010021"/>
    <x v="199"/>
    <s v="Impacto"/>
    <s v="Calidad"/>
    <s v="Urbano-Rural, Departamento (Juntando Beni y Pando)"/>
    <s v="Porcentaje y Número "/>
    <s v=" A partir del método de línea de pobreza se considera pobres a las personas cuyo ingreso no es suficiente para mantener un nivel de vida considerado adecuado (cubrir la canasta básica alimentaria y no alimentaria), aspecto relacionado a la pobreza coyuntural."/>
    <m/>
    <s v="Población en Pobreza "/>
    <s v="Encuesta de Hogares - INE"/>
    <s v="Población Total"/>
    <s v="Encuesta de Hogares - INE"/>
    <s v="1999-2009; 2011-2017"/>
    <s v="Para los periodos 1999-2009 no  se tiene el factor con las  proyecciones  del Censo  2012"/>
    <n v="1"/>
    <s v="010100211"/>
    <s v="EH"/>
    <s v="Encuestas Hogares"/>
    <s v="Encuesta"/>
    <s v="Anual"/>
    <s v="1999-2009; 2011-2017"/>
    <s v="Nacional"/>
    <s v="Departamental"/>
    <s v="Pobreza por ingresos, Tasa de Desempleo, Analfabetismo. _x000a_Secciones: Empleo, Ingresos, Salud, Educación, Caracterización sociodemográfica, TIC"/>
    <s v="Serie disponible con el factor actualizado sólo desde 2011_x000a_Representatividad departamental de los datos desde 2011"/>
    <s v="Instituto Nacional de Estadística (INE); "/>
    <s v="Dirección de Estadísticas e Indicadores Económicos y Sociales (DEIES)"/>
    <s v="Unidad de Estadísticas e Indicadores Sociales (UEIS)"/>
    <s v="(591) 2222333"/>
    <d v="2015-11-01T00:00:00"/>
    <n v="0.3856"/>
    <n v="0.24"/>
    <m/>
    <n v="-0.14560000000000001"/>
    <n v="5"/>
    <n v="0.35648000000000002"/>
    <n v="0.39449260000000003"/>
    <n v="8.8926000000000283E-3"/>
    <n v="-6.1075549450549639E-2"/>
    <n v="0.32735999999999998"/>
    <n v="0.3644"/>
    <n v="-2.1199999999999997E-2"/>
    <n v="0.14560439560439559"/>
    <n v="0.29824000000000001"/>
    <m/>
    <n v="-0.3856"/>
    <n v="2.6483516483516483"/>
    <n v="0.26912000000000003"/>
    <m/>
    <n v="-0.3856"/>
    <n v="2.6483516483516483"/>
    <n v="0.24"/>
    <m/>
    <n v="-0.3856"/>
    <n v="2.6483516483516483"/>
    <s v="Anual"/>
    <s v="Entregado"/>
    <s v="Verificar"/>
    <m/>
    <m/>
  </r>
  <r>
    <x v="17"/>
    <d v="2018-04-23T00:00:00"/>
    <x v="12"/>
    <s v="Erradicación de la extrema pobreza"/>
    <s v="01"/>
    <s v="Erradicación de la pobreza extrema material y reducción significativa de la pobreza moderada."/>
    <s v="003"/>
    <s v="1.1.3"/>
    <n v="3"/>
    <s v="1.1.3"/>
    <s v="0101003"/>
    <s v="Se ha reducido hasta un 22% las Necesidades Básicas Insatisfechas (NBI)."/>
    <s v="Pobreza Material"/>
    <s v="Pobreza Material"/>
    <s v="Resultado"/>
    <s v="Social"/>
    <s v="Pobreza"/>
    <n v="1"/>
    <m/>
    <s v="RS"/>
    <m/>
    <n v="1"/>
    <s v="M.Educación_x000a_M.Salud_x000a_M.Obras Públicas y Vivienda "/>
    <e v="#DIV/0!"/>
    <n v="1"/>
    <n v="0"/>
    <s v="ETAPA 3"/>
    <n v="1"/>
    <n v="1"/>
    <s v="Objetivo 1. Poner fin a la pobreza en todas sus formas y en todo el mundo_x000a_Meta 1.4 De aquí a 2030, garantizar que todos los hombres y mujeres, en particular los pobres y los vulnerables, tengan los mismos derechos a los recursos económicos y acceso a los servicios básicos, la propiedad y el control de la tierra y otros bienes, la herencia, los recursos naturales, las nuevas tecnologías apropiadas y los servicios financieros, incluida la microfinanciación"/>
    <s v="1.4.1 Proporción de la población que vive en hogares con acceso a servicios básicos"/>
    <m/>
    <x v="2"/>
    <n v="25"/>
    <s v="1"/>
    <s v="01010031"/>
    <x v="200"/>
    <s v="Impacto"/>
    <s v="Calidad"/>
    <s v="Urbano-Rural, Departamento, Municipios_x000a_"/>
    <s v="Porcentaje"/>
    <s v="Porcentaje de población pobre según Necesidades Básicas Insatisfechas (Moderada, Indigente, Marginal) respecto a la población total"/>
    <m/>
    <s v="Población Pobre por NBI (Moderada, Indigente, Marginal)"/>
    <s v="Censo de Población y Vivienda"/>
    <s v="Población Total Objeto de Estudio"/>
    <s v="Censo de Población y Vivienda"/>
    <s v="1976 - 1992 - 2001 - 2012"/>
    <m/>
    <n v="1"/>
    <s v="010100311"/>
    <s v="CPV"/>
    <s v="Censo de Población y Vivienda"/>
    <s v="Censo"/>
    <s v="Censal"/>
    <s v="1976 - 1992 - 2001 - 2012"/>
    <s v="Nacional"/>
    <s v="Municipal"/>
    <s v="Pobreza por NBI,  Analfabetismo. _x000a_Secciones: Condición de Actividad,  Salud, Educación, Caracterización sociodemográfica"/>
    <s v="La desagregación para 339 municipios solo disponible para  2001 y 2012"/>
    <s v="Instituto Nacional de Estadística (INE); "/>
    <s v="Dirección de Censos y Encuestas (DCE)"/>
    <s v="Unidad de Estadísticas e Indicadores Sociales (UEIS)"/>
    <s v="(591) 2222333"/>
    <n v="2012"/>
    <n v="0.44900000000000001"/>
    <n v="0.22"/>
    <m/>
    <n v="-0.22900000000000001"/>
    <n v="5"/>
    <n v="0.4032"/>
    <m/>
    <n v="-0.44900000000000001"/>
    <n v="1.9606986899563319"/>
    <n v="0.3574"/>
    <m/>
    <n v="-0.44900000000000001"/>
    <n v="1.9606986899563319"/>
    <n v="0.31159999999999999"/>
    <m/>
    <n v="-0.44900000000000001"/>
    <n v="1.9606986899563319"/>
    <n v="0.26580000000000004"/>
    <m/>
    <n v="-0.44900000000000001"/>
    <n v="1.9606986899563319"/>
    <n v="0.22"/>
    <m/>
    <n v="-0.44900000000000001"/>
    <n v="1.9606986899563319"/>
    <m/>
    <m/>
    <s v="Verificar"/>
    <m/>
    <m/>
  </r>
  <r>
    <x v="17"/>
    <d v="2018-04-20T00:00:00"/>
    <x v="12"/>
    <s v="Erradicación de la extrema pobreza"/>
    <s v="01"/>
    <s v="Erradicación de la pobreza extrema material y reducción significativa de la pobreza moderada."/>
    <s v="004"/>
    <s v="1.1.4"/>
    <n v="4"/>
    <s v="1.1.4"/>
    <s v="0101004"/>
    <s v="Se ha reducido hasta 25 veces la relación de ingresos entre el 10% más rico y el 10% más pobre."/>
    <s v="Pobreza Material"/>
    <s v="Pobreza Material"/>
    <s v="Resultado"/>
    <s v="Social"/>
    <s v="Pobreza"/>
    <n v="1"/>
    <m/>
    <s v="RS"/>
    <m/>
    <n v="1"/>
    <m/>
    <e v="#DIV/0!"/>
    <n v="1"/>
    <n v="0"/>
    <s v="Etapa 1"/>
    <n v="1"/>
    <n v="10"/>
    <s v="Objetivo 10. Reducir la desigualdad en los países y entre ellos_x000a_Meta 10.1 De aquí a 2030, lograr progresivamente y mantener el crecimiento de los ingresos del 40% más pobre de la población a una tasa superior a la media nacional"/>
    <s v="10.1.1 Tasas de crecimiento de los gastos o ingresos de los hogares per cápita entre el 40% más pobre de la población y la población total"/>
    <m/>
    <x v="0"/>
    <n v="25"/>
    <n v="1"/>
    <s v="01010041"/>
    <x v="201"/>
    <s v="Impacto"/>
    <s v="Calidad"/>
    <s v="Urbano-Rural"/>
    <s v="En número de veces"/>
    <s v="_x000a_Relación de los ingresos del 10% más rico y el 10% más pobre_x000a__x000a_"/>
    <m/>
    <s v="Participación de los ingresos del 10% más rico, respecto del ingreso total"/>
    <s v="Encuesta de Hogares - INE"/>
    <s v="Participación de  los ingresos del 10% más pobre, respecto del ingreso total"/>
    <s v="Encuesta de Hogares - INE"/>
    <s v="Serie disponible con el factor actualizado desde 2011"/>
    <m/>
    <n v="1"/>
    <s v="010100411"/>
    <s v="EH"/>
    <s v="Encuestas Hogares"/>
    <s v="Encuesta"/>
    <s v="Anual"/>
    <s v="1999-2009; 2011-2017"/>
    <s v="Nacional"/>
    <s v="_x000a_Departamental"/>
    <s v="Pobreza por ingresos, Tasa de Desempleo, Analfabetismo. _x000a_Secciones: Empleo, Ingresos, Salud, Educación, Caracterización sociodemográfica, TIC"/>
    <s v="Serie disponible con el factor actualizado sólo desde 2011_x000a_Representatividad departamental de los datos desde 2011"/>
    <s v="Unidad de Análisis de Políticas Sociales y Económicas (UDAPE)"/>
    <s v="Subdirección de Política Social"/>
    <s v="Subdirección de Política Social"/>
    <s v="2379493, 2374226, 2375512"/>
    <d v="2015-11-01T00:00:00"/>
    <n v="37.168955269879596"/>
    <n v="25"/>
    <m/>
    <n v="-12.168955269879596"/>
    <n v="5"/>
    <n v="34.73516421590368"/>
    <n v="46.1"/>
    <n v="8.931044730120405"/>
    <n v="-0.73392041732837854"/>
    <n v="32.301373161927756"/>
    <n v="39.995744734650046"/>
    <n v="2.8267894647704495"/>
    <n v="-0.2322951643817176"/>
    <n v="29.86758210795184"/>
    <m/>
    <n v="-37.168955269879596"/>
    <n v="3.0544080774032918"/>
    <n v="27.43379105397592"/>
    <m/>
    <n v="-37.168955269879596"/>
    <n v="3.0544080774032918"/>
    <n v="25"/>
    <m/>
    <n v="-37.168955269879596"/>
    <n v="3.0544080774032918"/>
    <s v="Anual"/>
    <m/>
    <s v="Verificar"/>
    <m/>
    <m/>
  </r>
  <r>
    <x v="18"/>
    <d v="2018-04-23T00:00:00"/>
    <x v="1"/>
    <s v="Soberanía productiva con diversificación desarrollo integral sin la dictadura del mercado capitalista"/>
    <s v="10"/>
    <s v="Empleo para una Vida Digna."/>
    <n v="185"/>
    <s v="6.10.1"/>
    <n v="1"/>
    <s v="6.10.1"/>
    <s v="0610185"/>
    <s v="Se ha reducido a 6,3% la tasa de desempleo en jóvenes de 16 a 28 años."/>
    <s v="Complejos Productivos"/>
    <s v="Complejos Productivos"/>
    <s v="Resultado"/>
    <m/>
    <m/>
    <m/>
    <m/>
    <s v="RS"/>
    <m/>
    <m/>
    <s v="M.Trabajo y Previsión Social"/>
    <e v="#DIV/0!"/>
    <n v="1"/>
    <n v="0"/>
    <s v="Etapa 1"/>
    <m/>
    <n v="8"/>
    <s v="Objetivo 8: Promover el crecimiento económico sostenido, inclusivo y sostenible, el empleo pleno y productivo y el trabajo decente para todos_x000a_Meta 8.5 De aquí a 2030, lograr el empleo pleno y productivo y el trabajo decente para todas las mujeres y los hombres, incluidos los jóvenes y las personas con discapacidad, así como la igualdad de remuneración por trabajo de igual valor"/>
    <s v="8.5.2 Tasa de desempleo , desglosada por sexo , edad  y personas con discapacidad"/>
    <s v="Por efectos de medición, de la meta ODS que establece al 2020 reducir considerablemente la tasa de desempleo, se considerará  una &quot;mejora considerable&quot; a cualquier variación negativa del indicador."/>
    <x v="0"/>
    <n v="100"/>
    <n v="1"/>
    <s v="06101851"/>
    <x v="202"/>
    <s v="Impacto"/>
    <m/>
    <s v="Sexo,  área urbana"/>
    <s v="Porcentaje "/>
    <s v="Es  el  porcentaje  de  la  población _x000a_desocupada, _x000a_entre la población económicamente activa_x000a_de 10 o más años"/>
    <s v="_x000a__x000a_"/>
    <s v="Población Desocupada, son las personas de 10 años o más que al momento de la encuesta estaban buscando activamente trabajo y no lo encontraron"/>
    <s v="INE"/>
    <s v="Población Económicamente Activa (PEA) es el conjunto de personas de 10 años o más que trabajaron al menos una hora en la semana de referencia o que sin hacerlo buscaron trabajo en las últimas cuatro semanas"/>
    <s v="INE "/>
    <s v="1999-2009; 2011-2017"/>
    <s v="Para los periodos 1999-2009 no se tiene el factor con las  proyecciones  del Censo 2012"/>
    <n v="1"/>
    <s v="061018511"/>
    <s v="EH"/>
    <s v="Encuestas Hogares"/>
    <s v="Encuesta "/>
    <s v="Anual "/>
    <s v="1999-2009; 2011 a 2017"/>
    <s v="Nacional, urbana y rural"/>
    <s v="A partir del 2011  se cuenta con  una representatividad departamental"/>
    <s v="Pobreza por ingresos, Tasa de Desempleo, Analfabetismo. _x000a_Secciones: Empleo, Ingresos, Salud, Educación, Caracterización sociodemográfica, TIC"/>
    <s v="Serie disponible con el factor actualizado sólo desde 2011_x000a_Representatividad departamental de los datos desde 2011."/>
    <s v="Instituto Nacional de Estadística (INE); "/>
    <s v="Dirección de Estadísticas e Indicadores Económicos y Sociales (DEIES)"/>
    <s v="Unidad de Estadísticas e Indicadores Sociales (UEIS)"/>
    <s v="(591) 2222333"/>
    <d v="2015-11-01T00:00:00"/>
    <n v="4.3770000000000003E-2"/>
    <m/>
    <m/>
    <n v="-4.3770000000000003E-2"/>
    <m/>
    <n v="3.5016000000000005E-2"/>
    <n v="4.913E-2"/>
    <n v="5.3599999999999967E-3"/>
    <n v="-0.12245830477495993"/>
    <n v="2.6262000000000001E-2"/>
    <n v="4.6300000000000001E-2"/>
    <n v="2.5299999999999975E-3"/>
    <n v="-5.7802147589673232E-2"/>
    <n v="1.7507999999999999E-2"/>
    <m/>
    <n v="-4.3770000000000003E-2"/>
    <n v="1"/>
    <n v="8.7539999999999979E-3"/>
    <m/>
    <n v="-4.3770000000000003E-2"/>
    <n v="1"/>
    <n v="0"/>
    <m/>
    <n v="-4.3770000000000003E-2"/>
    <n v="1"/>
    <m/>
    <m/>
    <m/>
    <m/>
    <m/>
  </r>
  <r>
    <x v="18"/>
    <d v="2018-04-23T00:00:00"/>
    <x v="1"/>
    <s v="Soberanía productiva con diversificación desarrollo integral sin la dictadura del mercado capitalista"/>
    <s v="10"/>
    <s v="Empleo para una Vida Digna."/>
    <n v="185"/>
    <s v="6.10.1"/>
    <n v="1"/>
    <s v="6.10.1"/>
    <s v="0610185"/>
    <s v="Se ha reducido a 6,3% la tasa de desempleo en jóvenes de 16 a 28 años."/>
    <s v="Complejos Productivos"/>
    <s v="Complejos Productivos"/>
    <s v="Resultado"/>
    <m/>
    <m/>
    <m/>
    <m/>
    <s v="RS"/>
    <m/>
    <m/>
    <s v="M.Trabajo y Previsión Social"/>
    <e v="#DIV/0!"/>
    <n v="1"/>
    <n v="0"/>
    <s v="Etapa 1"/>
    <m/>
    <n v="8"/>
    <s v="Objetivo 8: Promover el crecimiento económico sostenido, inclusivo y sostenible, el empleo pleno y productivo y el trabajo decente para todos_x000a_Meta 8.5 De aquí a 2030, lograr el empleo pleno y productivo y el trabajo decente para todas las mujeres y los hombres, incluidos los jóvenes y las personas con discapacidad, así como la igualdad de remuneración por trabajo de igual valor"/>
    <s v="8.5.2 Tasa de desempleo , desglosada por sexo , edad  y personas con discapacidad"/>
    <s v="Por efectos de medición, de la meta ODS que establece al 2020 reducir considerablemente la tasa de desempleo, se considerará  una &quot;mejora considerable&quot; a cualquier variación negativa del indicador."/>
    <x v="0"/>
    <n v="50"/>
    <n v="2"/>
    <s v="06101852"/>
    <x v="203"/>
    <s v="Impacto"/>
    <m/>
    <s v="Sexo,  área urbana"/>
    <s v="Porcentaje  "/>
    <s v="Es  el  porcentaje  de  la  población _x000a_desocupada, _x000a_entre la población económicamente activa_x000a_de 10 o más años"/>
    <m/>
    <s v="Población Desocupada, son las personas de 10 años o más que al momento de la encuesta estaban buscando activamente trabajo y no lo encontraron"/>
    <s v="INE"/>
    <s v="Población Económicamente Activa (PEA) es el conjunto de personas de 10 años o más que trabajaron al menos una hora en la semana de referencia o que sin hacerlo buscaron trabajo en las últimas cuatro semanas"/>
    <s v="INE "/>
    <s v="4t 2015- 4t 2017"/>
    <s v="El indicador es solo trimestral y urbano"/>
    <n v="2"/>
    <s v="061018522"/>
    <s v="ECE"/>
    <s v="Encuesta Contínua de Empleo"/>
    <s v="Encuesta "/>
    <s v="Trimestral"/>
    <s v="2015-2017"/>
    <s v="Nacional, urbana y rural"/>
    <s v="Representatividad departamental trimestral y anual"/>
    <s v="Población desocupada; Población económicamente activa"/>
    <s v="El indicador es representativo y reportado para área urbana (Dato del último trimestre)"/>
    <s v="Instituto Nacional de Estadística (INE); "/>
    <s v="Dirección de Estadísticas e Indicadores Económicos y Sociales (DEIES)"/>
    <s v="Unidad de Estadísticas e Indicadores Sociales (UEIS)"/>
    <s v="(591) 2222333"/>
    <d v="2015-12-01T00:00:00"/>
    <n v="4.5425474821644697E-2"/>
    <m/>
    <m/>
    <n v="-4.5425474821644697E-2"/>
    <m/>
    <n v="3.6340379857315759E-2"/>
    <n v="4.3997478454289703E-2"/>
    <n v="-1.4279963673549945E-3"/>
    <n v="3.1436025115021388E-2"/>
    <n v="2.7255284892986818E-2"/>
    <n v="4.4867777968359397E-2"/>
    <n v="-5.5769685328529994E-4"/>
    <n v="1.2277182692641091E-2"/>
    <n v="1.8170189928657876E-2"/>
    <m/>
    <n v="-4.5425474821644697E-2"/>
    <n v="1"/>
    <n v="9.085094964328938E-3"/>
    <m/>
    <n v="-4.5425474821644697E-2"/>
    <n v="1"/>
    <n v="0"/>
    <m/>
    <n v="-4.5425474821644697E-2"/>
    <n v="1"/>
    <m/>
    <m/>
    <m/>
    <m/>
    <m/>
  </r>
  <r>
    <x v="18"/>
    <d v="2018-04-23T00:00:00"/>
    <x v="1"/>
    <s v="Soberanía productiva con diversificación desarrollo integral sin la dictadura del mercado capitalista"/>
    <s v="010"/>
    <s v="Empleo para una Vida Digna."/>
    <n v="185"/>
    <s v="6.10.1"/>
    <n v="1"/>
    <s v="6.10.1"/>
    <s v="06010185"/>
    <s v="Se ha reducido a 6,3% la tasa de desempleo en jóvenes de 16 a 28 años."/>
    <s v="Complejos Productivos"/>
    <s v="Complejos Productivos"/>
    <s v="Resultado"/>
    <m/>
    <m/>
    <m/>
    <m/>
    <s v="RS"/>
    <m/>
    <m/>
    <s v="M.Trabajo y Previsión Social"/>
    <e v="#DIV/0!"/>
    <n v="1"/>
    <n v="0"/>
    <s v="Etapa 1"/>
    <m/>
    <n v="8"/>
    <s v="Objetivo 8: Promover el crecimiento económico sostenido, inclusivo y sostenible, el empleo pleno y productivo y el trabajo decente para todos_x000a_Meta 8.5 De aquí a 2030, lograr el empleo pleno y productivo y el trabajo decente para todas las mujeres y los hombres, incluidos los jóvenes y las personas con discapacidad, así como la igualdad de remuneración por trabajo de igual valor"/>
    <s v="8.5.2 Tasa de desempleo , desglosada por sexo , edad  y personas con discapacidad"/>
    <s v="Por efectos de medición, de la meta ODS que establece al 2020 reducir considerablemente la tasa de desempleo, se considerará  una &quot;mejora considerable&quot; a cualquier variación negativa del indicador."/>
    <x v="0"/>
    <n v="33.333333333333336"/>
    <n v="3"/>
    <s v="060101853"/>
    <x v="204"/>
    <s v="Impacto"/>
    <m/>
    <s v="Sexo, grupos de edad, área urbana"/>
    <s v="Porcentaje "/>
    <s v="Es  el  porcentaje  de  la  población _x000a_desocupada jóven entre 16 y 28 años de edad, _x000a_entre la población económicamente activa_x000a_entre 16 y 28 años de edad"/>
    <s v="_x000a_"/>
    <s v="Población Joven  Desocupada,   son aquellas personas de 16 a 28 años de edad  que al momento de la encuesta se consideraron sin trabajo y lo buscan activamente."/>
    <s v="INE"/>
    <s v="Población Joven Económicamente Activa (PJEA) es el conjunto de personas de 16 a 28 años  de edad que trabajaron al menos una hora en la semana de referencia o que sin hacerlo buscaron trabajo en las últimas cuatro semanas"/>
    <s v="INE "/>
    <s v="2000-2009; 2011-2017"/>
    <s v="Para los periodos  2000-2009 no  se tiene el factor con las  proyecciones  del Censo  2012"/>
    <n v="1"/>
    <s v="0601018531"/>
    <s v="EH"/>
    <s v="Encuestas Hogares"/>
    <s v="Encuesta "/>
    <s v="Anual "/>
    <s v="2000-2009; 2011 a 2017"/>
    <s v="Nacional, urbana y rural"/>
    <s v="A partir del 2011  se cuenta con  una representatividad departamental"/>
    <s v="Población desocupada; Población económicamente activa"/>
    <s v="El indicador es representativo y reportado para área urbana"/>
    <s v="Instituto Nacional de Estadística (INE); "/>
    <s v="Dirección de Estadísticas e Indicadores Económicos y Sociales (DEIES)"/>
    <s v="Unidad de Estadísticas e Indicadores Sociales (UEIS)"/>
    <s v="(591) 2222333"/>
    <d v="2015-11-01T00:00:00"/>
    <n v="8.6999999999999994E-2"/>
    <n v="6.3E-2"/>
    <m/>
    <n v="-2.3999999999999994E-2"/>
    <m/>
    <n v="8.2199999999999995E-2"/>
    <n v="9.1759999999999994E-2"/>
    <n v="4.7600000000000003E-3"/>
    <n v="-0.19833333333333339"/>
    <n v="7.7399999999999997E-2"/>
    <n v="0.09"/>
    <n v="3.0000000000000027E-3"/>
    <n v="-0.12500000000000014"/>
    <n v="7.2599999999999998E-2"/>
    <m/>
    <n v="-8.6999999999999994E-2"/>
    <n v="3.6250000000000009"/>
    <n v="6.7799999999999999E-2"/>
    <m/>
    <n v="-8.6999999999999994E-2"/>
    <n v="3.6250000000000009"/>
    <n v="6.3E-2"/>
    <m/>
    <n v="-8.6999999999999994E-2"/>
    <n v="3.6250000000000009"/>
    <m/>
    <m/>
    <m/>
    <m/>
    <m/>
  </r>
  <r>
    <x v="18"/>
    <d v="2018-04-23T00:00:00"/>
    <x v="1"/>
    <s v="Soberanía productiva con diversificación desarrollo integral sin la dictadura del mercado capitalista"/>
    <s v="010"/>
    <s v="Empleo para una Vida Digna."/>
    <n v="185"/>
    <s v="6.10.1"/>
    <n v="1"/>
    <s v="6.10.1"/>
    <s v="06010185"/>
    <s v="Se ha reducido a 6,3% la tasa de desempleo en jóvenes de 16 a 28 años."/>
    <s v="Complejos Productivos"/>
    <s v="Complejos Productivos"/>
    <s v="Resultado"/>
    <m/>
    <m/>
    <m/>
    <m/>
    <s v="RS"/>
    <m/>
    <m/>
    <s v="M.Trabajo y Previsión Social"/>
    <e v="#DIV/0!"/>
    <n v="1"/>
    <n v="0"/>
    <s v="Etapa 1"/>
    <m/>
    <n v="8"/>
    <s v="Objetivo 8: Promover el crecimiento económico sostenido, inclusivo y sostenible, el empleo pleno y productivo y el trabajo decente para todos_x000a_Meta 8.5 De aquí a 2030, lograr el empleo pleno y productivo y el trabajo decente para todas las mujeres y los hombres, incluidos los jóvenes y las personas con discapacidad, así como la igualdad de remuneración por trabajo de igual valor"/>
    <s v="8.5.2 Tasa de desempleo , desglosada por sexo , edad  y personas con discapacidad"/>
    <s v="Por efectos de medición, de la meta ODS que establece al 2020 reducir considerablemente la tasa de desempleo, se considerará  una &quot;mejora considerable&quot; a cualquier variación negativa del indicador."/>
    <x v="0"/>
    <m/>
    <n v="4"/>
    <s v="060101854"/>
    <x v="205"/>
    <s v="Impacto"/>
    <m/>
    <s v="Sexo, grupos de edad, área urbana"/>
    <s v="Porcentaje   "/>
    <s v="Es  el  porcentaje  de  la  población _x000a_desocupada jóven entre 16 y 28 años de edad, _x000a_entre la población económicamente activa_x000a_entre 16 y 28 años de edad_x000a_."/>
    <m/>
    <s v="Población Joven  Desocupada ,son aquellas personas de 16 a 28 años de edad  que al momento de la encuesta se consideraron sin trabajo y lo buscan activamente.. "/>
    <s v="INE"/>
    <s v="Población Joven Económicamente Activa (PJEA) es el conjunto de personas de 16 a 28 años  de edad que trabajaron al menos una hora en la semana de referencia o que sin hacerlo buscaron trabajo en las últimas cuatro semanas"/>
    <s v="INE "/>
    <s v="4t 2015- 4t 2017"/>
    <s v="El indicador es solo trimestral y urbano"/>
    <n v="2"/>
    <s v="0601018542"/>
    <s v="ECE"/>
    <s v="Encuesta Contínua de Empleo"/>
    <s v="Encuesta "/>
    <s v="Trimestral"/>
    <s v="2015-2017"/>
    <s v="Nacional, urbana y rural"/>
    <s v="Representatividad departamental trimestral y anual"/>
    <s v="Población desocupada; Población económicamente activa"/>
    <s v="El indicador es representativo y reportado para área urbana (Dato del último trimestre)"/>
    <s v="Instituto Nacional de Estadística (INE); "/>
    <s v="Dirección de Estadísticas e Indicadores Económicos y Sociales (DEIES)"/>
    <s v="Unidad de Estadísticas e Indicadores Sociales (UEIS)"/>
    <s v="(591) 2222333"/>
    <d v="2015-12-01T00:00:00"/>
    <n v="8.1121177454904297E-2"/>
    <n v="6.3E-2"/>
    <m/>
    <n v="-1.8121177454904297E-2"/>
    <m/>
    <n v="7.7496941963923441E-2"/>
    <n v="7.7619999999999995E-2"/>
    <n v="-3.5011774549043029E-3"/>
    <n v="0.19320915893115698"/>
    <n v="7.3872706472942584E-2"/>
    <n v="8.455E-2"/>
    <n v="3.4288225450957027E-3"/>
    <n v="-0.18921632182172191"/>
    <n v="7.0248470981961714E-2"/>
    <m/>
    <n v="-8.1121177454904297E-2"/>
    <n v="4.4765952795716233"/>
    <n v="6.6624235490980857E-2"/>
    <m/>
    <n v="-8.1121177454904297E-2"/>
    <n v="4.4765952795716233"/>
    <n v="6.3E-2"/>
    <m/>
    <n v="-8.1121177454904297E-2"/>
    <n v="4.4765952795716233"/>
    <m/>
    <m/>
    <m/>
    <m/>
    <m/>
  </r>
  <r>
    <x v="18"/>
    <d v="2018-04-23T00:00:00"/>
    <x v="1"/>
    <s v="Soberanía productiva con diversificación desarrollo integral sin la dictadura del mercado capitalista"/>
    <s v="010"/>
    <s v="Empleo para una Vida Digna."/>
    <n v="185"/>
    <m/>
    <m/>
    <m/>
    <s v="06010185"/>
    <s v="Se ha reducido a 6,3% la tasa de desempleo en jóvenes de 16 a 28 años."/>
    <m/>
    <m/>
    <s v="Resultado"/>
    <m/>
    <m/>
    <m/>
    <m/>
    <m/>
    <m/>
    <m/>
    <s v="M.Trabajo y Previsión Social"/>
    <e v="#DIV/0!"/>
    <n v="1"/>
    <n v="0"/>
    <s v="Etapa 1"/>
    <m/>
    <n v="8"/>
    <s v="Objetivo 8: Promover el crecimiento económico sostenido, inclusivo y sostenible, el empleo pleno y productivo y el trabajo decente para todos_x000a_Meta 8.6 De aquí a 2020, reducir considerablemente la proporción de jóvenes que no están empleados y no cursan estudios ni reciben capacitación"/>
    <s v="8.6.1 Proporción de jóvenes (entre 15 y 24 años) que no cursan estudios, no están empleados ni reciben capacitación"/>
    <s v="Por efectos de medición, de la meta ODS que establece al 2020 reducir considerablemente la tasa de desempleo, se considerará  una &quot;mejora considerable&quot; a cualquier variación negativa del indicador."/>
    <x v="0"/>
    <m/>
    <n v="5"/>
    <s v="060101855"/>
    <x v="206"/>
    <s v="Impacto"/>
    <m/>
    <s v="Área, Sexo"/>
    <s v="Porcentaje "/>
    <s v="Población joven, entre 16 – 28 años de edad, que:_x000a_I. Ni están trabajando (no están ocupados)._x000a_2. Ni buscan trabajo (no son desocupados )._x000a_3. Ni están disponibles para trabajar y no asisten a la escuela ._x000a__x000a_"/>
    <m/>
    <s v="TJ= Total jóvenes_x000a_JD= Jóvenes desocupados_x000a_JNT=Jóvenes no trabajan pero estudian_x000a_JD=Jóvenes desocupados"/>
    <s v="INE"/>
    <s v="TJ= Total jóvenes_x000a_Población de 16 a 28 años de edad"/>
    <s v="INE "/>
    <s v="2000-2009; 2011-2017"/>
    <s v="Para los periodos  2000-2009 no  se tiene el factor con las  proyecciones  del Censo  2012"/>
    <n v="1"/>
    <s v="0601018551"/>
    <s v="EH"/>
    <s v="Encuestas Hogares"/>
    <s v="Encuesta "/>
    <s v="Anual "/>
    <s v="2000-2009; 2011 a 2017"/>
    <s v="Nacional, urbana y rural"/>
    <s v="A partir del 2011  se cuenta con  una representatividad departamental"/>
    <s v="Población desocupada; Población económicamente activa"/>
    <s v="El indicador es representativo y reportado para área urbana"/>
    <s v="Instituto Nacional de Estadística (INE); "/>
    <s v="Dirección de Estadísticas e Indicadores Económicos y Sociales (DEIES)"/>
    <s v="Unidad de Estadísticas e Indicadores Sociales (UEIS)"/>
    <s v="(591) 2222333"/>
    <d v="2015-11-01T00:00:00"/>
    <n v="0.17081681514431399"/>
    <m/>
    <m/>
    <m/>
    <m/>
    <n v="0.17081681514431399"/>
    <n v="0.119983542921986"/>
    <n v="-5.0833272222327988E-2"/>
    <e v="#DIV/0!"/>
    <n v="-1.0166654444465597E-2"/>
    <n v="0.14238170365635999"/>
    <n v="-2.8435111487953996E-2"/>
    <e v="#DIV/0!"/>
    <n v="0.17081681514431399"/>
    <m/>
    <n v="-0.17081681514431399"/>
    <e v="#DIV/0!"/>
    <n v="0.17081681514431399"/>
    <m/>
    <n v="-0.17081681514431399"/>
    <e v="#DIV/0!"/>
    <n v="0.17081681514431399"/>
    <m/>
    <n v="-0.17081681514431399"/>
    <e v="#DIV/0!"/>
    <m/>
    <m/>
    <m/>
    <m/>
    <m/>
  </r>
  <r>
    <x v="18"/>
    <m/>
    <x v="1"/>
    <s v="Soberanía productiva con diversificación desarrollo integral sin la dictadura del mercado capitalista"/>
    <s v="06010"/>
    <s v="Empleo para una Vida Digna."/>
    <n v="2"/>
    <s v="6.10.2"/>
    <n v="186"/>
    <s v="6.10.186"/>
    <n v="6010186"/>
    <s v="Se ha logrado incrementar la población ocupada que cuenta con seguridad social de corto y largo largo plazo."/>
    <s v="Complejos Productivos"/>
    <s v="Territoriales"/>
    <s v="Resultado"/>
    <s v="Social"/>
    <s v="Empleo (Complejos Prod)"/>
    <m/>
    <n v="1"/>
    <s v="RS"/>
    <m/>
    <n v="1"/>
    <m/>
    <e v="#DIV/0!"/>
    <n v="1"/>
    <n v="0"/>
    <s v="Etapa 1"/>
    <n v="1"/>
    <n v="8"/>
    <s v="8.5 De aquí a 2030, lograr el empleo pleno y productivo y el trabajo decente para todas las mujeres y los hombres, incluidos los jóvenes y las personas con discapacidad, así como la igualdad de remuneración por trabajo de igual valor_x000a_Objetivo 1: Poner fin a la pobreza en todas sus formas y en todo el mundo_x000a_Meta 1.3 Implementar a nivel nacional sistemas y medidas apropiados de protección social para todos, incluidos niveles mínimos, y, de aquí a 2030, lograr una amplia cobertura de las personas pobres y vulnerables"/>
    <s v="8.5.1 Ingreso medio por hora de mujeres y hombres empleados, por ocupación, grupo de edad y personas con discapacidad_x000a_8.5.2 Tasa de desempleo, por sexo, grupo de edad y personas con discapacidad_x000a_8.b.1 Gasto total de fondos públicos en programas de protección social y de empleo como porcentaje de los presupuestos nacionales y del PIB_x000a__x000a_1.3.1 Proporción de la población cubierta por sistemas o niveles mínimos de protección social, desglosada por sexo, distinguiendo entre los niños, los desempleados, los ancianos, las personas con discapacidad, las mujeres embarazadas, los recién nacidos, las víctimas de accidentes de trabajo, los pobres y los vulnerables"/>
    <s v="Uno proviene de encuesta y el otro de registros administrativos"/>
    <x v="8"/>
    <s v="Los indicadores ODS descritos no tienen ninguna relación con el indicador de Incremento de la población ocupada que cuenta con seguridad social largo plazo."/>
    <n v="1"/>
    <s v="60101861"/>
    <x v="207"/>
    <s v="Impacto"/>
    <m/>
    <s v="*Hombres y mujeres,  *Nacional y departamental"/>
    <s v="En cantidad de Asegurados al Sistema Integral de Pensiones"/>
    <s v="Personas Aseguradas de forma dependiente o Independiente, a la Seguridad Social de largo plazo, mediante el Ente Gestor (AFPs o Gestora Pública)."/>
    <s v="El Indicador sera reportado de manera evolutiva, en relación a la cantidad reportada de asegurados anualmente."/>
    <s v="Cantidad de Asegurados al Sistema Integral de Pensiones"/>
    <s v="APS"/>
    <s v="-"/>
    <s v="-"/>
    <s v="2005-2017"/>
    <s v=" "/>
    <n v="1"/>
    <s v="601018611"/>
    <s v="APS"/>
    <s v="Autoridad de Fiscalización y Control de Pensiones y Seguros "/>
    <s v="Registro Administrativo"/>
    <s v="Anual "/>
    <s v="2005-2017"/>
    <s v="Nacional"/>
    <s v="Nacional"/>
    <s v="Evolución de Asegurados el Sistema Integral de Pensiones"/>
    <s v="No se puede establecer una meta 2020 para este indicador, y tal como esta en el resultado PDES, se reportará el respectivo incremento de la de la población ocupada que cuenta con seguridad social largo plazo."/>
    <s v="Ministerio de Economía y Finanzas Públicas (MEFP)"/>
    <s v="Dirección General de Planificación (DGPLA)"/>
    <s v="Dirección General de Planificación (DGPLA)"/>
    <s v="2-183333 Int 2631"/>
    <n v="2015"/>
    <n v="1938282"/>
    <m/>
    <m/>
    <n v="-1938282"/>
    <n v="5"/>
    <n v="1550625.6"/>
    <n v="2077563"/>
    <n v="139281"/>
    <n v="-7.1857964940086116E-2"/>
    <n v="1162969.2"/>
    <m/>
    <n v="-1938282"/>
    <n v="1"/>
    <n v="775312.79999999981"/>
    <m/>
    <n v="-1938282"/>
    <n v="1"/>
    <n v="387656.39999999991"/>
    <m/>
    <n v="-1938282"/>
    <n v="1"/>
    <n v="0"/>
    <m/>
    <n v="-1938282"/>
    <n v="1"/>
    <m/>
    <m/>
    <m/>
    <m/>
    <m/>
  </r>
  <r>
    <x v="18"/>
    <s v="ODS"/>
    <x v="1"/>
    <s v="Soberanía productiva con diversificación desarrollo integral sin la dictadura del mercado capitalista"/>
    <s v="06010"/>
    <s v="Empleo para una Vida Digna."/>
    <n v="2"/>
    <s v="6.10.2"/>
    <n v="186"/>
    <s v="6.10.186"/>
    <n v="6010186"/>
    <s v="Se ha logrado incrementar la población ocupada que cuenta con seguridad social de corto y largo largo plazo."/>
    <s v="Complejos Productivos"/>
    <s v="Territoriales"/>
    <s v="Resultado"/>
    <s v="Social"/>
    <s v="Empleo (Complejos Prod)"/>
    <m/>
    <n v="1"/>
    <s v="RS"/>
    <m/>
    <n v="1"/>
    <m/>
    <e v="#DIV/0!"/>
    <n v="1"/>
    <n v="0"/>
    <s v="Etapa 1"/>
    <n v="1"/>
    <n v="8"/>
    <s v="Objetivo 8 Promover el crecimiento económico sostenido, inclusivo y sostenible, el empleo pleno y productivo y el trabajo decente para todos_x000a_Meta 8.2: 8.2 Lograr niveles más elevados de productividad económica mediante la diversificación, la modernización tecnológica y la innovación, entre otras cosas centrándose en los sectores con gran valor añadido y un uso intensivo de la mano de obra"/>
    <s v="8.2.1 Tasa de crecimiento anual del PIB real por persona empleada"/>
    <s v="Este indicador no es generado en Bolivia. La fuente de información es la OIT."/>
    <x v="7"/>
    <m/>
    <n v="1"/>
    <s v="60101861"/>
    <x v="208"/>
    <s v="Impacto"/>
    <m/>
    <s v="Ninguna"/>
    <s v="Porcentaje"/>
    <s v="Diferencia de la productividad laboral entre dos períodos de tiempo"/>
    <m/>
    <s v="Mide el crecimiento de la productividad laboral en dos períodos de tiempo"/>
    <s v="Organización Internacional del Trabajo (OIT)"/>
    <s v="Productividad laboral en el período inicial"/>
    <s v="Organización Internacional del Trabajo (OIT)"/>
    <s v="2001-2017"/>
    <s v="Este indicador es estimado por la OIT "/>
    <n v="1"/>
    <s v="601018611"/>
    <s v="Organización Internacional del Trabajo (OIT)"/>
    <s v="ILOSTAT"/>
    <s v="Registro Administrativo (PIB) y encuestas de hogares (población)"/>
    <s v="Anual "/>
    <s v="2001-2017"/>
    <s v="Nacional"/>
    <s v="Nacional"/>
    <s v="Indicadores laborales para todos los países del mundo"/>
    <s v="Al realizar el mismo cálculo en Bolivia, no se obtienen los mismos resultados. La OIT reliza ajustes en base a modelos econométricos."/>
    <s v="Organización Internacional del Trabajo OIT"/>
    <s v="Organización Internacional del Trabajo OIT"/>
    <s v="Organización Internacional del Trabajo OIT"/>
    <s v="www.ilo.org/ilostat"/>
    <n v="2015"/>
    <n v="10.3"/>
    <m/>
    <m/>
    <m/>
    <m/>
    <m/>
    <n v="1.7"/>
    <m/>
    <m/>
    <m/>
    <n v="-0.3"/>
    <m/>
    <m/>
    <m/>
    <m/>
    <m/>
    <m/>
    <m/>
    <m/>
    <m/>
    <m/>
    <m/>
    <m/>
    <m/>
    <m/>
    <m/>
    <m/>
    <m/>
    <m/>
    <m/>
  </r>
  <r>
    <x v="19"/>
    <m/>
    <x v="5"/>
    <s v="Salud, Educación y  Deporte para la formación de un ser humano integral "/>
    <s v="0305"/>
    <s v="Garantía del deporte como derecho desde el Estado."/>
    <n v="1"/>
    <s v="3.5.1"/>
    <n v="111"/>
    <s v="3.5.111"/>
    <s v="0305111"/>
    <s v="La población boliviana accede a infraestructura deportiva de calidad dotada por el nivel central y las Entidades Territoriales Autónomas para practicar o formarse en el deporte."/>
    <s v="Salud, Educación, Deporte"/>
    <s v="Deporte"/>
    <s v="Resultado"/>
    <s v="Social"/>
    <s v="Deporte"/>
    <m/>
    <m/>
    <s v="RS"/>
    <m/>
    <m/>
    <s v="M.Deportes"/>
    <e v="#DIV/0!"/>
    <n v="0"/>
    <n v="1"/>
    <s v="ETAPA 3"/>
    <n v="1"/>
    <m/>
    <m/>
    <m/>
    <m/>
    <x v="1"/>
    <m/>
    <n v="1"/>
    <s v="03051111"/>
    <x v="209"/>
    <s v="Impacto"/>
    <m/>
    <s v="Nacional, Departamental, Área Geográfica y Sexo"/>
    <s v="Porcentaje"/>
    <s v="Nuestra el porcentaje de la población de 5 y más años, que accede a infraestructura deportiva en relación a la población total de 5 años y más"/>
    <m/>
    <s v="Población de 5 y más años que accede a infraestructura deportiva"/>
    <s v="Encuesta de Hogares"/>
    <s v="Población total de 5 años y más"/>
    <s v="Encuesta de Hogares"/>
    <s v="2016-2017"/>
    <m/>
    <n v="1"/>
    <s v="030511111"/>
    <s v="EH"/>
    <s v="Encuesta de Hogares"/>
    <s v="Encuesta"/>
    <s v="Anual"/>
    <s v="2016-2017"/>
    <s v="Nacional"/>
    <s v="Departamental"/>
    <s v="- Vivienda_x000a_- Migración_x000a_- Salud_x000a_- Educación_x000a_- Empleo_x000a_- Ingresos"/>
    <m/>
    <s v="Instituto Nacional de Estadística (INE)"/>
    <s v="Direción de Estadísticas de Indicadores Económicos y Sociales (DEIES)"/>
    <s v="Unidad de Estadísticas de Indicadores Sociales (UEIS)"/>
    <n v="2222333"/>
    <m/>
    <n v="0"/>
    <n v="1"/>
    <m/>
    <n v="1"/>
    <n v="5"/>
    <n v="0.2"/>
    <m/>
    <n v="0"/>
    <n v="0"/>
    <n v="0.4"/>
    <m/>
    <n v="0"/>
    <n v="0"/>
    <n v="0.60000000000000009"/>
    <n v="0.15"/>
    <n v="0.15"/>
    <n v="0.15"/>
    <n v="0.8"/>
    <m/>
    <n v="0"/>
    <n v="0"/>
    <n v="1"/>
    <m/>
    <n v="0"/>
    <n v="0"/>
    <m/>
    <m/>
    <m/>
    <m/>
    <m/>
  </r>
  <r>
    <x v="19"/>
    <m/>
    <x v="5"/>
    <s v="Salud, Educación y  Deporte para la formación de un ser humano integral "/>
    <s v="0306"/>
    <s v="Acceso universal al deporte."/>
    <n v="1"/>
    <s v="3.6.1"/>
    <n v="112"/>
    <s v="3.6.112"/>
    <s v="0306112"/>
    <s v="Al menos 40% de bolivianas y bolivianos desarrollan regularmente actividades físico deportivas"/>
    <s v="Salud, Educación, Deporte"/>
    <s v="Deporte"/>
    <s v="Resultado"/>
    <s v="Social"/>
    <s v="Deporte"/>
    <m/>
    <m/>
    <s v="RS"/>
    <m/>
    <m/>
    <s v="M.Deportes"/>
    <e v="#DIV/0!"/>
    <n v="1"/>
    <n v="0"/>
    <s v="Etapa 1"/>
    <n v="1"/>
    <m/>
    <m/>
    <m/>
    <m/>
    <x v="1"/>
    <m/>
    <n v="1"/>
    <s v="03061121"/>
    <x v="210"/>
    <s v="Impacto"/>
    <m/>
    <s v="Nacional, Departamental, Área Geográfica y Sexo"/>
    <s v="Porcentaje"/>
    <s v="Porcentaje de la población de 5 años y más que practica actividades físico deportivas en relación a la población total de 5 años y más"/>
    <m/>
    <s v="Población de 5 años y más que practica actividades físico deportivas"/>
    <s v="Encuesta de Hogares"/>
    <s v="Población total de 5 años y más"/>
    <s v="Encuesta de Hogares"/>
    <s v="2015-2017"/>
    <m/>
    <n v="1"/>
    <s v="030611211"/>
    <s v="EH"/>
    <s v="Encuesta de Hogares"/>
    <s v="Encuesta"/>
    <s v="Anual"/>
    <s v="2015-2017"/>
    <s v="Nacional"/>
    <s v="Departamental"/>
    <s v="- Vivienda_x000a_- Migración_x000a_- Salud_x000a_- Educación_x000a_- Empleo_x000a_- Ingresos"/>
    <m/>
    <s v="Instituto Nacional de Estadística (INE)"/>
    <s v="Direción de Estadísticas de Indicadores Económicos y Sociales (DEIES)"/>
    <s v="Unidad de Estadísticas de Indicadores Sociales (UEIS)"/>
    <n v="2222333"/>
    <n v="2015"/>
    <n v="0.13"/>
    <n v="0.4"/>
    <n v="0.6"/>
    <n v="0.27"/>
    <n v="5"/>
    <n v="0.184"/>
    <n v="0.23"/>
    <n v="0.1"/>
    <n v="0.37037037037037035"/>
    <n v="0.23800000000000002"/>
    <n v="0"/>
    <n v="-0.13"/>
    <n v="-0.48148148148148145"/>
    <n v="0.29200000000000004"/>
    <m/>
    <n v="-0.13"/>
    <n v="-0.48148148148148145"/>
    <n v="0.34600000000000003"/>
    <m/>
    <n v="-0.13"/>
    <n v="-0.48148148148148145"/>
    <n v="0.4"/>
    <m/>
    <n v="-0.13"/>
    <n v="-0.48148148148148145"/>
    <m/>
    <m/>
    <m/>
    <m/>
    <m/>
  </r>
  <r>
    <x v="19"/>
    <m/>
    <x v="5"/>
    <s v="Salud, Educación y  Deporte para la formación de un ser humano integral "/>
    <s v="0306"/>
    <s v="Acceso universal al deporte."/>
    <n v="2"/>
    <s v="3.6.2"/>
    <n v="113"/>
    <s v="3.6.113"/>
    <s v="0306113"/>
    <s v="Un número importante de deportistas desarrollan sus actividades deportivas con programas de entrenamiento competitivo."/>
    <s v="Salud, Educación, Deporte"/>
    <s v="Deporte"/>
    <s v="Proceso"/>
    <s v="Social"/>
    <s v="Deporte"/>
    <m/>
    <m/>
    <s v="PC"/>
    <m/>
    <m/>
    <m/>
    <e v="#DIV/0!"/>
    <n v="0"/>
    <n v="1"/>
    <s v="ETAPA 3"/>
    <m/>
    <m/>
    <m/>
    <m/>
    <m/>
    <x v="1"/>
    <m/>
    <n v="1"/>
    <s v="03061131"/>
    <x v="211"/>
    <s v="Proceso"/>
    <m/>
    <s v="Nacional, Departamental, Municipal"/>
    <s v="Porcentaje"/>
    <s v="Mide el porcentaje de deportistas con entrenamiento y capacitación competitiva en relación al total de deportistas programados"/>
    <m/>
    <s v="Número de deportistas con entrenamiento y capacitación competitiva"/>
    <s v="Registro Administrativo"/>
    <s v="Número de deportistas programados"/>
    <s v="Registro Administrativo"/>
    <s v="2016-2017"/>
    <m/>
    <n v="1"/>
    <s v="030611311"/>
    <s v="MD"/>
    <s v="Ministerio de Deportes"/>
    <s v="Registro Administrativo"/>
    <s v="Anual"/>
    <s v="2016 - 2017"/>
    <s v="Nacional"/>
    <s v="Departamental_x000a_Municipal"/>
    <m/>
    <m/>
    <s v="Ministerio de Deportes"/>
    <s v="Viceministerio de Formación Deportiva"/>
    <s v="Dirección del Deportes Estudiantil"/>
    <n v="2179700"/>
    <m/>
    <m/>
    <m/>
    <m/>
    <n v="0"/>
    <n v="5"/>
    <n v="0"/>
    <m/>
    <n v="0"/>
    <e v="#DIV/0!"/>
    <n v="0"/>
    <m/>
    <n v="0"/>
    <e v="#DIV/0!"/>
    <n v="0"/>
    <m/>
    <n v="0"/>
    <e v="#DIV/0!"/>
    <n v="0"/>
    <m/>
    <n v="0"/>
    <e v="#DIV/0!"/>
    <n v="0"/>
    <m/>
    <n v="0"/>
    <e v="#DIV/0!"/>
    <m/>
    <m/>
    <m/>
    <m/>
    <m/>
  </r>
  <r>
    <x v="19"/>
    <m/>
    <x v="5"/>
    <s v="Salud, Educación y  Deporte para la formación de un ser humano integral "/>
    <s v="0306"/>
    <s v="Acceso universal al deporte."/>
    <n v="3"/>
    <s v="3.6.3"/>
    <n v="114"/>
    <s v="3.6.114"/>
    <s v="0306114"/>
    <s v="Unidades educativas públicas y privadas cuentan con programas deportivos específicos."/>
    <s v="Salud, Educación, Deporte"/>
    <s v="Deporte"/>
    <s v="Proceso"/>
    <s v="Social"/>
    <s v="Deporte"/>
    <m/>
    <m/>
    <s v="PC"/>
    <m/>
    <m/>
    <m/>
    <e v="#DIV/0!"/>
    <n v="0"/>
    <n v="1"/>
    <s v="ETAPA 3"/>
    <m/>
    <m/>
    <m/>
    <m/>
    <m/>
    <x v="1"/>
    <m/>
    <n v="1"/>
    <s v="03061141"/>
    <x v="212"/>
    <s v="Proceso"/>
    <m/>
    <s v="Nacional, Departamental, Municipal"/>
    <s v="Porcentaje"/>
    <s v="Mide el porcentaje de avance en la implementación de los programas deportivos específicos en unidades educativas"/>
    <m/>
    <s v="Programas deportivos específicos ejecutados"/>
    <s v="Registro Administrativo"/>
    <s v="Programas deportivos específicos programados"/>
    <s v="Registro Administrativo"/>
    <s v="2016-2017"/>
    <m/>
    <n v="1"/>
    <s v="030611411"/>
    <s v="MD"/>
    <s v="Ministerio de Deportes"/>
    <s v="Registro Administrativo"/>
    <s v="Anual"/>
    <s v="2016 - 2017"/>
    <s v="Nacional"/>
    <s v="Departamental_x000a_Municipal"/>
    <m/>
    <m/>
    <s v="Ministerio de Deportes"/>
    <s v="Viceministerio de Formación Deportiva"/>
    <s v="Dirección del Deportes Estudiantil"/>
    <n v="2179700"/>
    <m/>
    <m/>
    <m/>
    <m/>
    <n v="0"/>
    <n v="5"/>
    <n v="0"/>
    <m/>
    <n v="0"/>
    <e v="#DIV/0!"/>
    <n v="0"/>
    <m/>
    <n v="0"/>
    <e v="#DIV/0!"/>
    <n v="0"/>
    <m/>
    <n v="0"/>
    <e v="#DIV/0!"/>
    <n v="0"/>
    <m/>
    <n v="0"/>
    <e v="#DIV/0!"/>
    <n v="0"/>
    <m/>
    <n v="0"/>
    <e v="#DIV/0!"/>
    <m/>
    <m/>
    <m/>
    <m/>
    <m/>
  </r>
  <r>
    <x v="19"/>
    <m/>
    <x v="5"/>
    <s v="Salud, Educación y  Deporte para la formación de un ser humano integral "/>
    <s v="0306"/>
    <s v="Acceso universal al deporte."/>
    <n v="4"/>
    <s v="3.6.4"/>
    <n v="115"/>
    <s v="3.6.115"/>
    <s v="0306115"/>
    <s v="Se ha incrementado el número de deportistas de alto rendimiento que participan en competiciones internacionales."/>
    <s v="Salud, Educación, Deporte"/>
    <s v="Deporte"/>
    <s v="Resultado"/>
    <s v="Social"/>
    <s v="Deporte"/>
    <m/>
    <m/>
    <s v="RS"/>
    <m/>
    <m/>
    <s v="M.Deportes"/>
    <e v="#DIV/0!"/>
    <n v="1"/>
    <n v="0"/>
    <s v="Etapa 1"/>
    <n v="1"/>
    <m/>
    <m/>
    <m/>
    <m/>
    <x v="1"/>
    <m/>
    <n v="1"/>
    <s v="03061151"/>
    <x v="213"/>
    <s v="Impacto"/>
    <m/>
    <s v="Nacional, Departamental, Municipal"/>
    <s v="Porcentaje"/>
    <s v="Muestra el porcentaje de deportistas de alto rendimiento que participan en eventos internacionales"/>
    <s v="IDAREI = PDAR / DR"/>
    <s v="Deportistas de alto rendimiento que participan en eventos internacionales"/>
    <s v="Registro Administrativo"/>
    <s v="Ttoal de deportistas de alto rendimiento registrados"/>
    <s v="Registro Administrativo"/>
    <s v="2015 - 2017"/>
    <m/>
    <n v="1"/>
    <s v="030611511"/>
    <s v="MD"/>
    <s v="Ministerio de Deportes"/>
    <s v="Registro Administrativo"/>
    <s v="Anual"/>
    <s v="2015 - 2017"/>
    <s v="Nacional"/>
    <s v="Departamental_x000a_Municipal"/>
    <m/>
    <m/>
    <s v="Ministerio de Deportes"/>
    <s v="Viceministerio de Deportes"/>
    <s v="Dirección del Deporte Federativo, Profesional y Competitivo"/>
    <n v="2179700"/>
    <n v="2015"/>
    <n v="1.6E-2"/>
    <n v="0.5"/>
    <n v="1"/>
    <n v="0.48399999999999999"/>
    <n v="5"/>
    <n v="0.1128"/>
    <n v="0.01"/>
    <n v="-6.0000000000000001E-3"/>
    <n v="-1.2396694214876033E-2"/>
    <n v="0.20960000000000001"/>
    <n v="0.12"/>
    <n v="0.104"/>
    <n v="0.21487603305785125"/>
    <n v="0.30640000000000001"/>
    <m/>
    <n v="-1.6E-2"/>
    <n v="-3.3057851239669422E-2"/>
    <n v="0.4032"/>
    <m/>
    <n v="-1.6E-2"/>
    <n v="-3.3057851239669422E-2"/>
    <n v="0.5"/>
    <m/>
    <n v="-1.6E-2"/>
    <n v="-3.3057851239669422E-2"/>
    <m/>
    <m/>
    <m/>
    <m/>
    <m/>
  </r>
  <r>
    <x v="19"/>
    <m/>
    <x v="5"/>
    <s v="Salud, Educación y  Deporte para la formación de un ser humano integral "/>
    <s v="0306"/>
    <s v="Acceso universal al deporte."/>
    <n v="5"/>
    <s v="3.6.5"/>
    <n v="116"/>
    <s v="3.6.116"/>
    <s v="0306116"/>
    <s v="Se han detectado de forma progresiva estudiantes deportistas a temprana edad con potencialidades deportivas."/>
    <s v="Salud, Educación, Deporte"/>
    <s v="Deporte"/>
    <s v="Proceso"/>
    <s v="Social"/>
    <s v="Deporte"/>
    <m/>
    <m/>
    <s v="PC"/>
    <m/>
    <m/>
    <m/>
    <e v="#DIV/0!"/>
    <n v="0"/>
    <n v="0"/>
    <s v="Etapa 1"/>
    <m/>
    <m/>
    <m/>
    <m/>
    <m/>
    <x v="1"/>
    <m/>
    <n v="1"/>
    <s v="03061161"/>
    <x v="214"/>
    <s v="Proceso"/>
    <s v="NACIONAL"/>
    <s v="Nacional, Departamental, Municipal"/>
    <s v="Porcentaje"/>
    <s v="Número de estudiantes con potencialidades deportivas que han sido detectados a temprana edad"/>
    <s v="n.a."/>
    <s v="Mide el número de estudiantes con potencialidades deportivas que han sido detectados a temprana edad"/>
    <s v="Registro Administrativo"/>
    <s v="n.a."/>
    <s v="n.a."/>
    <s v="2015 - 2017"/>
    <m/>
    <n v="1"/>
    <s v="030611611"/>
    <s v="MD"/>
    <s v="Ministerio de Deportes"/>
    <s v="Registro Administrativo"/>
    <s v="Anual"/>
    <s v="2015 - 2017"/>
    <s v="Nacional"/>
    <s v="Departamental_x000a_Municipal"/>
    <m/>
    <m/>
    <s v="Ministerio de Deportes"/>
    <s v="Viceministerio de Deportes"/>
    <s v="Dirección del Deporte Federativo, Profesional y Competitivo"/>
    <n v="2179700"/>
    <n v="2015"/>
    <n v="2.1000000000000001E-2"/>
    <n v="0.5"/>
    <n v="1"/>
    <n v="0.47899999999999998"/>
    <n v="5"/>
    <n v="0.1168"/>
    <n v="0.22"/>
    <n v="0.19900000000000001"/>
    <n v="0.41544885177453034"/>
    <n v="0.21259999999999998"/>
    <n v="0.24"/>
    <n v="0.219"/>
    <n v="0.45720250521920669"/>
    <n v="0.30840000000000001"/>
    <m/>
    <n v="-2.1000000000000001E-2"/>
    <n v="-4.3841336116910233E-2"/>
    <n v="0.4042"/>
    <m/>
    <n v="-2.1000000000000001E-2"/>
    <n v="-4.3841336116910233E-2"/>
    <n v="0.5"/>
    <m/>
    <n v="-2.1000000000000001E-2"/>
    <n v="-4.3841336116910233E-2"/>
    <m/>
    <m/>
    <m/>
    <m/>
    <m/>
  </r>
  <r>
    <x v="19"/>
    <m/>
    <x v="5"/>
    <s v="Salud, Educación y  Deporte para la formación de un ser humano integral "/>
    <s v="0306"/>
    <s v="Acceso universal al deporte."/>
    <n v="6"/>
    <s v="3.6.6"/>
    <n v="117"/>
    <s v="3.6.117"/>
    <s v="0306117"/>
    <s v="Se ha beneficiado a un número importante de deportistas con becas para procesos de formación en Bolivia o en el extranjero"/>
    <s v="Salud, Educación, Deporte"/>
    <s v="Deporte"/>
    <s v="Proceso"/>
    <s v="Social"/>
    <s v="Deporte"/>
    <m/>
    <m/>
    <s v="PC"/>
    <m/>
    <m/>
    <m/>
    <e v="#DIV/0!"/>
    <n v="0"/>
    <n v="0"/>
    <s v="Etapa 1"/>
    <m/>
    <m/>
    <m/>
    <m/>
    <m/>
    <x v="1"/>
    <m/>
    <n v="1"/>
    <s v="03061171"/>
    <x v="215"/>
    <s v="Proceso"/>
    <s v="NACIONAL"/>
    <s v="Nacional, Departamental, Municipal"/>
    <s v="Porcentaje"/>
    <s v="Mide el porcentaje de deportistas beneficiados con becas para entrenamiento o capacitación competitiva a nivel nacional o internacional"/>
    <m/>
    <s v="Deportistas beneficiados con becas para entrenamiento o capacitación competitiva a nivel nacional o internacional"/>
    <s v="Registro Administrativo"/>
    <s v="Total deportistas registrados"/>
    <s v="Registro Administrativo"/>
    <s v="2015 - 2017"/>
    <m/>
    <n v="1"/>
    <s v="030611711"/>
    <s v="MD"/>
    <s v="Ministerio de Deportes"/>
    <s v="Registro Administrativo"/>
    <s v="Anual"/>
    <s v="2015 - 2017"/>
    <s v="Nacional"/>
    <s v="Departamental_x000a_Municipal"/>
    <m/>
    <m/>
    <s v="Ministerio de Deportes"/>
    <s v="Viceministerio de Deportes"/>
    <s v="Dirección del Deporte Federativo, Profesional y Competitivo"/>
    <n v="2179700"/>
    <n v="2015"/>
    <n v="2.1000000000000001E-2"/>
    <n v="0.5"/>
    <n v="1"/>
    <n v="0.47899999999999998"/>
    <n v="5"/>
    <n v="0.1168"/>
    <n v="0.22"/>
    <n v="0.19900000000000001"/>
    <n v="0.41544885177453034"/>
    <n v="0.21259999999999998"/>
    <n v="0.24"/>
    <n v="0.219"/>
    <n v="0.45720250521920669"/>
    <n v="0.30840000000000001"/>
    <m/>
    <n v="-2.1000000000000001E-2"/>
    <n v="-4.3841336116910233E-2"/>
    <n v="0.4042"/>
    <m/>
    <n v="-2.1000000000000001E-2"/>
    <n v="-4.3841336116910233E-2"/>
    <n v="0.5"/>
    <m/>
    <n v="-2.1000000000000001E-2"/>
    <n v="-4.3841336116910233E-2"/>
    <m/>
    <m/>
    <m/>
    <m/>
    <m/>
  </r>
  <r>
    <x v="19"/>
    <m/>
    <x v="5"/>
    <s v="Salud, Educación y  Deporte para la formación de un ser humano integral "/>
    <s v="0306"/>
    <s v="Acceso universal al deporte."/>
    <n v="7"/>
    <s v="3.6.7"/>
    <n v="118"/>
    <s v="3.6.118"/>
    <s v="0306118"/>
    <s v="Se han capacitado técnicos del deporte, entrenadores deportivos, y profesores de educación física con especialidad escolar adicionales para el perfeccionamiento del deporte."/>
    <s v="Salud, Educación, Deporte"/>
    <s v="Deporte"/>
    <s v="Proceso"/>
    <s v="Social"/>
    <s v="Deporte"/>
    <m/>
    <m/>
    <s v="PC"/>
    <m/>
    <m/>
    <m/>
    <e v="#DIV/0!"/>
    <n v="0"/>
    <n v="0"/>
    <s v="Etapa 1"/>
    <m/>
    <m/>
    <m/>
    <m/>
    <m/>
    <x v="1"/>
    <m/>
    <n v="1"/>
    <s v="03061181"/>
    <x v="216"/>
    <s v="Proceso"/>
    <m/>
    <s v="Nacional, Departamental, Municipal"/>
    <s v="Porcentaje"/>
    <s v="Muestra el porcentaje de formadores deportivos capacitados (técnicos del deporte, entrenadores deportivos y profesores de educación física)"/>
    <m/>
    <s v="Número de formadores deportivos capacitados "/>
    <s v="Registro Administrativo"/>
    <s v="Total formadores deportivos registrados "/>
    <s v="Registro Administrativo"/>
    <s v="2014 - 2017"/>
    <m/>
    <n v="1"/>
    <s v="030611811"/>
    <s v="MD"/>
    <s v="Ministerio de Deportes"/>
    <s v="Registro Administrativo"/>
    <s v="Anual"/>
    <s v="2014 - 2017"/>
    <s v="Nacional"/>
    <s v="Departamental_x000a_Municipal"/>
    <m/>
    <m/>
    <s v="Ministerio de Deportes"/>
    <s v="Viceministerio de Deportes"/>
    <s v="Dirección del Deporte Federativo, Profesional y Competitivo"/>
    <n v="2179700"/>
    <n v="2014"/>
    <n v="7.0000000000000007E-2"/>
    <n v="0.5"/>
    <n v="1"/>
    <n v="0.43"/>
    <n v="5"/>
    <n v="0.156"/>
    <n v="0.04"/>
    <n v="-3.0000000000000006E-2"/>
    <n v="-6.9767441860465129E-2"/>
    <n v="0.24199999999999999"/>
    <n v="0.33"/>
    <n v="0.26"/>
    <n v="0.60465116279069775"/>
    <n v="0.32800000000000001"/>
    <m/>
    <n v="-7.0000000000000007E-2"/>
    <n v="-0.16279069767441862"/>
    <n v="0.41399999999999998"/>
    <m/>
    <n v="-7.0000000000000007E-2"/>
    <n v="-0.16279069767441862"/>
    <n v="0.49999999999999994"/>
    <m/>
    <n v="-7.0000000000000007E-2"/>
    <n v="-0.16279069767441862"/>
    <m/>
    <m/>
    <m/>
    <m/>
    <m/>
  </r>
  <r>
    <x v="20"/>
    <s v="PROG. MDRyT"/>
    <x v="1"/>
    <s v="Soberanía productiva con diversificación desarrollo integral sin la dictadura del mercado capitalista"/>
    <s v="0603"/>
    <s v="Producción agropecuaria con énfasis en la agricultura familiar comunitaria y campesina."/>
    <n v="1"/>
    <s v="6. 3.1"/>
    <n v="155"/>
    <s v="6.3.155"/>
    <s v="0603155"/>
    <s v="Se ha alcanzado progresivamente una superficie cultivada de 4,7 millones de hectáreas."/>
    <s v="Producción "/>
    <s v="Agropecuaria"/>
    <s v="Resultado"/>
    <s v="Económica"/>
    <s v="Agropecuaria"/>
    <m/>
    <n v="1"/>
    <s v="RS"/>
    <m/>
    <m/>
    <s v="Agropecuario"/>
    <e v="#DIV/0!"/>
    <n v="0"/>
    <n v="1"/>
    <s v="Etapa 1"/>
    <n v="1"/>
    <n v="12"/>
    <s v="2.4 De aquí a 2030, asegurar la sostenibilidad de los sistemas de producción de alimentos y aplicar prácticas agrícolas resilientes que aumenten la productividad y la producción, contribuyan al mantenimiento de los ecosistemas, fortalezcan la capacidad de adaptación al cambio climático, los fenómenos meteorológicos extremos, las sequías, las inundaciones y otros desastres, y mejoren progresivamente la calidad de la tierra y el suelo"/>
    <s v="2.4.1 Proporción de la superficie agrícola en que se practica una agricultura productiva y sostenible"/>
    <s v="No se cuenta con la información de superficie con prácticas agrícolas"/>
    <x v="1"/>
    <m/>
    <n v="1"/>
    <s v="06031551"/>
    <x v="217"/>
    <s v="Indicador de Producto-Efecto"/>
    <s v="Eficacia"/>
    <s v="Área geográfica: Departamental"/>
    <s v="Millones de hectareas"/>
    <s v="Este indicador muestra el incremento total de la superficie cultivada."/>
    <s v="ΔSupCul =_x000a_ 1Ʃn(SupCul)(t) -  1Ʃn(SupCul)(t-1)"/>
    <s v="Sumatoria de la superficie del rubro 1 al rubro n correspondiente al periodo (t), menos la Sumatoria de la superficie del rubro 1 al rubro n correspondiente al periodo (t-1)"/>
    <s v="OAP-INE"/>
    <s v="No aplica"/>
    <s v="No aplica"/>
    <s v="1950 - 2017"/>
    <s v="Nacional y Departamental"/>
    <n v="1"/>
    <s v="060315511"/>
    <s v="OAP-INE"/>
    <s v="Observatorio Agroambiental Productivo -Instituto Nacional de Estadistica"/>
    <s v="Encuesta"/>
    <s v="Anual"/>
    <s v="2000 - 2017"/>
    <s v="Nacional y Departamental"/>
    <s v="Nacional "/>
    <s v="Superficie cultivada"/>
    <m/>
    <s v="Ministerio de Desarrollo Rural y Tierras (MDRyT) - Ministerio de Planificacion del Desarrollo (MPD)"/>
    <s v="Ministerio de Desarrollo Rural y Tierras (MDRyT) - Ministerio de Planificacion del Desarrollo (MPD)"/>
    <s v="Observatorio Agroambiental Productivo -Instituto Nacional de Estadistica"/>
    <s v="2111103-2222333"/>
    <n v="2015"/>
    <n v="3.585"/>
    <n v="4.7"/>
    <m/>
    <n v="1.1150000000000002"/>
    <n v="5"/>
    <n v="3.8079999999999998"/>
    <n v="3.6240000000000001"/>
    <n v="3.9000000000000146E-2"/>
    <n v="3.4977578475336446E-2"/>
    <n v="4.0309999999999997"/>
    <n v="3.4980000000000002"/>
    <n v="-8.6999999999999744E-2"/>
    <n v="-7.8026905829596163E-2"/>
    <n v="4.2539999999999996"/>
    <m/>
    <n v="-3.585"/>
    <n v="-3.2152466367712997"/>
    <n v="4.4770000000000003"/>
    <m/>
    <n v="-3.585"/>
    <n v="-3.2152466367712997"/>
    <n v="4.7"/>
    <m/>
    <n v="-3.585"/>
    <n v="-3.2152466367712997"/>
    <s v="Anual"/>
    <m/>
    <m/>
    <m/>
    <m/>
  </r>
  <r>
    <x v="20"/>
    <s v="PROG. MDRyT"/>
    <x v="1"/>
    <s v="Soberanía productiva con diversificación desarrollo integral sin la dictadura del mercado capitalista"/>
    <s v="0603"/>
    <s v="Producción agropecuaria con énfasis en la agricultura familiar comunitaria y campesina."/>
    <n v="2"/>
    <s v="6. 3.2"/>
    <n v="156"/>
    <s v="6.3.156"/>
    <s v="0603156"/>
    <s v="Se ha incrementado la producción agrícola a 24,3 millones de toneladas métricas de los productos amazónicos y andinos, incluyendo: trigo, soya, maíz, quinua, tomate, papa, café y otros."/>
    <s v="Producción "/>
    <s v="Agropecuaria"/>
    <s v="Resultado"/>
    <s v="Económica"/>
    <s v="Agropecuaria"/>
    <m/>
    <n v="1"/>
    <s v="RS"/>
    <m/>
    <m/>
    <s v="Agropecuario"/>
    <e v="#DIV/0!"/>
    <n v="0"/>
    <n v="1"/>
    <s v="Etapa 1"/>
    <n v="1"/>
    <n v="12"/>
    <s v="2.4 De aquí a 2030, asegurar la sostenibilidad de los sistemas de producción de alimentos y aplicar prácticas agrícolas resilientes que aumenten la productividad y la producción, contribuyan al mantenimiento de los ecosistemas, fortalezcan la capacidad de adaptación al cambio climático, los fenómenos meteorológicos extremos, las sequías, las inundaciones y otros desastres, y mejoren progresivamente la calidad de la tierra y el suelo"/>
    <s v="2.3.1  Volumen de producción por unidad de trabajo desglosado por tamaño y tipo de explotación (agropecuaria, ganadera y forestal)_x000a_"/>
    <s v="No aplicable"/>
    <x v="0"/>
    <m/>
    <n v="1"/>
    <s v="06031561"/>
    <x v="218"/>
    <s v="Indicador de Producto-Efecto"/>
    <s v="Eficacia"/>
    <s v="Área geográfica: Departamental"/>
    <s v="Millones de Toneladas"/>
    <s v="Este indicador muestra el incremento total en la producción agrícola."/>
    <s v="ΔVolPro =_x000a_ 1Ʃn(VolPro)(t) -  1Ʃn(VolPro)(t-1)"/>
    <s v="Sumatoria del volumen de producción del rubro 1 al rubro n correspondiente al periodo (t), menos la Sumatoria del volumen de producción del rubro 1 al rubro n correspondiente al periodo (t-1)"/>
    <s v="OAP-INE"/>
    <s v="No aplica"/>
    <s v="No aplica"/>
    <s v="1950 - 2017"/>
    <s v="Nacional y Departamental"/>
    <n v="1"/>
    <s v="060315611"/>
    <s v="OAP-INE"/>
    <s v="Observatorio Agroambiental Productivo -Instituto Nacional de Estadistica"/>
    <s v="Encuesta"/>
    <s v="Anual"/>
    <s v="2015 - 2017"/>
    <s v="Nacional y Departamental"/>
    <s v="Nacional "/>
    <s v="Volumen de produccion"/>
    <m/>
    <s v="Ministerio de Desarrollo Rural y Tierras (MDRyT) - Ministerio de Planificacion del Desarrollo (MPD)"/>
    <s v="Ministerio de Desarrollo Rural y Tierras (MDRyT) - Ministerio de Planificacion del Desarrollo (MPD)"/>
    <s v="Observatorio Agroambiental Productivo -Instituto Nacional de Estadistica"/>
    <s v="2111103-2222333"/>
    <n v="2015"/>
    <n v="17.138999999999999"/>
    <n v="24.3"/>
    <m/>
    <n v="7.1610000000000014"/>
    <n v="5"/>
    <n v="18.571200000000001"/>
    <n v="17.131"/>
    <n v="-7.9999999999991189E-3"/>
    <n v="-1.117162407484865E-3"/>
    <n v="20.003399999999999"/>
    <n v="16.88"/>
    <n v="-0.25900000000000034"/>
    <n v="-3.6168132942326535E-2"/>
    <n v="21.435600000000001"/>
    <m/>
    <n v="-17.138999999999999"/>
    <n v="-2.3933808127356508"/>
    <n v="22.867800000000003"/>
    <m/>
    <n v="-17.138999999999999"/>
    <n v="-2.3933808127356508"/>
    <n v="24.3"/>
    <m/>
    <n v="-17.138999999999999"/>
    <n v="-2.3933808127356508"/>
    <s v="Anual"/>
    <m/>
    <m/>
    <m/>
    <m/>
  </r>
  <r>
    <x v="20"/>
    <s v="INIAF"/>
    <x v="1"/>
    <s v="Soberanía productiva con diversificación desarrollo integral sin la dictadura del mercado capitalista"/>
    <s v="0603"/>
    <s v="Producción agropecuaria con énfasis en la agricultura familiar comunitaria y campesina."/>
    <n v="4"/>
    <s v="6. 3.4"/>
    <n v="158"/>
    <s v="6.3.158"/>
    <s v="0603158"/>
    <s v="Se ha incrementado significativamente el rendimiento promedio de los principales grupos de cultivos agrícolas."/>
    <s v="Producción "/>
    <s v="Agropecuaria"/>
    <s v="Resultado"/>
    <s v="Económica"/>
    <s v="Agropecuaria"/>
    <m/>
    <m/>
    <s v="RS"/>
    <m/>
    <m/>
    <s v="Agropecuario"/>
    <e v="#DIV/0!"/>
    <n v="1"/>
    <n v="0"/>
    <s v="Etapa 1"/>
    <m/>
    <n v="2"/>
    <s v="2.3 De aquí a 2030, duplicar la productividad agrícola y los ingresos de los productores de alimentos en pequeña escala, en particular las mujeres, los pueblos indígenas, los agricultores familiares, los ganaderos y los pescadores, entre otras cosas mediante un acceso seguro y equitativo a las tierras, a otros recursos e insumos de producción y a los conocimientos, los servicios financieros, los mercados y las oportunidades para añadir valor y obtener empleos no agrícolas"/>
    <s v="2.3.1  Volumen de producción por unidad de trabajo desglosado por tamaño y tipo de explotación (agropecuaria, ganadera y forestal)"/>
    <s v="Proxy: la semilla certificada contribuye al incremento de la productividad"/>
    <x v="0"/>
    <m/>
    <n v="1"/>
    <s v="06031581"/>
    <x v="219"/>
    <s v="Proceso"/>
    <s v="Eficacia"/>
    <s v="Area geografica:_x000a_Departamental"/>
    <s v="Toneladas"/>
    <s v="Incremento del volumen anual de semilla certificada por el INIAF, como un factor que contribuye en un 20% a mejorar los rendimientos de los cultivos"/>
    <s v="VolSemCert = Ʃ(VolSemCert1 + VolSemCert2 + … +  VolSemCertN)"/>
    <s v="Sumatoria del Volumen de Semilla Certificada del rubro 1 más Volumen de Semilla Certificada  del rubro 2, más Volumen de Semilla Certificada  del rubro N"/>
    <s v="Informe anual de la Dirección Nacional de Semillas"/>
    <s v="s/d"/>
    <s v="s/d"/>
    <s v="2005-2018"/>
    <m/>
    <n v="1"/>
    <s v="060315811"/>
    <s v="INIAF"/>
    <s v="Informe anual de la Dirección Nacional de Semillas"/>
    <s v="Registro Administrativo"/>
    <s v="Anual"/>
    <s v="2016-2018"/>
    <s v="Nacional"/>
    <s v="Departamental"/>
    <m/>
    <m/>
    <s v="Ministerio de Desarrollo Rural y Tierras (MDRyT)"/>
    <s v="Instituto Nacional de Innovación Agropecuaria y Forestal (INIAF)"/>
    <s v="UPCG (Unidad de Planificación y Control de Gestión)"/>
    <s v="2-441153"/>
    <d v="2015-12-01T00:00:00"/>
    <n v="95000"/>
    <n v="569765"/>
    <m/>
    <n v="474765"/>
    <n v="5"/>
    <n v="105625"/>
    <n v="105265"/>
    <n v="10265"/>
    <n v="2.1621223131443979E-2"/>
    <n v="216125"/>
    <n v="215765"/>
    <n v="120765"/>
    <n v="0.25436795045970112"/>
    <n v="379859"/>
    <m/>
    <n v="-95000"/>
    <n v="-0.20009899634556044"/>
    <n v="474812"/>
    <m/>
    <n v="-95000"/>
    <n v="-0.20009899634556044"/>
    <n v="569765"/>
    <m/>
    <n v="-95000"/>
    <n v="-0.20009899634556044"/>
    <m/>
    <m/>
    <m/>
    <m/>
    <m/>
  </r>
  <r>
    <x v="20"/>
    <s v="OAP-INE"/>
    <x v="1"/>
    <s v="Soberanía productiva con diversificación desarrollo integral sin la dictadura del mercado capitalista"/>
    <s v="0604"/>
    <s v="Sistemas productivos óptimos: agropecuaria."/>
    <n v="3"/>
    <s v="6.4.3"/>
    <n v="162"/>
    <s v="6.4.162"/>
    <s v="0604162"/>
    <s v="Se ha incrementado el número de cabezas de ganado bovino   "/>
    <s v="Producción "/>
    <s v="Agropecuaria"/>
    <s v="Producto"/>
    <s v="Económica"/>
    <s v="Agropecuaria"/>
    <m/>
    <n v="1"/>
    <s v="PD"/>
    <m/>
    <m/>
    <s v="MDRyT"/>
    <e v="#DIV/0!"/>
    <n v="0"/>
    <n v="1"/>
    <s v="Etapa 1"/>
    <n v="1"/>
    <m/>
    <s v="2.5 De aquí a 2020, mantener la diversidad genética de las semillas, las plantas cultivadas y los animales de granja y domesticados y sus correspondientes especies silvestres, entre otras cosas mediante una buena gestión y diversificación de los bancos de semillas y plantas a nivel_x000a_nacional, regional e internacional, y promover el acceso a los beneficios que se deriven de la utilización de los recursos genéticos y los conocimientos tradicionales conexos y su distribución justa y equitativa, según lo convenido internacionalmente_x000a_"/>
    <s v="2.5.2 Proporción de razas y variedades locales consideradas en riesgo de extinción, sin riesgo o con un nivel de riesgo desconocido"/>
    <s v="Proxy"/>
    <x v="0"/>
    <m/>
    <n v="1"/>
    <s v="06041621"/>
    <x v="220"/>
    <s v="Proceso"/>
    <s v="Eficacia"/>
    <s v="Area geográfica"/>
    <s v="Número de cabezas"/>
    <s v="Este indicador muestra la evolucion del incremento del número de cabezas de ganado bovino según años"/>
    <m/>
    <s v="Número de cabezas de ganado bovino en el año base mas la sumatoria de la  diferencia del número de cabezas del i + 1 esimo año menos el número de cabezas del i esimo año "/>
    <s v="INE - OAP"/>
    <s v="No aplica"/>
    <m/>
    <s v="1950 - 2017"/>
    <s v="Nacional y departamental"/>
    <n v="1"/>
    <s v="060416211"/>
    <s v="INE - OAP"/>
    <s v="Instituto Nacional de Estadística - Observatorio Agroambiental y Productivo"/>
    <s v="Censos, encuestas y registros administrativos"/>
    <s v="Anual"/>
    <s v="2015 - 2017"/>
    <s v="Nacional y departamental"/>
    <s v="Nacional y departamental"/>
    <s v="Número de cabezas"/>
    <m/>
    <s v="Ministerio de Planificación del Desarrollo (MPD) - Ministerio de Desarrollo Rural y Tierras (MDRyT)"/>
    <s v="Ministerio de Planificación del Desarrollo (MPD) - Ministerio de Desarrollo Rural y Tierras (MDRyT)"/>
    <s v="Instituto Nacional de Estadística - Observatorio Agroambiental y Productivo"/>
    <s v="2222333 - 2111103"/>
    <n v="2015"/>
    <n v="8948602"/>
    <n v="11002652"/>
    <m/>
    <n v="2054050"/>
    <n v="5"/>
    <n v="9359412"/>
    <n v="9119344"/>
    <n v="170742"/>
    <n v="8.3124558798471318E-2"/>
    <n v="9770222"/>
    <n v="9304571.8328841198"/>
    <n v="355969.83288411982"/>
    <n v="0.17330144489380483"/>
    <n v="10181032"/>
    <m/>
    <n v="-8948602"/>
    <n v="-4.356564835325333"/>
    <n v="10591842"/>
    <m/>
    <n v="-8948602"/>
    <n v="-4.356564835325333"/>
    <n v="11002652"/>
    <m/>
    <n v="-8948602"/>
    <n v="-4.356564835325333"/>
    <m/>
    <m/>
    <m/>
    <m/>
    <m/>
  </r>
  <r>
    <x v="20"/>
    <s v="OAP-INE"/>
    <x v="1"/>
    <s v="Soberanía productiva con diversificación desarrollo integral sin la dictadura del mercado capitalista"/>
    <s v="0604"/>
    <s v="Sistemas productivos óptimos: agropecuaria."/>
    <n v="3"/>
    <s v="6.4.3"/>
    <n v="162"/>
    <s v="6.4.162"/>
    <s v="0604162"/>
    <s v="Se ha incrementado el número de cabezas de ganado ovino"/>
    <s v="Producción "/>
    <s v="Agropecuaria"/>
    <s v="Producto"/>
    <s v="Económica"/>
    <s v="Agropecuaria"/>
    <m/>
    <n v="1"/>
    <s v="PD"/>
    <m/>
    <m/>
    <s v="MDRyT"/>
    <e v="#DIV/0!"/>
    <n v="0"/>
    <n v="2"/>
    <s v="Etapa 2"/>
    <n v="1"/>
    <m/>
    <s v="2.5 De aquí a 2020, mantener la diversidad genética de las semillas, las plantas cultivadas y los animales de granja y domesticados y sus correspondientes especies silvestres, entre otras cosas mediante una buena gestión y diversificación de los bancos de semillas y plantas a nivel_x000a_nacional, regional e internacional, y promover el acceso a los beneficios que se deriven de la utilización de los recursos genéticos y los conocimientos tradicionales conexos y su distribución justa y equitativa, según lo convenido internacionalmente_x000a_"/>
    <s v="2.5.2 Proporción de razas y variedades locales consideradas en riesgo de extinción, sin riesgo o con un nivel de riesgo desconocido"/>
    <s v="Proxy"/>
    <x v="0"/>
    <m/>
    <n v="2"/>
    <s v="06041622"/>
    <x v="221"/>
    <s v="Proceso"/>
    <s v="Eficacia"/>
    <s v="Área geográfica"/>
    <s v="Número de cabezas"/>
    <s v="Este indicador muestra la evolución del incremento del número de cabezas de ganado ovino según años"/>
    <m/>
    <s v="Número de cabezas de ganado ovino en el año base mas la sumatoria de la  diferencia del número de cabezas del i + 1 esimo año menos el número de cabezas del i esimo año "/>
    <s v="INE - OAP"/>
    <s v="No aplica"/>
    <m/>
    <s v="1951 - 2017"/>
    <s v="Nacional y departamental"/>
    <n v="1"/>
    <s v="060416221"/>
    <s v="INE - OAP"/>
    <s v="Instituto Nacional de Estadística - Observatorio Agroambiental y Productivo"/>
    <s v="Censos, encuestas y registros administrativos"/>
    <s v="Anual"/>
    <s v="2015 - 2017"/>
    <s v="Nacional y departamental"/>
    <s v="Nacional y departamental"/>
    <s v="Número de cabezas"/>
    <m/>
    <s v="Ministerio de Planificación del Desarrollo (MPD) - Ministerio de Desarrollo Rural y Tierras (MDRyT)"/>
    <s v="Ministerio de Planificación del Desarrollo (MPD) - Ministerio de Desarrollo Rural y Tierras (MDRyT)"/>
    <s v="Instituto Nacional de Estadística - Observatorio Agroambiental y Productivo"/>
    <s v="2222333 - 2111104"/>
    <n v="2015"/>
    <n v="7453603"/>
    <n v="11862809"/>
    <m/>
    <n v="4409206"/>
    <n v="5"/>
    <n v="8335444.2000000002"/>
    <n v="7426859"/>
    <n v="-26744"/>
    <n v="-6.0654911564576482E-3"/>
    <n v="9217285.4000000004"/>
    <n v="7442313.9916554801"/>
    <n v="-11289.008344519883"/>
    <n v="-2.5603268127004915E-3"/>
    <n v="10099126.6"/>
    <m/>
    <n v="-7453603"/>
    <n v="-1.690463770574566"/>
    <n v="10980967.800000001"/>
    <m/>
    <m/>
    <n v="0"/>
    <n v="11862809"/>
    <m/>
    <m/>
    <n v="0"/>
    <m/>
    <n v="-38033.008344519883"/>
    <m/>
    <m/>
    <m/>
  </r>
  <r>
    <x v="20"/>
    <s v="OAP-INE"/>
    <x v="1"/>
    <s v="Soberanía productiva con diversificación desarrollo integral sin la dictadura del mercado capitalista"/>
    <s v="0604"/>
    <s v="Sistemas productivos óptimos: agropecuaria."/>
    <n v="3"/>
    <s v="6.4.3"/>
    <n v="162"/>
    <s v="6.4.162"/>
    <s v="0604162"/>
    <s v="Se ha incrementado el número de cabezas de ganado caprino"/>
    <s v="Producción "/>
    <s v="Agropecuaria"/>
    <s v="Producto"/>
    <s v="Económica"/>
    <s v="Agropecuaria"/>
    <m/>
    <n v="1"/>
    <s v="PD"/>
    <m/>
    <m/>
    <s v="MDRyT"/>
    <e v="#DIV/0!"/>
    <n v="0"/>
    <n v="3"/>
    <s v="ETAPA 3"/>
    <n v="1"/>
    <m/>
    <s v="2.5 De aquí a 2020, mantener la diversidad genética de las semillas, las plantas cultivadas y los animales de granja y domesticados y sus correspondientes especies silvestres, entre otras cosas mediante una buena gestión y diversificación de los bancos de semillas y plantas a nivel_x000a_nacional, regional e internacional, y promover el acceso a los beneficios que se deriven de la utilización de los recursos genéticos y los conocimientos tradicionales conexos y su distribución justa y equitativa, según lo convenido internacionalmente_x000a_"/>
    <s v="2.5.2 Proporción de razas y variedades locales consideradas en riesgo de extinción, sin riesgo o con un nivel de riesgo desconocido"/>
    <s v="Proxy"/>
    <x v="0"/>
    <m/>
    <n v="3"/>
    <s v="06041623"/>
    <x v="222"/>
    <s v="Proceso"/>
    <s v="Eficacia"/>
    <s v="Área geográfica"/>
    <s v="Número de cabezas"/>
    <s v="Este indicador muestra la evolución del incremento del número de cabezas de ganado caprino según años"/>
    <m/>
    <s v="Número de cabezas de ganado caprino en el año base mas la sumatoria de la  diferencia del número de cabezas del i + 1 esimo año menos el número de cabezas del i esimo año "/>
    <s v="INE - OAP"/>
    <s v="No aplica"/>
    <m/>
    <s v="1952 - 2017"/>
    <s v="Nacional y departamental"/>
    <n v="1"/>
    <s v="060416231"/>
    <s v="INE - OAP"/>
    <s v="Instituto Nacional de Estadística - Observatorio Agroambiental y Productivo"/>
    <s v="Censos, encuestas y registros administrativos"/>
    <s v="Anual"/>
    <s v="2015 - 2017"/>
    <s v="Nacional y departamental"/>
    <s v="Nacional y departamental"/>
    <s v="Número de cabezas"/>
    <m/>
    <s v="Ministerio de Planificación del Desarrollo (MPD) - Ministerio de Desarrollo Rural y Tierras (MDRyT)"/>
    <s v="Ministerio de Planificación del Desarrollo (MPD) - Ministerio de Desarrollo Rural y Tierras (MDRyT)"/>
    <s v="Instituto Nacional de Estadística - Observatorio Agroambiental y Productivo"/>
    <s v="2222333 - 2111105"/>
    <n v="2015"/>
    <n v="2181219"/>
    <n v="2807181"/>
    <m/>
    <n v="625962"/>
    <n v="5"/>
    <n v="2306411.4"/>
    <n v="2209968"/>
    <n v="28749"/>
    <n v="4.5927708071735983E-2"/>
    <n v="2431603.7999999998"/>
    <n v="2210720.15452528"/>
    <n v="29501.154525279999"/>
    <n v="4.7129305812940718E-2"/>
    <n v="2556796.2000000002"/>
    <m/>
    <n v="-2181219"/>
    <n v="-3.4845869238068765"/>
    <n v="2681988.6"/>
    <m/>
    <m/>
    <n v="0"/>
    <n v="2807181"/>
    <m/>
    <m/>
    <n v="0"/>
    <m/>
    <m/>
    <m/>
    <m/>
    <m/>
  </r>
  <r>
    <x v="20"/>
    <s v="OAP-INE"/>
    <x v="1"/>
    <s v="Soberanía productiva con diversificación desarrollo integral sin la dictadura del mercado capitalista"/>
    <s v="0604"/>
    <s v="Sistemas productivos óptimos: agropecuaria."/>
    <n v="3"/>
    <s v="6.4.3"/>
    <n v="162"/>
    <s v="6.4.162"/>
    <s v="0604162"/>
    <s v="Se ha incrementado el número de cabezas de ganado porcino"/>
    <s v="Producción "/>
    <s v="Agropecuaria"/>
    <s v="Producto"/>
    <s v="Económica"/>
    <s v="Agropecuaria"/>
    <m/>
    <n v="1"/>
    <s v="PD"/>
    <m/>
    <m/>
    <s v="MDRyT"/>
    <e v="#DIV/0!"/>
    <n v="0"/>
    <n v="3"/>
    <s v="ETAPA 3"/>
    <n v="1"/>
    <m/>
    <s v="2.5 De aquí a 2020, mantener la diversidad genética de las semillas, las plantas cultivadas y los animales de granja y domesticados y sus correspondientes especies silvestres, entre otras cosas mediante una buena gestión y diversificación de los bancos de semillas y plantas a nivel_x000a_nacional, regional e internacional, y promover el acceso a los beneficios que se deriven de la utilización de los recursos genéticos y los conocimientos tradicionales conexos y su distribución justa y equitativa, según lo convenido internacionalmente_x000a_"/>
    <s v="2.5.2 Proporción de razas y variedades locales consideradas en riesgo de extinción, sin riesgo o con un nivel de riesgo desconocido"/>
    <s v="Proxy"/>
    <x v="0"/>
    <m/>
    <n v="3"/>
    <s v="06041623"/>
    <x v="223"/>
    <s v="Proceso"/>
    <s v="Eficacia"/>
    <s v="Área geográfica"/>
    <s v="Número de cabezas"/>
    <s v="Este indicador muestra la evolución del incremento del número de cabezas de ganado porcino según años"/>
    <m/>
    <s v="Número de cabezas de ganado porcino en el año base mas la sumatoria de la  diferencia del número de cabezas del i + 1 esimo año menos el número de cabezas del i esimo año "/>
    <s v="INE - OAP"/>
    <s v="No aplica"/>
    <m/>
    <s v="1952 - 2017"/>
    <s v="Nacional y departamental"/>
    <n v="1"/>
    <s v="060416231"/>
    <s v="INE - OAP"/>
    <s v="Instituto Nacional de Estadística - Observatorio Agroambiental y Productivo"/>
    <s v="Censos, encuestas y registros administrativos"/>
    <s v="Anual"/>
    <s v="2015 - 2017"/>
    <s v="Nacional y departamental"/>
    <s v="Nacional y departamental"/>
    <s v="Número de cabezas"/>
    <m/>
    <s v="Ministerio de Planificación del Desarrollo (MPD) - Ministerio de Desarrollo Rural y Tierras (MDRyT)"/>
    <s v="Ministerio de Planificación del Desarrollo (MPD) - Ministerio de Desarrollo Rural y Tierras (MDRyT)"/>
    <s v="Instituto Nacional de Estadística - Observatorio Agroambiental y Productivo"/>
    <s v="2222333 - 2111105"/>
    <n v="2015"/>
    <n v="2855489"/>
    <n v="3935498"/>
    <m/>
    <n v="1080009"/>
    <n v="5"/>
    <n v="3071490.8"/>
    <n v="2906696"/>
    <n v="51207"/>
    <n v="4.7413493776440753E-2"/>
    <n v="3287492.6"/>
    <n v="2951048.79880514"/>
    <n v="95559.798805139959"/>
    <n v="8.8480557851962308E-2"/>
    <n v="3503494.4"/>
    <m/>
    <n v="-2855489"/>
    <n v="-2.643949263385768"/>
    <n v="3719496.2"/>
    <m/>
    <m/>
    <n v="0"/>
    <n v="3935498"/>
    <m/>
    <m/>
    <n v="0"/>
    <m/>
    <m/>
    <m/>
    <m/>
    <m/>
  </r>
  <r>
    <x v="20"/>
    <s v="OAP-INE"/>
    <x v="1"/>
    <s v="Soberanía productiva con diversificación desarrollo integral sin la dictadura del mercado capitalista"/>
    <s v="0604"/>
    <s v="Sistemas productivos óptimos: agropecuaria."/>
    <n v="3"/>
    <s v="6.4.3"/>
    <n v="162"/>
    <s v="6.4.162"/>
    <s v="0604162"/>
    <s v="Se ha incrementado el número de cabezas de ganado camélido (llamas y alpacas)"/>
    <s v="Producción "/>
    <s v="Agropecuaria"/>
    <s v="Producto"/>
    <s v="Económica"/>
    <s v="Agropecuaria"/>
    <m/>
    <n v="1"/>
    <s v="PD"/>
    <m/>
    <m/>
    <s v="MDRyT"/>
    <e v="#DIV/0!"/>
    <n v="0"/>
    <n v="4"/>
    <s v="ETAPA 4"/>
    <n v="1"/>
    <m/>
    <s v="2.5 De aquí a 2020, mantener la diversidad genética de las semillas, las plantas cultivadas y los animales de granja y domesticados y sus correspondientes especies silvestres, entre otras cosas mediante una buena gestión y diversificación de los bancos de semillas y plantas a nivel_x000a_nacional, regional e internacional, y promover el acceso a los beneficios que se deriven de la utilización de los recursos genéticos y los conocimientos tradicionales conexos y su distribución justa y equitativa, según lo convenido internacionalmente_x000a_"/>
    <s v="2.5.2 Proporción de razas y variedades locales consideradas en riesgo de extinción, sin riesgo o con un nivel de riesgo desconocido"/>
    <s v="Proxy"/>
    <x v="0"/>
    <m/>
    <n v="4"/>
    <s v="06041624"/>
    <x v="224"/>
    <s v="Proceso"/>
    <s v="Eficacia"/>
    <s v="Área geográfica"/>
    <s v="Número de cabezas"/>
    <s v="Este indicador muestra la evolución del incremento del número de cabezas de ganado camélido (llamas y alpacas) según años"/>
    <m/>
    <s v="Número de cabezas de ganado camélido (llamas y alpacas) en el año base mas la sumatoria de la  diferencia del número de cabezas del i + 1 esimo año menos el número de cabezas del i esimo año "/>
    <s v="INE - OAP"/>
    <s v="No aplica"/>
    <m/>
    <s v="1953 - 2017"/>
    <s v="Nacional y departamental"/>
    <n v="1"/>
    <s v="060416241"/>
    <s v="INE - OAP"/>
    <s v="Instituto Nacional de Estadística - Observatorio Agroambiental y Productivo"/>
    <s v="Censos, encuestas y registros administrativos"/>
    <s v="Anual"/>
    <s v="2015 - 2017"/>
    <s v="Nacional y departamental"/>
    <s v="Nacional y departamental"/>
    <s v="Número de cabezas"/>
    <m/>
    <s v="Ministerio de Planificación del Desarrollo (MPD) - Ministerio de Desarrollo Rural y Tierras (MDRyT)"/>
    <s v="Ministerio de Planificación del Desarrollo (MPD) - Ministerio de Desarrollo Rural y Tierras (MDRyT)"/>
    <s v="Instituto Nacional de Estadística - Observatorio Agroambiental y Productivo"/>
    <s v="2222333 - 2111106"/>
    <n v="2015"/>
    <n v="3194248"/>
    <n v="4006529"/>
    <m/>
    <n v="812281"/>
    <n v="5"/>
    <n v="3356704.2"/>
    <n v="3162064"/>
    <n v="-32184"/>
    <n v="-3.9621756510370178E-2"/>
    <n v="3519160.4"/>
    <n v="3056385"/>
    <n v="-137863"/>
    <n v="-0.16972328541477641"/>
    <n v="3681616.6"/>
    <m/>
    <n v="-3194248"/>
    <n v="-3.9324420982394024"/>
    <n v="3844072.8"/>
    <m/>
    <m/>
    <n v="0"/>
    <n v="4006529"/>
    <m/>
    <m/>
    <n v="0"/>
    <m/>
    <m/>
    <m/>
    <m/>
    <m/>
  </r>
  <r>
    <x v="20"/>
    <s v="PROG. MDRyT"/>
    <x v="1"/>
    <s v="Soberanía productiva con diversificación desarrollo integral sin la dictadura del mercado capitalista"/>
    <s v="0606"/>
    <s v="Sistemas productivos eficientes."/>
    <n v="3"/>
    <s v="6.6.3"/>
    <n v="170"/>
    <s v="6.6.170"/>
    <s v="0606170"/>
    <s v="Se han incrementado el rendimiento promedio de los productos agrícolas más importantes vinculados con la seguridad alimentaria (cereales, estimulantes, hortalizas, frutales, oleaginosas, tubérculos y forrajes, entre otros)."/>
    <s v="Producción "/>
    <s v="Agropecuaria"/>
    <s v="Resultado"/>
    <s v="Económica"/>
    <s v="Agropecuaria"/>
    <m/>
    <m/>
    <s v="RS"/>
    <m/>
    <m/>
    <s v="Agropecuario"/>
    <e v="#DIV/0!"/>
    <n v="0"/>
    <n v="1"/>
    <s v="Etapa 1"/>
    <m/>
    <m/>
    <s v="2.4 De aquí a 2030, asegurar la sostenibilidad de los sistemas de producción de alimentos y aplicar prácticas agrícolas resilientes que aumenten la productividad y la producción, contribuyan al mantenimiento de los ecosistemas, fortalezcan la capacidad de adaptación al cambio climático, los fenómenos meteorológicos extremos, las sequías, las inundaciones y otros desastres, y mejoren progresivamente la calidad de la tierra y el suelo"/>
    <s v="2.3.1  Volumen de producción por unidad de trabajo desglosado por tamaño y tipo de explotación (agropecuaria, ganadera y forestal)_x000a_"/>
    <s v="No aplicable"/>
    <x v="0"/>
    <m/>
    <n v="1"/>
    <s v="06061701"/>
    <x v="225"/>
    <s v="Indicador de Producto-Efecto"/>
    <s v="Eficacia"/>
    <s v="Área geográfica: Departamental"/>
    <s v="kg/ha"/>
    <s v="Este indicador muestra el incremento en los rendimientos por cada hectárea "/>
    <s v="ΔRend = Rend(0) +_x000a_ 1Ʃ(Rend(t) -  Rend(t-1))"/>
    <s v="Rendimiento del rubro en el año base, más la Sumatoria del rendimiento del rubro 1 al rubro n correspondiente al periodo (t), menos el rendimiento del rubro 1 al rubro n correspondiente al periodo (t-1)"/>
    <s v="OAP-INE"/>
    <s v="No aplica"/>
    <s v="OAP-INE"/>
    <s v="1950 - 2017"/>
    <s v="Nacional y Departamental"/>
    <n v="1"/>
    <s v="060617011"/>
    <s v="OAP-INE"/>
    <s v="Observatorio Agroambiental Productivo -Instituto Nacional de Estadistica"/>
    <s v="Encuesta"/>
    <s v="Anual"/>
    <s v="2015 - 2017"/>
    <s v="Nacional y Departamental"/>
    <s v="Nacional "/>
    <s v="Superficie y producción"/>
    <m/>
    <s v="Ministerio de Desarrollo Rural y Tierras (MDRyT) - Ministerio de Planificacion del Desarrollo (MPD)"/>
    <s v="Ministerio de Desarrollo Rural y Tierras (MDRyT) - Ministerio de Planificacion del Desarrollo (MPD)"/>
    <s v="Observatorio Agroambiental Productivo -Instituto Nacional de Estadistica"/>
    <s v="2111103-2222333"/>
    <n v="2015"/>
    <n v="5896"/>
    <n v="7634"/>
    <m/>
    <n v="1738"/>
    <n v="5"/>
    <n v="6243.6"/>
    <n v="5909"/>
    <n v="13"/>
    <n v="7.4798619102416572E-3"/>
    <n v="6591.2"/>
    <n v="6431"/>
    <n v="535"/>
    <n v="0.30782508630609895"/>
    <n v="6938.8"/>
    <m/>
    <n v="-5896"/>
    <n v="-3.3924050632911391"/>
    <n v="7286.4"/>
    <m/>
    <n v="-5896"/>
    <n v="-3.3924050632911391"/>
    <n v="7634"/>
    <m/>
    <n v="-5896"/>
    <n v="-3.3924050632911391"/>
    <m/>
    <m/>
    <m/>
    <m/>
    <m/>
  </r>
  <r>
    <x v="20"/>
    <s v="PROG. MDRyT"/>
    <x v="1"/>
    <s v="Soberanía productiva con diversificación desarrollo integral sin la dictadura del mercado capitalista"/>
    <s v="0606"/>
    <s v="Sistemas productivos eficientes."/>
    <n v="3"/>
    <s v="6.6.3"/>
    <n v="170"/>
    <s v="6.6.170"/>
    <s v="0606170"/>
    <s v="Se han incrementado el rendimiento promedio de los productos agrícolas más importantes vinculados con la seguridad alimentaria (cereales, estimulantes, hortalizas, frutales, oleaginosas, tubérculos y forrajes, entre otros)."/>
    <s v="Producción "/>
    <s v="Agropecuaria"/>
    <s v="Resultado"/>
    <s v="Económica"/>
    <s v="Agropecuaria"/>
    <m/>
    <m/>
    <s v="RS"/>
    <m/>
    <m/>
    <s v="Agropecuario"/>
    <e v="#DIV/0!"/>
    <n v="0"/>
    <n v="1"/>
    <s v="Etapa 1"/>
    <m/>
    <m/>
    <s v="2.4 De aquí a 2030, asegurar la sostenibilidad de los sistemas de producción de alimentos y aplicar prácticas agrícolas resilientes que aumenten la productividad y la producción, contribuyan al mantenimiento de los ecosistemas, fortalezcan la capacidad de adaptación al cambio climático, los fenómenos meteorológicos extremos, las sequías, las inundaciones y otros desastres, y mejoren progresivamente la calidad de la tierra y el suelo"/>
    <s v="2.3.1  Volumen de producción por unidad de trabajo desglosado por tamaño y tipo de explotación (agropecuaria, ganadera y forestal)_x000a_"/>
    <s v="No aplicable"/>
    <x v="0"/>
    <m/>
    <n v="2"/>
    <s v="06061702"/>
    <x v="226"/>
    <s v="Indicador de Producto-Efecto"/>
    <s v="Eficacia"/>
    <s v="Área geográfica: Departamental"/>
    <s v="kg/ha"/>
    <s v="Este indicador muestra el incremento en los rendimientos por cada hectárea "/>
    <s v="ΔRend = Rend(0) +_x000a_ 1Ʃ(Rend(t) -  Rend(t-1))"/>
    <s v="Rendimiento del rubro en el año base, más la Sumatoria del rendimiento del rubro 1 al rubro n correspondiente al periodo (t), menos el rendimiento del rubro 1 al rubro n correspondiente al periodo (t-1)"/>
    <s v="OAP-INE"/>
    <s v="No aplica"/>
    <s v="OAP-INE"/>
    <s v="1950 - 2017"/>
    <s v="Nacional y Departamental"/>
    <n v="1"/>
    <s v="060617021"/>
    <s v="OAP-INE"/>
    <s v="Observatorio Agroambiental Productivo -Instituto Nacional de Estadistica"/>
    <s v="Encuesta"/>
    <s v="Anual"/>
    <s v="2015 - 2017"/>
    <s v="Nacional y Departamental"/>
    <s v="Nacional "/>
    <s v="Superficie y producción"/>
    <m/>
    <s v="Ministerio de Desarrollo Rural y Tierras (MDRyT) - Ministerio de Planificacion del Desarrollo (MPD)"/>
    <s v="Ministerio de Desarrollo Rural y Tierras (MDRyT) - Ministerio de Planificacion del Desarrollo (MPD)"/>
    <s v="Observatorio Agroambiental Productivo -Instituto Nacional de Estadistica"/>
    <s v="2111103-2222333"/>
    <n v="2015"/>
    <n v="2348"/>
    <n v="2724"/>
    <m/>
    <n v="376"/>
    <n v="5"/>
    <n v="2423.1999999999998"/>
    <n v="2398"/>
    <n v="50"/>
    <n v="0.13297872340425532"/>
    <n v="2498.4"/>
    <n v="2003"/>
    <n v="-345"/>
    <n v="-0.91755319148936165"/>
    <n v="2573.6"/>
    <m/>
    <n v="-2348"/>
    <n v="-6.2446808510638299"/>
    <n v="2648.8"/>
    <m/>
    <n v="-2348"/>
    <n v="-6.2446808510638299"/>
    <n v="2724"/>
    <m/>
    <n v="-2348"/>
    <n v="-6.2446808510638299"/>
    <m/>
    <m/>
    <m/>
    <m/>
    <m/>
  </r>
  <r>
    <x v="20"/>
    <s v="PROG. MDRyT"/>
    <x v="1"/>
    <s v="Soberanía productiva con diversificación desarrollo integral sin la dictadura del mercado capitalista"/>
    <s v="0606"/>
    <s v="Sistemas productivos eficientes."/>
    <n v="3"/>
    <s v="6.6.3"/>
    <n v="170"/>
    <s v="6.6.170"/>
    <s v="0606170"/>
    <s v="Se han incrementado el rendimiento promedio de los productos agrícolas más importantes vinculados con la seguridad alimentaria (cereales, estimulantes, hortalizas, frutales, oleaginosas, tubérculos y forrajes, entre otros)."/>
    <s v="Producción "/>
    <s v="Agropecuaria"/>
    <s v="Resultado"/>
    <s v="Económica"/>
    <s v="Agropecuaria"/>
    <m/>
    <m/>
    <s v="RS"/>
    <m/>
    <m/>
    <s v="Agropecuario"/>
    <e v="#DIV/0!"/>
    <n v="0"/>
    <n v="1"/>
    <s v="Etapa 1"/>
    <m/>
    <m/>
    <s v="2.4 De aquí a 2030, asegurar la sostenibilidad de los sistemas de producción de alimentos y aplicar prácticas agrícolas resilientes que aumenten la productividad y la producción, contribuyan al mantenimiento de los ecosistemas, fortalezcan la capacidad de adaptación al cambio climático, los fenómenos meteorológicos extremos, las sequías, las inundaciones y otros desastres, y mejoren progresivamente la calidad de la tierra y el suelo"/>
    <s v="2.3.1  Volumen de producción por unidad de trabajo desglosado por tamaño y tipo de explotación (agropecuaria, ganadera y forestal)_x000a_"/>
    <s v="No aplicable"/>
    <x v="0"/>
    <m/>
    <n v="3"/>
    <s v="06061703"/>
    <x v="227"/>
    <s v="Indicador de Producto-Efecto"/>
    <s v="Eficacia"/>
    <s v="Área geográfica: Departamental"/>
    <s v="Tn/ha"/>
    <s v="Este indicador muestra el incremento en los rendimientos por cada hectárea "/>
    <s v="ΔRend = Rend(0) +_x000a_ 1Ʃ(Rend(t) -  Rend(t-1))"/>
    <s v="Rendimiento del rubro en el año base, más la Sumatoria del rendimiento del rubro 1 al rubro n correspondiente al periodo (t), menos el rendimiento del rubro 1 al rubro n correspondiente al periodo (t-1)"/>
    <s v="OAP-INE"/>
    <s v="No aplica"/>
    <s v="OAP-INE"/>
    <s v="1950 - 2017"/>
    <s v="Nacional y Departamental"/>
    <n v="1"/>
    <s v="060617031"/>
    <s v="OAP-INE"/>
    <s v="Observatorio Agroambiental Productivo -Instituto Nacional de Estadistica"/>
    <s v="Encuesta"/>
    <s v="Anual"/>
    <s v="2015 - 2017"/>
    <s v="Nacional y Departamental"/>
    <s v="Nacional "/>
    <s v="Superficie y producción"/>
    <m/>
    <s v="Ministerio de Desarrollo Rural y Tierras (MDRyT) - Ministerio de Planificacion del Desarrollo (MPD)"/>
    <s v="Ministerio de Desarrollo Rural y Tierras (MDRyT) - Ministerio de Planificacion del Desarrollo (MPD)"/>
    <s v="Observatorio Agroambiental Productivo -Instituto Nacional de Estadistica"/>
    <s v="2111103-2222333"/>
    <n v="2015"/>
    <n v="49.45"/>
    <n v="59.34"/>
    <m/>
    <n v="9.89"/>
    <n v="5"/>
    <n v="51.428000000000004"/>
    <n v="50.509"/>
    <n v="1.0589999999999975"/>
    <n v="0.10707785642062664"/>
    <n v="53.406000000000006"/>
    <n v="52.960999999999999"/>
    <n v="3.5109999999999957"/>
    <n v="0.35500505561172857"/>
    <n v="55.384"/>
    <m/>
    <n v="-49.45"/>
    <n v="-5"/>
    <n v="57.362000000000002"/>
    <m/>
    <n v="-49.45"/>
    <n v="-5"/>
    <n v="59.34"/>
    <m/>
    <n v="-49.45"/>
    <n v="-5"/>
    <m/>
    <m/>
    <m/>
    <m/>
    <m/>
  </r>
  <r>
    <x v="20"/>
    <s v="PROG. MDRyT"/>
    <x v="1"/>
    <s v="Soberanía productiva con diversificación desarrollo integral sin la dictadura del mercado capitalista"/>
    <s v="0606"/>
    <s v="Sistemas productivos eficientes."/>
    <n v="3"/>
    <s v="6.6.3"/>
    <n v="170"/>
    <s v="6.6.170"/>
    <s v="0606170"/>
    <s v="Se han incrementado el rendimiento promedio de los productos agrícolas más importantes vinculados con la seguridad alimentaria (cereales, estimulantes, hortalizas, frutales, oleaginosas, tubérculos y forrajes, entre otros)."/>
    <s v="Producción "/>
    <s v="Agropecuaria"/>
    <s v="Resultado"/>
    <s v="Económica"/>
    <s v="Agropecuaria"/>
    <m/>
    <m/>
    <s v="RS"/>
    <m/>
    <m/>
    <s v="Agropecuario"/>
    <e v="#DIV/0!"/>
    <n v="0"/>
    <n v="1"/>
    <s v="Etapa 1"/>
    <m/>
    <m/>
    <s v="2.4 De aquí a 2030, asegurar la sostenibilidad de los sistemas de producción de alimentos y aplicar prácticas agrícolas resilientes que aumenten la productividad y la producción, contribuyan al mantenimiento de los ecosistemas, fortalezcan la capacidad de adaptación al cambio climático, los fenómenos meteorológicos extremos, las sequías, las inundaciones y otros desastres, y mejoren progresivamente la calidad de la tierra y el suelo"/>
    <s v="2.3.1  Volumen de producción por unidad de trabajo desglosado por tamaño y tipo de explotación (agropecuaria, ganadera y forestal)_x000a_"/>
    <s v="No aplicable"/>
    <x v="0"/>
    <m/>
    <n v="4"/>
    <s v="06061704"/>
    <x v="228"/>
    <s v="Indicador de Producto-Efecto"/>
    <s v="Eficacia"/>
    <s v="Área geográfica: Departamental"/>
    <s v="kg/ha"/>
    <s v="Este indicador muestra el incremento en los rendimientos por cada hectárea "/>
    <s v="ΔRend = Rend(0) +_x000a_ 1Ʃ(Rend(t) -  Rend(t-1))"/>
    <s v="Rendimiento del rubro en el año base, más la Sumatoria del rendimiento del rubro 1 al rubro n correspondiente al periodo (t), menos el rendimiento del rubro 1 al rubro n correspondiente al periodo (t-1)"/>
    <s v="OAP-INE"/>
    <s v="No aplica"/>
    <s v="OAP-INE"/>
    <s v="1950 - 2017"/>
    <s v="Nacional y Departamental"/>
    <n v="1"/>
    <s v="060617041"/>
    <s v="OAP-INE"/>
    <s v="Observatorio Agroambiental Productivo -Instituto Nacional de Estadistica"/>
    <s v="Encuesta"/>
    <s v="Anual"/>
    <s v="2015 - 2017"/>
    <s v="Nacional y Departamental"/>
    <s v="Nacional "/>
    <s v="Superficie y producción"/>
    <m/>
    <s v="Ministerio de Desarrollo Rural y Tierras (MDRyT) - Ministerio de Planificacion del Desarrollo (MPD)"/>
    <s v="Ministerio de Desarrollo Rural y Tierras (MDRyT) - Ministerio de Planificacion del Desarrollo (MPD)"/>
    <s v="Observatorio Agroambiental Productivo -Instituto Nacional de Estadistica"/>
    <s v="2111103-2222333"/>
    <n v="2015"/>
    <n v="2393"/>
    <n v="3379"/>
    <m/>
    <n v="986"/>
    <n v="5"/>
    <n v="2590.1999999999998"/>
    <n v="2497"/>
    <n v="104"/>
    <n v="0.10547667342799188"/>
    <n v="2787.4"/>
    <n v="2322"/>
    <n v="-71"/>
    <n v="-7.2008113590263698E-2"/>
    <n v="2984.6"/>
    <m/>
    <n v="-2393"/>
    <n v="-2.426977687626775"/>
    <n v="3181.8"/>
    <m/>
    <n v="-2393"/>
    <n v="-2.426977687626775"/>
    <n v="3379"/>
    <m/>
    <n v="-2393"/>
    <n v="-2.426977687626775"/>
    <m/>
    <m/>
    <m/>
    <m/>
    <m/>
  </r>
  <r>
    <x v="20"/>
    <s v="PROG. MDRyT"/>
    <x v="1"/>
    <s v="Soberanía productiva con diversificación desarrollo integral sin la dictadura del mercado capitalista"/>
    <s v="0606"/>
    <s v="Sistemas productivos eficientes."/>
    <n v="3"/>
    <s v="6.6.3"/>
    <n v="170"/>
    <s v="6.6.170"/>
    <s v="0606170"/>
    <s v="Se han incrementado el rendimiento promedio de los productos agrícolas más importantes vinculados con la seguridad alimentaria (cereales, estimulantes, hortalizas, frutales, oleaginosas, tubérculos y forrajes, entre otros)."/>
    <s v="Producción "/>
    <s v="Agropecuaria"/>
    <s v="Resultado"/>
    <s v="Económica"/>
    <s v="Agropecuaria"/>
    <m/>
    <m/>
    <s v="RS"/>
    <m/>
    <m/>
    <s v="Agropecuario"/>
    <e v="#DIV/0!"/>
    <n v="0"/>
    <n v="1"/>
    <s v="Etapa 1"/>
    <m/>
    <m/>
    <s v="2.4 De aquí a 2030, asegurar la sostenibilidad de los sistemas de producción de alimentos y aplicar prácticas agrícolas resilientes que aumenten la productividad y la producción, contribuyan al mantenimiento de los ecosistemas, fortalezcan la capacidad de adaptación al cambio climático, los fenómenos meteorológicos extremos, las sequías, las inundaciones y otros desastres, y mejoren progresivamente la calidad de la tierra y el suelo"/>
    <s v="2.3.1  Volumen de producción por unidad de trabajo desglosado por tamaño y tipo de explotación (agropecuaria, ganadera y forestal)_x000a_"/>
    <s v="No aplicable"/>
    <x v="0"/>
    <m/>
    <n v="5"/>
    <s v="06061705"/>
    <x v="229"/>
    <s v="Indicador de Producto-Efecto"/>
    <s v="Eficacia"/>
    <s v="Área geográfica: Departamental"/>
    <s v="kg/ha"/>
    <s v="Este indicador muestra el incremento en los rendimientos por cada hectárea "/>
    <s v="ΔRend = Rend(0) +_x000a_ 1Ʃ(Rend(t) -  Rend(t-1))"/>
    <s v="Rendimiento del rubro en el año base, más la Sumatoria del rendimiento del rubro 1 al rubro n correspondiente al periodo (t), menos el rendimiento del rubro 1 al rubro n correspondiente al periodo (t-1)"/>
    <s v="OAP-INE"/>
    <s v="No aplica"/>
    <s v="OAP-INE"/>
    <s v="1950 - 2017"/>
    <s v="Nacional y Departamental"/>
    <n v="1"/>
    <s v="060617051"/>
    <s v="OAP-INE"/>
    <s v="Observatorio Agroambiental Productivo -Instituto Nacional de Estadistica"/>
    <s v="Encuesta"/>
    <s v="Anual"/>
    <s v="2015 - 2017"/>
    <s v="Nacional y Departamental"/>
    <s v="Nacional "/>
    <s v="Superficie y producción"/>
    <m/>
    <s v="Ministerio de Desarrollo Rural y Tierras (MDRyT) - Ministerio de Planificacion del Desarrollo (MPD)"/>
    <s v="Ministerio de Desarrollo Rural y Tierras (MDRyT) - Ministerio de Planificacion del Desarrollo (MPD)"/>
    <s v="Observatorio Agroambiental Productivo -Instituto Nacional de Estadistica"/>
    <s v="2111103-2222333"/>
    <n v="2015"/>
    <n v="623"/>
    <n v="810"/>
    <m/>
    <n v="187"/>
    <n v="5"/>
    <n v="660.4"/>
    <n v="551"/>
    <n v="-72"/>
    <n v="-0.38502673796791442"/>
    <n v="697.8"/>
    <n v="604"/>
    <n v="-19"/>
    <n v="-0.10160427807486631"/>
    <n v="735.2"/>
    <m/>
    <n v="-623"/>
    <n v="-3.3315508021390374"/>
    <n v="772.6"/>
    <m/>
    <n v="-623"/>
    <n v="-3.3315508021390374"/>
    <n v="810"/>
    <m/>
    <n v="-623"/>
    <n v="-3.3315508021390374"/>
    <m/>
    <m/>
    <m/>
    <m/>
    <m/>
  </r>
  <r>
    <x v="20"/>
    <s v="PROG. MDRyT"/>
    <x v="1"/>
    <s v="Soberanía productiva con diversificación desarrollo integral sin la dictadura del mercado capitalista"/>
    <s v="0606"/>
    <s v="Sistemas productivos eficientes."/>
    <n v="3"/>
    <s v="6.6.3"/>
    <n v="170"/>
    <s v="6.6.170"/>
    <s v="0606170"/>
    <s v="Se han incrementado el rendimiento promedio de los productos agrícolas más importantes vinculados con la seguridad alimentaria (cereales, estimulantes, hortalizas, frutales, oleaginosas, tubérculos y forrajes, entre otros)."/>
    <s v="Producción "/>
    <s v="Agropecuaria"/>
    <s v="Resultado"/>
    <s v="Económica"/>
    <s v="Agropecuaria"/>
    <m/>
    <m/>
    <s v="RS"/>
    <m/>
    <m/>
    <s v="Agropecuario"/>
    <e v="#DIV/0!"/>
    <n v="0"/>
    <n v="1"/>
    <s v="Etapa 1"/>
    <m/>
    <m/>
    <s v="2.4 De aquí a 2030, asegurar la sostenibilidad de los sistemas de producción de alimentos y aplicar prácticas agrícolas resilientes que aumenten la productividad y la producción, contribuyan al mantenimiento de los ecosistemas, fortalezcan la capacidad de adaptación al cambio climático, los fenómenos meteorológicos extremos, las sequías, las inundaciones y otros desastres, y mejoren progresivamente la calidad de la tierra y el suelo"/>
    <s v="2.3.1  Volumen de producción por unidad de trabajo desglosado por tamaño y tipo de explotación (agropecuaria, ganadera y forestal)_x000a_"/>
    <s v="No aplicable"/>
    <x v="0"/>
    <m/>
    <n v="6"/>
    <s v="06061706"/>
    <x v="230"/>
    <s v="Indicador de Producto-Efecto"/>
    <s v="Eficacia"/>
    <s v="Área geográfica: Departamental"/>
    <s v="kg/ha"/>
    <s v="Este indicador muestra el incremento en los rendimientos por cada hectárea "/>
    <s v="ΔRend = Rend(0) +_x000a_ 1Ʃ(Rend(t) -  Rend(t-1))"/>
    <s v="Rendimiento del rubro en el año base, más la Sumatoria del rendimiento del rubro 1 al rubro n correspondiente al periodo (t), menos el rendimiento del rubro 1 al rubro n correspondiente al periodo (t-1)"/>
    <s v="OAP-INE"/>
    <s v="No aplica"/>
    <s v="OAP-INE"/>
    <s v="1950 - 2017"/>
    <s v="Nacional y Departamental"/>
    <n v="1"/>
    <s v="060617061"/>
    <s v="OAP-INE"/>
    <s v="Observatorio Agroambiental Productivo -Instituto Nacional de Estadistica"/>
    <s v="Encuesta/Registro Administrativo"/>
    <s v="Anual"/>
    <s v="2015 - 2017"/>
    <s v="Nacional y Departamental"/>
    <s v="Nacional "/>
    <s v="Volumen y  area "/>
    <m/>
    <s v="Ministerio de Desarrollo Rural y Tierras (MDRyT) - Ministerio de Planificacion del Desarrollo (MPD)"/>
    <s v="Ministerio de Desarrollo Rural y Tierras (MDRyT) - Ministerio de Planificacion del Desarrollo (MPD)"/>
    <s v="Observatorio Agroambiental Productivo -Instituto Nacional de Estadistica"/>
    <s v="2111103-2222333"/>
    <n v="2015"/>
    <n v="1721"/>
    <n v="1982"/>
    <m/>
    <n v="261"/>
    <n v="5"/>
    <n v="1773.2"/>
    <n v="1433"/>
    <n v="-288"/>
    <n v="-1.103448275862069"/>
    <n v="1825.4"/>
    <n v="885"/>
    <n v="-836"/>
    <n v="-3.2030651340996168"/>
    <n v="1877.6"/>
    <n v="1666"/>
    <n v="-55"/>
    <n v="-0.21072796934865901"/>
    <n v="1929.8"/>
    <m/>
    <n v="-1721"/>
    <n v="-6.5938697318007664"/>
    <n v="1982"/>
    <m/>
    <n v="-1721"/>
    <n v="-6.5938697318007664"/>
    <m/>
    <m/>
    <m/>
    <m/>
    <m/>
  </r>
  <r>
    <x v="20"/>
    <s v="PROG. MDRyT"/>
    <x v="1"/>
    <s v="Soberanía productiva con diversificación desarrollo integral sin la dictadura del mercado capitalista"/>
    <s v="0606"/>
    <s v="Sistemas productivos eficientes."/>
    <n v="3"/>
    <s v="6.6.3"/>
    <n v="170"/>
    <s v="6.6.170"/>
    <s v="0606170"/>
    <s v="Se han incrementado el rendimiento promedio de los productos agrícolas más importantes vinculados con la seguridad alimentaria (cereales, estimulantes, hortalizas, frutales, oleaginosas, tubérculos y forrajes, entre otros)."/>
    <s v="Producción "/>
    <s v="Agropecuaria"/>
    <s v="Resultado"/>
    <s v="Económica"/>
    <s v="Agropecuaria"/>
    <m/>
    <m/>
    <s v="RS"/>
    <m/>
    <m/>
    <s v="Agropecuario"/>
    <e v="#DIV/0!"/>
    <n v="0"/>
    <n v="1"/>
    <s v="Etapa 1"/>
    <m/>
    <m/>
    <s v="2.4 De aquí a 2030, asegurar la sostenibilidad de los sistemas de producción de alimentos y aplicar prácticas agrícolas resilientes que aumenten la productividad y la producción, contribuyan al mantenimiento de los ecosistemas, fortalezcan la capacidad de adaptación al cambio climático, los fenómenos meteorológicos extremos, las sequías, las inundaciones y otros desastres, y mejoren progresivamente la calidad de la tierra y el suelo"/>
    <s v="2.3.1  Volumen de producción por unidad de trabajo desglosado por tamaño y tipo de explotación (agropecuaria, ganadera y forestal)_x000a_"/>
    <s v="No aplicable"/>
    <x v="0"/>
    <m/>
    <n v="7"/>
    <s v="06061707"/>
    <x v="231"/>
    <s v="Indicador de Producto-Efecto"/>
    <s v="Eficacia"/>
    <s v="Área geográfica: Departamental"/>
    <s v="kg/ha"/>
    <s v="Este indicador muestra el incremento en los rendimientos por cada hectárea "/>
    <s v="ΔRend = Rend(0) +_x000a_ 1Ʃ(Rend(t) -  Rend(t-1))"/>
    <s v="Rendimiento del rubro en el año base, más la Sumatoria del rendimiento del rubro 1 al rubro n correspondiente al periodo (t), menos el rendimiento del rubro 1 al rubro n correspondiente al periodo (t-1)"/>
    <s v="OAP-INE"/>
    <s v="No aplica"/>
    <s v="OAP-INE"/>
    <s v="1950 - 2017"/>
    <s v="Nacional y Departamental"/>
    <n v="1"/>
    <s v="060617071"/>
    <s v="OAP-INE"/>
    <s v="Observatorio Agroambiental Productivo -Instituto Nacional de Estadistica"/>
    <s v="Encuesta/Registro Administrativo"/>
    <s v="Anual"/>
    <s v="2015 - 2017"/>
    <s v="Nacional y Departamental"/>
    <s v="Nacional "/>
    <s v="Volumen y  area "/>
    <m/>
    <s v="Ministerio de Desarrollo Rural y Tierras (MDRyT) - Ministerio de Planificacion del Desarrollo (MPD)"/>
    <s v="Ministerio de Desarrollo Rural y Tierras (MDRyT) - Ministerio de Planificacion del Desarrollo (MPD)"/>
    <s v="Observatorio Agroambiental Productivo -Instituto Nacional de Estadistica"/>
    <s v="2111103-2222333"/>
    <n v="2015"/>
    <n v="14856"/>
    <n v="17084"/>
    <m/>
    <n v="2228"/>
    <n v="5"/>
    <n v="15301.6"/>
    <n v="15102"/>
    <n v="246"/>
    <n v="0.11041292639138241"/>
    <n v="15747.2"/>
    <n v="14134"/>
    <n v="-722"/>
    <n v="-0.32405745062836627"/>
    <n v="16192.8"/>
    <n v="15123"/>
    <n v="267"/>
    <n v="0.11983842010771993"/>
    <n v="16638.400000000001"/>
    <m/>
    <n v="-14856"/>
    <n v="-6.6678635547576306"/>
    <n v="17084"/>
    <m/>
    <n v="-14856"/>
    <n v="-6.6678635547576306"/>
    <m/>
    <m/>
    <m/>
    <m/>
    <m/>
  </r>
  <r>
    <x v="20"/>
    <s v="PROG. MDRyT"/>
    <x v="1"/>
    <s v="Soberanía productiva con diversificación desarrollo integral sin la dictadura del mercado capitalista"/>
    <s v="0606"/>
    <s v="Sistemas productivos eficientes."/>
    <n v="3"/>
    <s v="6.6.3"/>
    <n v="170"/>
    <s v="6.6.170"/>
    <s v="0606170"/>
    <s v="Se han incrementado el rendimiento promedio de los productos agrícolas más importantes vinculados con la seguridad alimentaria (cereales, estimulantes, hortalizas, frutales, oleaginosas, tubérculos y forrajes, entre otros)."/>
    <s v="Producción "/>
    <s v="Agropecuaria"/>
    <s v="Resultado"/>
    <s v="Económica"/>
    <s v="Agropecuaria"/>
    <m/>
    <m/>
    <s v="RS"/>
    <m/>
    <m/>
    <s v="Agropecuario"/>
    <e v="#DIV/0!"/>
    <n v="0"/>
    <n v="1"/>
    <s v="Etapa 1"/>
    <m/>
    <m/>
    <s v="2.4 De aquí a 2030, asegurar la sostenibilidad de los sistemas de producción de alimentos y aplicar prácticas agrícolas resilientes que aumenten la productividad y la producción, contribuyan al mantenimiento de los ecosistemas, fortalezcan la capacidad de adaptación al cambio climático, los fenómenos meteorológicos extremos, las sequías, las inundaciones y otros desastres, y mejoren progresivamente la calidad de la tierra y el suelo"/>
    <s v="2.3.1  Volumen de producción por unidad de trabajo desglosado por tamaño y tipo de explotación (agropecuaria, ganadera y forestal)_x000a_"/>
    <s v="No aplicable"/>
    <x v="0"/>
    <m/>
    <n v="8"/>
    <s v="06061708"/>
    <x v="232"/>
    <s v="Indicador de Producto-Efecto"/>
    <s v="Eficacia"/>
    <s v="Área geográfica: Departamental"/>
    <s v="kg/ha"/>
    <s v="Este indicador muestra el incremento en los rendimientos por cada hectárea "/>
    <s v="ΔRend = Rend(0) +_x000a_ 1Ʃ(Rend(t) -  Rend(t-1))"/>
    <s v="Rendimiento del rubro en el año base, más la Sumatoria del rendimiento del rubro 1 al rubro n correspondiente al periodo (t), menos el rendimiento del rubro 1 al rubro n correspondiente al periodo (t-1)"/>
    <s v="OAP-INE"/>
    <s v="No aplica"/>
    <s v="OAP-INE"/>
    <s v="1950 - 2017"/>
    <s v="Nacional y Departamental"/>
    <n v="1"/>
    <s v="060617081"/>
    <s v="OAP-INE"/>
    <s v="Observatorio Agroambiental Productivo -Instituto Nacional de Estadistica"/>
    <s v="Encuesta/Registro Administrativo"/>
    <s v="Anual"/>
    <s v="2015 - 2017"/>
    <s v="Nacional y Departamental"/>
    <s v="Nacional "/>
    <s v="Volumen y  area "/>
    <m/>
    <s v="Ministerio de Desarrollo Rural y Tierras (MDRyT) - Ministerio de Planificacion del Desarrollo (MPD)"/>
    <s v="Ministerio de Desarrollo Rural y Tierras (MDRyT) - Ministerio de Planificacion del Desarrollo (MPD)"/>
    <s v="Observatorio Agroambiental Productivo -Instituto Nacional de Estadistica"/>
    <s v="2111103-2222333"/>
    <n v="2015"/>
    <n v="16828"/>
    <n v="19352"/>
    <m/>
    <n v="2524"/>
    <n v="5"/>
    <n v="17332.8"/>
    <n v="16966"/>
    <n v="138"/>
    <n v="5.4675118858954042E-2"/>
    <n v="17837.599999999999"/>
    <n v="17221"/>
    <n v="393"/>
    <n v="0.1557052297939778"/>
    <n v="18342.400000000001"/>
    <n v="17248"/>
    <n v="420"/>
    <n v="0.1664025356576862"/>
    <n v="18847.2"/>
    <m/>
    <n v="-16828"/>
    <n v="-6.6671949286846273"/>
    <n v="19352"/>
    <m/>
    <n v="-16828"/>
    <n v="-6.6671949286846273"/>
    <m/>
    <m/>
    <m/>
    <m/>
    <m/>
  </r>
  <r>
    <x v="20"/>
    <s v="PROG. MDRyT"/>
    <x v="1"/>
    <s v="Soberanía productiva con diversificación desarrollo integral sin la dictadura del mercado capitalista"/>
    <s v="0606"/>
    <s v="Sistemas productivos eficientes."/>
    <n v="3"/>
    <s v="6.6.3"/>
    <n v="170"/>
    <s v="6.6.170"/>
    <s v="0606170"/>
    <s v="Se han incrementado el rendimiento promedio de los productos agrícolas más importantes vinculados con la seguridad alimentaria (cereales, estimulantes, hortalizas, frutales, oleaginosas, tubérculos y forrajes, entre otros)."/>
    <s v="Producción "/>
    <s v="Agropecuaria"/>
    <s v="Resultado"/>
    <s v="Económica"/>
    <s v="Agropecuaria"/>
    <m/>
    <m/>
    <s v="RS"/>
    <m/>
    <m/>
    <s v="Agropecuario"/>
    <e v="#DIV/0!"/>
    <n v="0"/>
    <n v="1"/>
    <s v="Etapa 1"/>
    <m/>
    <m/>
    <s v="2.4 De aquí a 2030, asegurar la sostenibilidad de los sistemas de producción de alimentos y aplicar prácticas agrícolas resilientes que aumenten la productividad y la producción, contribuyan al mantenimiento de los ecosistemas, fortalezcan la capacidad de adaptación al cambio climático, los fenómenos meteorológicos extremos, las sequías, las inundaciones y otros desastres, y mejoren progresivamente la calidad de la tierra y el suelo"/>
    <s v="2.3.1  Volumen de producción por unidad de trabajo desglosado por tamaño y tipo de explotación (agropecuaria, ganadera y forestal)_x000a_"/>
    <s v="No aplicable"/>
    <x v="0"/>
    <m/>
    <n v="9"/>
    <s v="06061709"/>
    <x v="233"/>
    <s v="Indicador de Producto-Efecto"/>
    <s v="Eficacia"/>
    <s v="Área geográfica: Departamental"/>
    <s v="kg/ha"/>
    <s v="Este indicador muestra el incremento en los rendimientos por cada hectárea "/>
    <s v="ΔRend = Rend(0) +_x000a_ 1Ʃ(Rend(t) -  Rend(t-1))"/>
    <s v="Rendimiento del rubro en el año base, más la Sumatoria del rendimiento del rubro 1 al rubro n correspondiente al periodo (t), menos el rendimiento del rubro 1 al rubro n correspondiente al periodo (t-1)"/>
    <s v="OAP-INE"/>
    <s v="No aplica"/>
    <s v="OAP-INE"/>
    <s v="1950 - 2017"/>
    <s v="Nacional y Departamental"/>
    <n v="1"/>
    <s v="060617091"/>
    <s v="OAP-INE"/>
    <s v="Observatorio Agroambiental Productivo -Instituto Nacional de Estadistica"/>
    <s v="Encuesta/Registro Administrativo"/>
    <s v="Anual"/>
    <s v="2015 - 2017"/>
    <s v="Nacional y Departamental"/>
    <s v="Nacional "/>
    <s v="Volumen y  area "/>
    <m/>
    <s v="Ministerio de Desarrollo Rural y Tierras (MDRyT) - Ministerio de Planificacion del Desarrollo (MPD)"/>
    <s v="Ministerio de Desarrollo Rural y Tierras (MDRyT) - Ministerio de Planificacion del Desarrollo (MPD)"/>
    <s v="Observatorio Agroambiental Productivo -Instituto Nacional de Estadistica"/>
    <s v="2111103-2222333"/>
    <n v="2015"/>
    <n v="13803"/>
    <n v="16588"/>
    <m/>
    <n v="2785"/>
    <n v="5"/>
    <n v="14360"/>
    <n v="13193"/>
    <n v="-610"/>
    <n v="-0.21903052064631956"/>
    <n v="14917"/>
    <n v="12596"/>
    <n v="-1207"/>
    <n v="-0.4333931777378815"/>
    <n v="15474"/>
    <n v="13787"/>
    <n v="-16"/>
    <n v="-5.745062836624776E-3"/>
    <n v="16031"/>
    <m/>
    <n v="-13803"/>
    <n v="-4.9561938958707357"/>
    <n v="16588"/>
    <m/>
    <n v="-13803"/>
    <n v="-4.9561938958707357"/>
    <m/>
    <m/>
    <m/>
    <m/>
    <m/>
  </r>
  <r>
    <x v="20"/>
    <s v="PROG. MDRyT"/>
    <x v="1"/>
    <s v="Soberanía productiva con diversificación desarrollo integral sin la dictadura del mercado capitalista"/>
    <s v="0606"/>
    <s v="Sistemas productivos eficientes."/>
    <n v="3"/>
    <s v="6.6.3"/>
    <n v="170"/>
    <s v="6.6.170"/>
    <s v="0606170"/>
    <s v="Se han incrementado el rendimiento promedio de los productos agrícolas más importantes vinculados con la seguridad alimentaria (cereales, estimulantes, hortalizas, frutales, oleaginosas, tubérculos y forrajes, entre otros)."/>
    <s v="Producción "/>
    <s v="Agropecuaria"/>
    <s v="Resultado"/>
    <s v="Económica"/>
    <s v="Agropecuaria"/>
    <m/>
    <m/>
    <s v="RS"/>
    <m/>
    <m/>
    <s v="Agropecuario"/>
    <e v="#DIV/0!"/>
    <n v="0"/>
    <n v="1"/>
    <s v="Etapa 1"/>
    <m/>
    <m/>
    <s v="2.4 De aquí a 2030, asegurar la sostenibilidad de los sistemas de producción de alimentos y aplicar prácticas agrícolas resilientes que aumenten la productividad y la producción, contribuyan al mantenimiento de los ecosistemas, fortalezcan la capacidad de adaptación al cambio climático, los fenómenos meteorológicos extremos, las sequías, las inundaciones y otros desastres, y mejoren progresivamente la calidad de la tierra y el suelo"/>
    <s v="2.3.1  Volumen de producción por unidad de trabajo desglosado por tamaño y tipo de explotación (agropecuaria, ganadera y forestal)_x000a_"/>
    <s v="No aplicable"/>
    <x v="0"/>
    <m/>
    <n v="10"/>
    <s v="060617010"/>
    <x v="234"/>
    <s v="Indicador de Producto-Efecto"/>
    <s v="Eficacia"/>
    <s v="Área geográfica: Departamental"/>
    <s v="kg/ha"/>
    <s v="Este indicador muestra el incremento en los rendimientos por cada hectárea "/>
    <s v="ΔRend = Rend(0) +_x000a_ 1Ʃ(Rend(t) -  Rend(t-1))"/>
    <s v="Rendimiento del rubro en el año base, más la Sumatoria del rendimiento del rubro 1 al rubro n correspondiente al periodo (t), menos el rendimiento del rubro 1 al rubro n correspondiente al periodo (t-1)"/>
    <s v="OAP-INE"/>
    <s v="No aplica"/>
    <s v="OAP-INE"/>
    <s v="1950 - 2017"/>
    <s v="Nacional y Departamental"/>
    <n v="1"/>
    <s v="0606170101"/>
    <s v="OAP-INE"/>
    <s v="Observatorio Agroambiental Productivo -Instituto Nacional de Estadistica"/>
    <s v="Encuesta/Registro Administrativo"/>
    <s v="Anual"/>
    <s v="2015 - 2017"/>
    <s v="Nacional y Departamental"/>
    <s v="Nacional "/>
    <s v="Volumen y  area "/>
    <m/>
    <s v="Ministerio de Desarrollo Rural y Tierras (MDRyT) - Ministerio de Planificacion del Desarrollo (MPD)"/>
    <s v="Ministerio de Desarrollo Rural y Tierras (MDRyT) - Ministerio de Planificacion del Desarrollo (MPD)"/>
    <s v="Observatorio Agroambiental Productivo -Instituto Nacional de Estadistica"/>
    <s v="2111103-2222333"/>
    <n v="2015"/>
    <n v="10958"/>
    <n v="13267"/>
    <m/>
    <n v="2309"/>
    <n v="5"/>
    <n v="11419.8"/>
    <n v="10686"/>
    <n v="-272"/>
    <n v="-0.11779991338241663"/>
    <n v="11881.6"/>
    <n v="11318"/>
    <n v="360"/>
    <n v="0.15591165006496319"/>
    <n v="12343.4"/>
    <n v="11590"/>
    <n v="632"/>
    <n v="0.27371156344737979"/>
    <n v="12805.2"/>
    <m/>
    <n v="-10958"/>
    <n v="-4.7457773928107407"/>
    <n v="13267"/>
    <m/>
    <n v="-10958"/>
    <n v="-4.7457773928107407"/>
    <m/>
    <m/>
    <m/>
    <m/>
    <m/>
  </r>
  <r>
    <x v="20"/>
    <s v="PROG. MDRyT"/>
    <x v="1"/>
    <s v="Soberanía productiva con diversificación desarrollo integral sin la dictadura del mercado capitalista"/>
    <s v="0606"/>
    <s v="Sistemas productivos eficientes."/>
    <n v="3"/>
    <s v="6.6.3"/>
    <n v="170"/>
    <s v="6.6.170"/>
    <s v="0606170"/>
    <s v="Se han incrementado el rendimiento promedio de los productos agrícolas más importantes vinculados con la seguridad alimentaria (cereales, estimulantes, hortalizas, frutales, oleaginosas, tubérculos y forrajes, entre otros)."/>
    <s v="Producción "/>
    <s v="Agropecuaria"/>
    <s v="Resultado"/>
    <s v="Económica"/>
    <s v="Agropecuaria"/>
    <m/>
    <m/>
    <s v="RS"/>
    <m/>
    <m/>
    <s v="Agropecuario"/>
    <e v="#DIV/0!"/>
    <n v="0"/>
    <n v="1"/>
    <s v="Etapa 1"/>
    <m/>
    <m/>
    <s v="2.4 De aquí a 2030, asegurar la sostenibilidad de los sistemas de producción de alimentos y aplicar prácticas agrícolas resilientes que aumenten la productividad y la producción, contribuyan al mantenimiento de los ecosistemas, fortalezcan la capacidad de adaptación al cambio climático, los fenómenos meteorológicos extremos, las sequías, las inundaciones y otros desastres, y mejoren progresivamente la calidad de la tierra y el suelo"/>
    <s v="2.3.1  Volumen de producción por unidad de trabajo desglosado por tamaño y tipo de explotación (agropecuaria, ganadera y forestal)_x000a_"/>
    <s v="No aplicable"/>
    <x v="0"/>
    <m/>
    <n v="11"/>
    <s v="060617011"/>
    <x v="235"/>
    <s v="Indicador de Producto-Efecto"/>
    <s v="Eficacia"/>
    <s v="Área geográfica: Departamental"/>
    <s v="kg/ha"/>
    <s v="Este indicador muestra el incremento en los rendimientos por cada hectárea "/>
    <s v="ΔRend = Rend(0) +_x000a_ 1Ʃ(Rend(t) -  Rend(t-1))"/>
    <s v="Rendimiento del rubro en el año base, más la Sumatoria del rendimiento del rubro 1 al rubro n correspondiente al periodo (t), menos el rendimiento del rubro 1 al rubro n correspondiente al periodo (t-1)"/>
    <s v="OAP-INE"/>
    <s v="No aplica"/>
    <s v="No aplica"/>
    <s v="1950 - 2017"/>
    <s v="Nacional y Departamental"/>
    <n v="1"/>
    <s v="0606170111"/>
    <s v="OAP-INE"/>
    <s v="Observatorio Agroambiental Productivo -Instituto Nacional de Estadistica"/>
    <s v="Encuesta/Registro Administrativo"/>
    <s v="Anual"/>
    <s v="2015 - 2017"/>
    <s v="Nacional y Departamental"/>
    <s v="Nacional "/>
    <s v="Volumen y  area "/>
    <m/>
    <s v="Ministerio de Desarrollo Rural y Tierras (MDRyT) - Ministerio de Planificacion del Desarrollo (MPD)"/>
    <s v="Ministerio de Desarrollo Rural y Tierras (MDRyT) - Ministerio de Planificacion del Desarrollo (MPD)"/>
    <s v="Observatorio Agroambiental Productivo -Instituto Nacional de Estadistica"/>
    <s v="2111103-2222333"/>
    <n v="2015"/>
    <n v="1406"/>
    <n v="1706"/>
    <m/>
    <n v="300"/>
    <n v="5"/>
    <n v="1466"/>
    <n v="1405"/>
    <n v="-1"/>
    <n v="-3.3333333333333335E-3"/>
    <n v="1526"/>
    <n v="1435"/>
    <n v="29"/>
    <n v="9.6666666666666665E-2"/>
    <n v="1586"/>
    <n v="1467"/>
    <n v="61"/>
    <n v="0.20333333333333334"/>
    <n v="1646"/>
    <m/>
    <n v="-1406"/>
    <n v="-4.6866666666666665"/>
    <n v="1706"/>
    <m/>
    <n v="-1406"/>
    <n v="-4.6866666666666665"/>
    <m/>
    <m/>
    <m/>
    <m/>
    <m/>
  </r>
  <r>
    <x v="20"/>
    <s v="PROG. MDRyT"/>
    <x v="1"/>
    <s v="Soberanía productiva con diversificación desarrollo integral sin la dictadura del mercado capitalista"/>
    <s v="0607"/>
    <s v="Sistemas universales de acceso a insumos, tecnología, asistencia técnica y otros servicios de apoyo a la producción."/>
    <n v="4"/>
    <s v="6.7.4"/>
    <n v="174"/>
    <s v="6.7.174"/>
    <s v="0607174"/>
    <s v="Se ha alcanzado a 400 mil unidades productivas, incluyendo familias indígena originario campesinas con acceso a programas de insumo, tecnología, servicios de apoyo a la producción y otros (SENASAG, INIAF, etc.)."/>
    <s v="Producción "/>
    <s v="Agropecuaria"/>
    <s v="Resultado"/>
    <s v="Económica"/>
    <s v="Agropecuaria"/>
    <m/>
    <n v="1"/>
    <s v="RS"/>
    <m/>
    <m/>
    <s v="Agropecuario"/>
    <e v="#DIV/0!"/>
    <n v="1"/>
    <n v="0"/>
    <s v="Etapa 1"/>
    <n v="1"/>
    <m/>
    <s v="2.3 De aquí a 2030, duplicar la productividad agrícola y_x000a_los ingresos de los productores de alimentos en pequeña escala, en particular las mujeres, los pueblos indígenas, los agricultores familiares, los ganaderos y los pescadores, entre otras cosas mediante un acceso seguro y equitativo a las_x000a_tierras, a otros recursos e insumos de producción y a los conocimientos, los servicios financieros, los mercados y las oportunidades para añadir valor y obtener empleos no agrícolas"/>
    <s v="No establece indicador para el tema de beneficiarios"/>
    <s v="No aplicable"/>
    <x v="1"/>
    <m/>
    <n v="1"/>
    <s v="06071741"/>
    <x v="236"/>
    <s v="Indicador de Producto-Efecto"/>
    <s v="Eficacia"/>
    <s v="Área geográfica: Departamental"/>
    <s v="Nº"/>
    <s v="Este indicador muestra la cantidad de productores que fueron beneficiados por la intervención de programas y proyectos"/>
    <s v="Benef = Ʃ(Benef1 + Benef2 + … +  BenefN)"/>
    <s v="Suma de beneficiarios del año 1, más el número de beneficiarios del año 2, más el número de beneficiarios del año N"/>
    <s v="Programas y Proyectos del MDRyT"/>
    <s v="No aplica"/>
    <s v="No aplica"/>
    <s v="2016-2017"/>
    <s v="Departamental"/>
    <n v="1"/>
    <s v="060717411"/>
    <s v="MDRyT"/>
    <s v="Ministerio de Desarrollo Rural y Tierras"/>
    <s v="Registro Administrativo"/>
    <s v="Anual"/>
    <s v="2016-2017"/>
    <s v="Departamental"/>
    <s v="Departamental"/>
    <s v="Beneficiarios"/>
    <m/>
    <s v="Ministerio de Desarrollo Rural y Tierras"/>
    <s v="Ministerio de Desarrollo Rural y Tierras"/>
    <s v="Programas y Proyectos del MDRyT"/>
    <s v="2111103 - 2200919"/>
    <n v="2015"/>
    <n v="26315"/>
    <n v="70000"/>
    <m/>
    <n v="43685"/>
    <n v="5"/>
    <n v="35052"/>
    <n v="39002"/>
    <n v="12687"/>
    <n v="0.29042005264965093"/>
    <n v="43789"/>
    <n v="45000"/>
    <n v="18685"/>
    <n v="0.42772118576170309"/>
    <n v="52526"/>
    <m/>
    <n v="-26315"/>
    <n v="-0.60238067986723132"/>
    <n v="61263"/>
    <m/>
    <n v="-26315"/>
    <n v="-0.60238067986723132"/>
    <n v="70000"/>
    <m/>
    <n v="-26315"/>
    <n v="-0.60238067986723132"/>
    <m/>
    <m/>
    <m/>
    <m/>
    <m/>
  </r>
  <r>
    <x v="20"/>
    <s v="PROG. MDRyT"/>
    <x v="1"/>
    <s v="Soberanía productiva con diversificación desarrollo integral sin la dictadura del mercado capitalista"/>
    <s v="0607"/>
    <s v="Sistemas universales de acceso a insumos, tecnología, asistencia técnica y otros servicios de apoyo a la producción."/>
    <n v="5"/>
    <s v="6.7.5"/>
    <n v="175"/>
    <s v="6.7.175"/>
    <s v="0607175"/>
    <s v="Se han desarrollado innovaciones para mejorar la productividad y conservación, e inocuidad alimentaria y potencial nutritivo de alimentos y especies para la vida con tecnología nuclear."/>
    <s v="Producción "/>
    <s v="Agropecuaria"/>
    <s v="Resultado"/>
    <s v="Económica"/>
    <s v="Agropecuaria"/>
    <m/>
    <n v="1"/>
    <s v="PC"/>
    <m/>
    <m/>
    <s v="Agropecuario"/>
    <e v="#DIV/0!"/>
    <n v="0"/>
    <n v="1"/>
    <s v="Etapa 1"/>
    <m/>
    <n v="7"/>
    <s v="2.4 De aquí a 2030, asegurar la sostenibilidad de los_x000a_sistemas de producción de alimentos y aplicar prácticas_x000a_agrícolas resilientes que aumenten la productividad y la producción, contribuyan al mantenimiento de los ecosistemas, fortalezcan la capacidad de adaptación al_x000a_cambio climático, los fenómenos meteorológicos extremos,_x000a_las sequías, las inundaciones y otros desastres, y mejoren_x000a_progresivamente la calidad de la tierra y el suelo"/>
    <s v="No establece indicador para el tema del segturo agrario"/>
    <s v="El indicador ODS no se adecúa al número de beneficiarios con cobertura del seguro agrario"/>
    <x v="1"/>
    <m/>
    <n v="1"/>
    <s v="06071751"/>
    <x v="237"/>
    <s v="Indicador de Producto-Efecto"/>
    <s v="Eficacia"/>
    <s v="Área geográfica: Departamental"/>
    <s v="Porcentaje"/>
    <s v="Este indicador muestra el porcentaje de productores (UPA's) con cobertura de seguro agrario en cada campaña agrícola, con respecto al total de UPA´s individuales"/>
    <s v="                     UPAs(n)                     UPAs(n+1)_x000a_%UPAs =  ------------ x 100  +  ----------------- x 100_x000a_                      UPA´s20                     UPA´s20"/>
    <s v="Porcentaje de Unidades Productivas Agrlopecuarias con cobertura de seguro"/>
    <s v="INSA"/>
    <s v="Total de Unidades Productivas Agropecuarias Individuales"/>
    <s v="INSA - INE"/>
    <s v="2015 - 2017"/>
    <s v="Nacional y Departamental"/>
    <n v="1"/>
    <s v="060717511"/>
    <s v="INSA"/>
    <s v="Instituto del Seguro Agrario"/>
    <s v="Registro Administrativo"/>
    <s v="Anual"/>
    <s v="2015 - 2017"/>
    <s v="Nacional y Departamental"/>
    <s v="Nacional y Departamental"/>
    <s v="Productores con seguro agrario"/>
    <m/>
    <s v="Ministerio de Desarrollo Rural y Tierras (MDRyT)_x000a_"/>
    <s v="Instituto del Seguro Agrario (INSA)"/>
    <s v="Dirección de Estudios, Productos y Riesgos"/>
    <n v="2148288"/>
    <n v="2015"/>
    <n v="21.28"/>
    <n v="50"/>
    <m/>
    <n v="28.72"/>
    <n v="5"/>
    <n v="27.024000000000001"/>
    <n v="19.66"/>
    <n v="-1.620000000000001"/>
    <n v="-5.6406685236768839E-2"/>
    <n v="32.768000000000001"/>
    <n v="24.5"/>
    <n v="3.2199999999999989"/>
    <n v="0.112116991643454"/>
    <n v="38.512"/>
    <m/>
    <n v="-21.28"/>
    <n v="-0.74094707520891367"/>
    <n v="44.256"/>
    <m/>
    <n v="-21.28"/>
    <n v="-0.74094707520891367"/>
    <n v="50"/>
    <m/>
    <n v="-21.28"/>
    <n v="-0.74094707520891367"/>
    <m/>
    <m/>
    <m/>
    <m/>
    <m/>
  </r>
  <r>
    <x v="20"/>
    <s v="INRA"/>
    <x v="1"/>
    <s v="Soberanía productiva con diversificación desarrollo integral sin la dictadura del mercado capitalista"/>
    <s v="0608"/>
    <s v="Saneamiento de la propiedad agraria."/>
    <n v="1"/>
    <s v="6.8.1"/>
    <n v="176"/>
    <s v="6.8.176"/>
    <s v="0608176"/>
    <s v="Se ha concluido con el proceso de saneamiento y titulación de tierras en el país."/>
    <s v="Producción "/>
    <s v="Agropecuaria"/>
    <s v="Resultado"/>
    <s v="Económica"/>
    <s v="Agropecuaria"/>
    <m/>
    <n v="1"/>
    <s v="RS"/>
    <m/>
    <m/>
    <s v="Agropecuario"/>
    <e v="#DIV/0!"/>
    <n v="1"/>
    <n v="0"/>
    <s v="Etapa 1"/>
    <m/>
    <s v="2.3"/>
    <s v="2.3 De aquí a 2030, duplicar la productividad agrícola y los ingresos de los productores de alimentos en pequeña escala, en particular las mujeres, los pueblos indígenas, los agricultores familiares, los ganaderos y los pescadores, entre otras cosas mediante un acceso seguro y equitativo a las tierras, a otros recursos e insumos de producción y a los conocimientos, los servicios financieros, los mercados y las oportunidades para añadir valor y obtener empleos no agrícolas"/>
    <s v="No establece indicador para el tema del saneamiento de tierras o acceso a la misma"/>
    <s v="NO APLICA"/>
    <x v="1"/>
    <m/>
    <n v="1"/>
    <s v="06081761"/>
    <x v="238"/>
    <s v="Proceso"/>
    <s v="Eficacia"/>
    <s v="Área geográfica: Departamental"/>
    <s v="Millones de Hectáreas"/>
    <s v="Hectáreas saneadas y tituladas."/>
    <s v="ΔSantTit =_x000a_ 1Ʃt(SanTit(t) -  SanTit(t-1))"/>
    <s v="Sumatoria del Saneamiento y Titulacuión correspondiente al periodo (t), menos el Saneamiento y Titulación correspondiente al periodo (t-1)"/>
    <s v="INRA"/>
    <s v="No aplica"/>
    <m/>
    <s v="2015 al 2017"/>
    <s v="A nivel departamental"/>
    <n v="1"/>
    <s v="060817611"/>
    <s v="INRA"/>
    <s v="Instituto Nacional de Reforma Agraria (INRA)"/>
    <s v="Registro Administrativo"/>
    <s v="Mensual"/>
    <s v="2015 al 2017"/>
    <s v="Departamental"/>
    <s v="Nacional y Departamental"/>
    <s v="Superficie saneada y titulada"/>
    <m/>
    <s v="Ministerio de Desarrollo Rural y Tierras (MDRyT)"/>
    <s v="Instituto Nacional de Reforma Agraria (INRA)"/>
    <s v="Dirección General de Planificación"/>
    <s v="Ministerio de Desarrollo Rural y Tierras (MDRyT)_x000a__x000a_Instituto Nacional de Reforma Agraria (INRA)"/>
    <n v="2015"/>
    <n v="76.64"/>
    <n v="99.539999999999992"/>
    <m/>
    <n v="22.899999999999991"/>
    <n v="5"/>
    <n v="81.22"/>
    <n v="81.650000000000006"/>
    <n v="5.0100000000000051"/>
    <n v="0.21877729257641951"/>
    <n v="85.8"/>
    <n v="85.45"/>
    <n v="8.8100000000000023"/>
    <n v="0.38471615720524044"/>
    <n v="90.38"/>
    <m/>
    <n v="-76.64"/>
    <n v="-3.3467248908296954"/>
    <n v="94.96"/>
    <m/>
    <n v="-76.64"/>
    <n v="-3.3467248908296954"/>
    <n v="99.539999999999992"/>
    <m/>
    <n v="-76.64"/>
    <n v="-3.3467248908296954"/>
    <m/>
    <m/>
    <m/>
    <m/>
    <m/>
  </r>
  <r>
    <x v="20"/>
    <s v="INRA"/>
    <x v="1"/>
    <s v="Soberanía productiva con diversificación desarrollo integral sin la dictadura del mercado capitalista"/>
    <s v="0608"/>
    <s v="Saneamiento de la propiedad agraria."/>
    <n v="1"/>
    <s v="6.8.1"/>
    <n v="176"/>
    <s v="6.8.176"/>
    <s v="0608176"/>
    <s v="Se ha concluido con el proceso de saneamiento y titulación de tierras en el país."/>
    <s v="Producción "/>
    <s v="Agropecuaria"/>
    <s v="Resultado"/>
    <s v="Económica"/>
    <s v="Agropecuaria"/>
    <m/>
    <n v="1"/>
    <s v="RS"/>
    <m/>
    <m/>
    <s v="Agropecuario"/>
    <e v="#DIV/0!"/>
    <n v="1"/>
    <n v="0"/>
    <s v="Etapa 1"/>
    <m/>
    <s v="2.3"/>
    <s v="2.3 De aquí a 2030, duplicar la productividad agrícola y los ingresos de los productores de alimentos en pequeña escala, en particular las mujeres, los pueblos indígenas, los agricultores familiares, los ganaderos y los pescadores, entre otras cosas mediante un acceso seguro y equitativo a las tierras, a otros recursos e insumos de producción y a los conocimientos, los servicios financieros, los mercados y las oportunidades para añadir valor y obtener empleos no agrícolas"/>
    <s v="No establece indicador para el tema de participación de las mujeres en el saneamiento de tierras o acceso a la misma"/>
    <s v="NO APLICA"/>
    <x v="1"/>
    <m/>
    <n v="2"/>
    <s v="06081762"/>
    <x v="239"/>
    <s v="Proceso"/>
    <s v="Eficacia"/>
    <s v="Área geográfica: Departamental"/>
    <s v="%"/>
    <s v="Mide la participación de las mujeres en el acceso a la tierra"/>
    <m/>
    <s v="Número de mujeres en el año n"/>
    <m/>
    <s v="Número total de hombres, mujeres y jurídico, en el año n"/>
    <s v="INRA"/>
    <s v="2015 al 2017"/>
    <s v="A nivel departamental"/>
    <m/>
    <m/>
    <s v="INRA"/>
    <s v="Instituto Nacional de Reforma Agraria (INRA)"/>
    <s v="Registro Administrativo"/>
    <s v="Mensual"/>
    <s v="2015 al 2017"/>
    <s v="Departamental"/>
    <s v="Nacional y Departamental"/>
    <s v="% de participación de la mujer en el acceso a la tierra"/>
    <m/>
    <s v="Ministerio de Desarrollo Rural y Tierras (MDRyT)"/>
    <s v="Instituto Nacional de Reforma Agraria (INRA)"/>
    <s v="Dirección General de Planificación"/>
    <s v="Ministerio de Desarrollo Rural y Tierras (MDRyT)_x000a__x000a_Instituto Nacional de Reforma Agraria (INRA)"/>
    <n v="2015"/>
    <n v="0.45"/>
    <n v="0.5"/>
    <m/>
    <n v="4.9999999999999989E-2"/>
    <n v="5"/>
    <n v="0.46"/>
    <n v="0.46"/>
    <n v="1.0000000000000009E-2"/>
    <n v="0.20000000000000023"/>
    <n v="0.47000000000000003"/>
    <n v="0.47"/>
    <n v="1.9999999999999962E-2"/>
    <n v="0.39999999999999936"/>
    <n v="0.48"/>
    <m/>
    <n v="-0.45"/>
    <n v="-9.0000000000000018"/>
    <n v="0.49"/>
    <m/>
    <n v="-0.45"/>
    <n v="-9.0000000000000018"/>
    <n v="0.5"/>
    <m/>
    <n v="-0.45"/>
    <n v="-9.0000000000000018"/>
    <m/>
    <m/>
    <m/>
    <m/>
    <m/>
  </r>
  <r>
    <x v="20"/>
    <s v="INRA"/>
    <x v="1"/>
    <s v="Soberanía productiva con diversificación desarrollo integral sin la dictadura del mercado capitalista"/>
    <s v="0608"/>
    <s v="Saneamiento de la propiedad agraria."/>
    <n v="2"/>
    <s v="6.8.2"/>
    <n v="177"/>
    <s v="6.8.177"/>
    <s v="0608177"/>
    <s v="Se ha incrementado la superficie consolidada con asentamientos humanos."/>
    <s v="Producción "/>
    <s v="Agropecuaria"/>
    <s v="Resultado"/>
    <s v="Económica"/>
    <s v="Agropecuaria"/>
    <m/>
    <m/>
    <s v="RS"/>
    <m/>
    <m/>
    <s v="Agropecuario"/>
    <e v="#DIV/0!"/>
    <n v="1"/>
    <n v="0"/>
    <s v="Etapa 1"/>
    <m/>
    <n v="11"/>
    <s v="2.3 De aquí a 2030, duplicar la productividad agrícola y los ingresos de los productores de alimentos en pequeña escala, en particular las mujeres, los pueblos indígenas, los agricultores familiares, los ganaderos y los pescadores, entre otras cosas mediante un acceso seguro y equitativo a las tierras, a otros recursos e insumos de producción y a los conocimientos, los servicios financieros, los mercados y las oportunidades para añadir valor y obtener empleos no agrícolas"/>
    <s v="No establece indicador para el tema de asentamientos humanos"/>
    <s v="NO APLICA"/>
    <x v="1"/>
    <m/>
    <n v="1"/>
    <s v="06081771"/>
    <x v="240"/>
    <s v="Proceso"/>
    <s v="Eficacia"/>
    <s v="Área geográfica: Departamental"/>
    <s v="Hectáreas"/>
    <s v="Mide la superficie distribuida y redistribuida"/>
    <s v="SupDistrb = Ʃ(SupDistrbn)"/>
    <s v="Sumatoria de la Superficie distribuida y redistribuida por año"/>
    <s v="INRA"/>
    <s v="No aplica"/>
    <s v="INRA"/>
    <s v="2015 al 2017"/>
    <s v="A nivel departamental"/>
    <n v="1"/>
    <s v="060817711"/>
    <s v="INRA_x000a_VT"/>
    <s v="INRA"/>
    <s v="Instituto Nacional de Reforma Agraria (INRA)"/>
    <s v="Registro administrativo"/>
    <s v="Mensual"/>
    <s v="2015 al 2017"/>
    <s v="Departamental"/>
    <s v="Superficie distribuida y redistribuida"/>
    <m/>
    <s v="Ministerio de Desarrollo Rural y Tierras (MDRyT)"/>
    <s v="Instituto Nacional de Reforma Agraria (INRA)"/>
    <s v="Dirección General de Planificación"/>
    <s v="Ministerio de Desarrollo Rural y Tierras (MDRyT)_x000a__x000a_Instituto Nacional de Reforma Agraria (INRA)"/>
    <n v="2015"/>
    <n v="2575066"/>
    <n v="3185066"/>
    <m/>
    <n v="610000"/>
    <n v="5"/>
    <n v="2697066"/>
    <n v="2905828"/>
    <n v="330762"/>
    <n v="0.5422327868852459"/>
    <n v="2819066"/>
    <n v="3205985"/>
    <n v="630919"/>
    <n v="1.0342934426229509"/>
    <n v="2941066"/>
    <m/>
    <n v="-2575066"/>
    <n v="-4.2214196721311472"/>
    <n v="3063066"/>
    <m/>
    <n v="-2575066"/>
    <n v="-4.2214196721311472"/>
    <n v="3185066"/>
    <m/>
    <n v="-2575066"/>
    <n v="-4.2214196721311472"/>
    <m/>
    <m/>
    <m/>
    <m/>
    <m/>
  </r>
  <r>
    <x v="21"/>
    <m/>
    <x v="1"/>
    <s v="Soberanía productiva con diversificación desarrollo integral sin la dictadura del mercado capitalista"/>
    <s v="0605"/>
    <s v="Los bosques escenarios integrales de producción y transformación de alimentos y recursos de la biodiversidad."/>
    <n v="3"/>
    <s v="6.5.3"/>
    <n v="166"/>
    <s v="6.5.166"/>
    <s v="0605166"/>
    <s v="Se ha logrado manejo integral y sustentable de los componentes del bosque en 13 MM de Ha., que garantizan la conservación y protección del bosque, la producción de alimentos, aportan a la economía familiar y reducen su vulnerabilidad a fenómenos adversos del cambio climático."/>
    <s v="Producción "/>
    <s v="Forestal"/>
    <s v="Resultado"/>
    <s v="Económica"/>
    <s v="Forestal"/>
    <m/>
    <m/>
    <s v="RS"/>
    <m/>
    <m/>
    <s v="MMAyA"/>
    <e v="#REF!"/>
    <n v="1"/>
    <n v="0"/>
    <s v="Etapa 1"/>
    <n v="1"/>
    <n v="15"/>
    <s v="15.1 De aquí a 2020, asegurar la conservación, el restablecimiento y el uso sostenible de los ecosistemas terrestres y los ecosistemas interiores de agua dulce y sus servicios, en particular los bosques, los humedales, las montañas y las zonas áridas, en consonancia con las obligaciones contraídas en virtud de acuerdos internacionales"/>
    <s v="15.1.1* Superficie forestal como porcentaje de la superficie total"/>
    <s v="Además de contemplar la superficie boscosa, también, incluye la superficie boscosa con manejo integral."/>
    <x v="0"/>
    <m/>
    <n v="1"/>
    <s v="06051661"/>
    <x v="241"/>
    <s v="Impacto"/>
    <m/>
    <s v="Área Geográfica: Nacional"/>
    <s v="Millones de hectáreas"/>
    <s v="Se refiere a la cantidad de hectáreas que están bajo manejo integral y sustentable de bosques, en todo el territorio nacional boliviano. Superficie medida en hectáreas._x000a__x000a_Cantidad de hectáreas de bosques en Usuarios del bosque (Territorios Indígena Originario Campesino, comunidades indígenas originarias, campesinas, interculturales, afrobolivianos y privados, en áreas en reservas forestales y cantidad de hectáreas en áreas protegidas, todas bajo manejo integral y sustentable de bosques._x000a__x000a_Se considera área bajo manejo integral y sustentable de bosques a todas aquellas áreas que tengan las siguientes características generales:_x000a_1) Áreas de manejo:_x000a_a. Área de preservación_x000a_b. Área de conservación_x000a_c. Área de otros usos_x000a_2) Sistema de manejo:_x000a_a. Ciclo de corta_x000a_b. Especies destinadas para la producción y preservación forestal_x000a_c. Corta anual permisible_x000a_d. Diagnóstico de la fauna_x000a_3) Sistema de monitoreo y evaluación del plan de manejo integral de bosques_x000a_4) Detalle de las actividades de pre-aprovechamiento, aprovechamiento y post-aprovechamiento_x000a_5) Detalle de los aspectos socioeconómicos_x000a_a. Detalle de aprovechamiento de los recursos maderables del bosque_x000a_b. Plan Económico con la proyección de flujo de cajas e inversiones."/>
    <s v="hMISB = Ʃ ( A1 UB + A2 RF + A3  AP )_x000a__x000a_Donde:_x000a_hMISB = Número de hectáreas de bosques bajo manejo integral y sustentable de bosques en todo el país_x000a_Ʃ = Sumatoria de áreas de bosques priorizadas_x000a_A1UB = Área en Usuarios del bosque (Territorios Indígena Originario Campesino, comunidades indígenas originarias, campesinas, interculturales, afrobolivianos y privados)_x000a_A2 RF = Área en reservas forestales_x000a_A3 AP = Área en áreas protegidas_x000a_"/>
    <s v="Superficie  bajo manejo integral y sustentable de bosques"/>
    <s v="Autoridad de Fiscalización y Control Social de Bosques y Tierra (ABT)"/>
    <s v="No aplica"/>
    <s v="No Aplica"/>
    <s v="2012-2020"/>
    <s v="El análisis y la sistematización requiere mayor tiempo"/>
    <n v="1"/>
    <s v="060516611"/>
    <s v="ABT "/>
    <s v="Autoridad de Fiscalización y Control Social de Bosques y Tierra -Unidad de Monitoreo de Información Geográfica"/>
    <s v="Registro administrativo"/>
    <s v="Anual"/>
    <s v="2012 - 2017"/>
    <s v="Nacional"/>
    <s v="Nacional"/>
    <s v="A1UB = Área en Usuarios del bosque (Territorios Indígena Originario Campesino, comunidades indígenas originarias, campesinas, interculturales, afrobolivianos y privados)_x000a_A2 RF = Área en reservas forestales_x000a_A3 AP = Área en áreas protegidas_x000a_"/>
    <m/>
    <s v="Ministerio de Medio Ambiente y Agua (MMAyA)"/>
    <s v="Viceministerio de Medio Ambiente Biodiversidad Cambios Climáticos y de Gestión y Desarrollo Forestal (VMABCCGDF)"/>
    <s v="Dirección General de Gestión y Desarrollo Forestal (DGGDF)_x000a_Autoridad de Fiscalización y Control Social de Bosques y Tierra (ABT)_x000a_Servicio Nacional de Áreas Protegidas (SERNAP)_x000a_Dirección General de Biodiversidad y Áreas Protegidas (DGBAP)_x000a_"/>
    <s v="DGGDF - 2146371 _x000a_ABT- 3488330"/>
    <n v="2015"/>
    <n v="9.8000000000000007"/>
    <n v="13"/>
    <n v="16.899999999999999"/>
    <n v="3.1999999999999993"/>
    <n v="5"/>
    <n v="10.440000000000001"/>
    <n v="10.07"/>
    <n v="0.26999999999999957"/>
    <n v="8.4374999999999881E-2"/>
    <n v="11.08"/>
    <n v="10.26"/>
    <n v="0.45999999999999908"/>
    <n v="0.14374999999999974"/>
    <n v="11.72"/>
    <m/>
    <n v="-9.8000000000000007"/>
    <n v="-3.0625000000000009"/>
    <n v="12.36"/>
    <m/>
    <n v="-9.8000000000000007"/>
    <n v="-3.0625000000000009"/>
    <n v="13"/>
    <m/>
    <n v="-9.8000000000000007"/>
    <n v="-3.0625000000000009"/>
    <m/>
    <m/>
    <m/>
    <m/>
    <m/>
  </r>
  <r>
    <x v="21"/>
    <m/>
    <x v="1"/>
    <s v="Soberanía productiva con diversificación desarrollo integral sin la dictadura del mercado capitalista"/>
    <s v="0605"/>
    <s v="Los bosques escenarios integrales de producción y transformación de alimentos y recursos de la biodiversidad."/>
    <n v="3"/>
    <s v="6.5.3"/>
    <n v="166"/>
    <s v="6.5.166"/>
    <s v="0605166"/>
    <s v="Se ha logrado manejo integral y sustentable de los componentes del bosque en 13 MM de Ha., que garantizan la conservación y protección del bosque, la producción de alimentos, aportan a la economía familiar y reducen su vulnerabilidad a fenómenos adversos del cambio climático."/>
    <s v="Producción "/>
    <s v="Forestal"/>
    <s v="Resultado"/>
    <s v="Económica"/>
    <s v="Forestal"/>
    <m/>
    <m/>
    <s v="RS"/>
    <m/>
    <m/>
    <s v="MMAyA"/>
    <e v="#REF!"/>
    <n v="1"/>
    <n v="0"/>
    <s v="Etapa 1"/>
    <n v="1"/>
    <n v="15"/>
    <s v="15.1 De aquí a 2020, asegurar la conservación, el restablecimiento y el uso sostenible de los ecosistemas terrestres y los ecosistemas interiores de agua dulce y sus servicios, en particular los bosques, los humedales, las montañas y las zonas áridas, en consonancia con las obligaciones contraídas en virtud de acuerdos internacionales"/>
    <s v="15.1.1* Superficie forestal como porcentaje de la superficie total"/>
    <m/>
    <x v="2"/>
    <m/>
    <n v="2"/>
    <s v="06051662"/>
    <x v="242"/>
    <s v="Impacto"/>
    <m/>
    <s v="Área Geográfica: Nacional"/>
    <s v="Porcentaje"/>
    <s v="Este indicador mide la proporción de la superficie forestal nacional  y su expresión como porcentaje. Cambios en la superficie forestal reflejan cambios en la demanda de superficies para otros usos y puede ayudar en la identificación de prácticas insostenibles en el bosque y sectores de la agricultura."/>
    <s v=" SF = Superficie forestal (año de referencia)/superficie total del territorio nacional) *100"/>
    <s v="Superficie forestal"/>
    <s v="Ministerio de Medio Ambiente y Aguas - MMAyA y Sistema de información y Monitoreo de Bosques  (SIMB)"/>
    <s v="Superficie total del territorio nacional"/>
    <s v="Ministerio de Medio Ambiente y Aguas - MMAyA y Sistema de información y Monitoreo de Bosques  (SIMB)"/>
    <s v="2013-2017"/>
    <m/>
    <n v="1"/>
    <s v="060516621"/>
    <s v="MMAyA - SIMB"/>
    <s v="Ministerio de Medio Ambiente y Aguas - MMAyA y Sistema de información y Monitoreo de Bosques  (SIMB)"/>
    <s v="Registro administrativo"/>
    <s v="Anual"/>
    <s v="2013-2017"/>
    <s v="Nacional"/>
    <s v="Nacional"/>
    <s v="Superficie forestal (año de referencia)_x000a__x000a_Superficie total del territorio nacional"/>
    <m/>
    <s v="Ministerio de Medio Ambiente y Agua (MMAyA)"/>
    <s v="Viceministerio de Medio Ambiente Biodiversidad Cambios Climáticos y de Gestión y Desarrollo Forestal (VMABCCGDF)"/>
    <s v="Dirección General de Gestión y Desarrollo Forestal (DGGDF"/>
    <s v="DGGDF - 2146371"/>
    <n v="2013"/>
    <n v="0.48"/>
    <n v="0.48049999999999998"/>
    <n v="0.49"/>
    <n v="5.0000000000000044E-4"/>
    <n v="5"/>
    <n v="0.48009999999999997"/>
    <n v="0.47189999999999999"/>
    <n v="-8.0999999999999961E-3"/>
    <n v="-16.199999999999978"/>
    <n v="0.48019999999999996"/>
    <n v="0.46970000000000001"/>
    <n v="-1.0299999999999976E-2"/>
    <n v="-20.599999999999934"/>
    <n v="0.4803"/>
    <m/>
    <n v="-0.48"/>
    <n v="-959.99999999999909"/>
    <n v="0.48039999999999999"/>
    <m/>
    <n v="-0.48"/>
    <n v="-959.99999999999909"/>
    <n v="0.48049999999999998"/>
    <m/>
    <n v="-0.48"/>
    <n v="-959.99999999999909"/>
    <m/>
    <m/>
    <m/>
    <m/>
    <m/>
  </r>
  <r>
    <x v="22"/>
    <s v="INIAF"/>
    <x v="10"/>
    <s v="Soberanía alimentaria "/>
    <s v="0803"/>
    <s v="Soberanía a través de la producción local de alimentos."/>
    <n v="4"/>
    <s v="8.3.4"/>
    <n v="234"/>
    <s v="8.3.234"/>
    <s v="0803234"/>
    <s v="Se  ha  diversificado  la  producción  en  el  país  manteniéndose  la  variedad  de  semillas  nativas  y locales y la producción ecológica y orgánica. "/>
    <s v="Alimentación y Nutrición"/>
    <s v="Agropecuaria"/>
    <s v="Resultado"/>
    <s v="Económica"/>
    <s v="Agropecuaria"/>
    <m/>
    <m/>
    <s v="RS"/>
    <m/>
    <m/>
    <s v="Agropecuario"/>
    <e v="#DIV/0!"/>
    <n v="1"/>
    <n v="0"/>
    <s v="Etapa 1"/>
    <n v="1"/>
    <m/>
    <s v="2.5 De aquí a 2020, mantener la diversidad genética de las semillas, las plantas cultivadas y los animales de granja y domesticados y sus correspondientes especies silvestres, entre otras cosas mediante una buena gestión y diversificación de los bancos de semillas y plantas a nivel nacional, regional e internacional, y promover el acceso a los beneficios que se deriven de la utilización de los recursos genéticos y los conocimientos tradicionales conexos y su distribución justa y equitativa, según lo convenido internacionalmente"/>
    <s v="2.5.1 Número de recursos genéticos vegetales y animales para la alimentación y la agricultura preservados en instalaciones de conservación a mediano y largo plazo"/>
    <s v="Proxy: las accesiones  contribuyen al incremento de la productividad"/>
    <x v="0"/>
    <m/>
    <n v="1"/>
    <s v="08032341"/>
    <x v="243"/>
    <s v="Producto"/>
    <s v="Eficacia"/>
    <s v="Área geográfica: Departamental"/>
    <s v="Número de Accesiones"/>
    <s v="Número de accesiones (muestras geneticas vegetales) caracterizadas fenotipicamente, que se encuentran resguardadas por el INIAF, este número incluye a la línea base."/>
    <s v="NoAccesiones = Ʃ(AccesionesN1 + AccesionesN2 + … +  AccesionesN)"/>
    <s v="Nro Accesiones"/>
    <s v="Instituto Nacional de Innovación Agropecuaria y Forestal (INIAF)"/>
    <m/>
    <m/>
    <s v="2012-2017"/>
    <m/>
    <n v="1"/>
    <s v="080323411"/>
    <s v="INIAF"/>
    <s v="Instituto Nacional de Innovación Agropecuaria y Forestal (INIAF)"/>
    <s v="Registro Administrativo"/>
    <s v="Trimestral"/>
    <s v="2012-2017"/>
    <s v="Nacional"/>
    <s v="Nacional"/>
    <s v="Numero de accesiones"/>
    <m/>
    <s v="Ministerio de Desarrollo Rural y Tierras"/>
    <s v="Instituto Nacional de Innovación Agropecuaria y Forestal"/>
    <s v="(UPCG) Unidad de Planificación y Control de Gestión"/>
    <s v="2-2441608"/>
    <d v="2015-12-01T00:00:00"/>
    <n v="11162"/>
    <n v="21433"/>
    <m/>
    <n v="10271"/>
    <n v="5"/>
    <n v="13216.2"/>
    <n v="13149"/>
    <n v="1987"/>
    <n v="0.19345730698081978"/>
    <n v="15270.4"/>
    <n v="14928"/>
    <n v="3766"/>
    <n v="0.3666634212832246"/>
    <n v="17324.599999999999"/>
    <m/>
    <n v="-11162"/>
    <n v="-1.0867490994060949"/>
    <n v="19378.8"/>
    <m/>
    <n v="-11162"/>
    <n v="-1.0867490994060949"/>
    <n v="21433"/>
    <m/>
    <n v="-11162"/>
    <n v="-1.0867490994060949"/>
    <m/>
    <m/>
    <m/>
    <m/>
    <m/>
  </r>
  <r>
    <x v="22"/>
    <m/>
    <x v="10"/>
    <s v="Soberanía alimentaria "/>
    <s v="0803"/>
    <s v="Soberanía a través de la producción local de alimentos."/>
    <n v="4"/>
    <s v="8.3.4"/>
    <n v="234"/>
    <s v="8.3.234"/>
    <s v="0803234"/>
    <s v="Se  ha  diversificado  la  producción  en  el  país  manteniéndose  la  variedad  de  semillas  nativas  y locales y la producción ecológica y orgánica. "/>
    <s v="Alimentación y Nutrición"/>
    <s v="Agropecuaria"/>
    <s v="Resultado"/>
    <s v="Económica"/>
    <s v="Agropecuaria"/>
    <m/>
    <m/>
    <s v="RS"/>
    <m/>
    <m/>
    <s v="Agropecuario"/>
    <e v="#DIV/0!"/>
    <n v="1"/>
    <n v="0"/>
    <s v="Etapa 1"/>
    <n v="1"/>
    <m/>
    <s v="2.5 De aquí a 2020, mantener la diversidad genética de las semillas, las plantas cultivadas y los animales de granja y domesticados y sus correspondientes especies silvestres, entre otras cosas mediante una buena gestión y diversificación de los bancos de semillas y plantas a nivel nacional, regional e internacional, y promover el acceso a los beneficios que se deriven de la utilización de los recursos genéticos y los conocimientos tradicionales conexos y su distribución justa y equitativa, según lo convenido internacionalmente"/>
    <s v="2.5.1 Número de recursos genéticos vegetales y animales para la alimentación y la agricultura preservados en instalaciones de conservación a mediano y largo plazo"/>
    <s v="Proxy: las accesiones  contribuyen al incremento de la productividad"/>
    <x v="0"/>
    <m/>
    <n v="1"/>
    <s v="08032341"/>
    <x v="244"/>
    <s v="Producto"/>
    <s v="Eficacia"/>
    <s v="Área geográfica: Departamental"/>
    <s v="Número de Accesiones"/>
    <s v="Número de accesiones (muestras genéticas vegetales) caracterizadas fenotípicamente, que se encuentran resguardadas por el INIAF, este número incluye a la línea base."/>
    <s v="NoAccesiones = Ʃ(AccesionesN1 + AccesionesN2 + … +  AccesionesN)"/>
    <s v="Nro Accesiones"/>
    <s v="Instituto Nacional de Innovación Agropecuaria y Forestal (INIAF)"/>
    <m/>
    <m/>
    <s v="2012-2017"/>
    <m/>
    <n v="1"/>
    <s v="080323411"/>
    <s v="INIAF"/>
    <s v="Instituto Nacional de Innovación Agropecuaria y Forestal (INIAF)"/>
    <s v="Registro Administrativo"/>
    <s v="Trimestral"/>
    <s v="2012-2017"/>
    <s v="Nacional"/>
    <s v="Nacional"/>
    <s v="Numero de accesiones"/>
    <m/>
    <s v="Ministerio de Desarrollo Rural y Tierras"/>
    <s v="Instituto Nacional de Innovación Agropecuaria y Forestal"/>
    <s v="(UPCG) Unidad de Planificación y Control de Gestión"/>
    <s v="2-2441608"/>
    <d v="2015-12-01T00:00:00"/>
    <n v="11161"/>
    <n v="21433"/>
    <m/>
    <n v="10272"/>
    <n v="5"/>
    <n v="13215.4"/>
    <n v="13149"/>
    <n v="1988"/>
    <n v="0.19353582554517135"/>
    <n v="15269.8"/>
    <n v="14928"/>
    <n v="3767"/>
    <n v="0.36672507788161995"/>
    <n v="17324.2"/>
    <m/>
    <n v="-11161"/>
    <n v="-1.0865459501557633"/>
    <n v="19378.599999999999"/>
    <m/>
    <n v="-11161"/>
    <n v="-1.0865459501557633"/>
    <n v="21433"/>
    <m/>
    <n v="-11161"/>
    <n v="-1.0865459501557633"/>
    <m/>
    <m/>
    <m/>
    <m/>
    <m/>
  </r>
  <r>
    <x v="22"/>
    <m/>
    <x v="10"/>
    <s v="Soberanía alimentaria "/>
    <s v="0803"/>
    <s v="Soberanía a través de la producción local de alimentos."/>
    <n v="5"/>
    <s v="8.3.5"/>
    <n v="235"/>
    <s v="8.3.235"/>
    <s v="0803235"/>
    <s v="Se  ha  incrementado  la  capacidad  de  almacenamiento  del  Estado  en  productos estratégicos para la soberanía alimentaria. "/>
    <s v="Alimentación y Nutrición"/>
    <s v="Agropecuaria"/>
    <s v="Resultado"/>
    <s v="Económica"/>
    <s v="Agropecuaria"/>
    <m/>
    <n v="1"/>
    <s v="RS"/>
    <m/>
    <m/>
    <s v="MDPyEP"/>
    <e v="#DIV/0!"/>
    <n v="1"/>
    <n v="0"/>
    <s v="Etapa 1"/>
    <n v="1"/>
    <m/>
    <s v="Objetivo 2: Poner fin al hambre, lograr la seguridad alimentaria y la mejora de la nutrición y promover _x000a_la agricultura sostenible_x000a_Meta 2a.: _x000a_Aumentar, incluso mediante una mayor _x000a_cooperación internacional, las inversiones en _x000a_infraestructura rural, investigación y servicios de _x000a_extensión agrícola, desarrollo tecnológico y bancos de _x000a_genes de plantas y ganado a fin de mejorar la capacidad _x000a_de producción agropecuaria en los países en des arrollo, _x000a_particularmente en los países menos adelantados"/>
    <s v="2.a.1: Índice de orientación agrícola para los gastos públicos"/>
    <s v="Reserva estratégica nacional de granos, mediante el almacenamiento en Silos. También se realiza capacitación a los Productores en el área agrícola "/>
    <x v="0"/>
    <m/>
    <n v="1"/>
    <s v="08032351"/>
    <x v="245"/>
    <s v="Insumo"/>
    <m/>
    <s v="Nacional/Departamento/Municipio"/>
    <s v="Toneladas  (tn)"/>
    <s v="Indicador de nivel que mide el incremento de la capacidad de almacenamiento en toneladas  de granos estratégicos en la infraestructura  de la Empresa de Apoyo a la Producción de Alimentos (EMAPA) "/>
    <m/>
    <m/>
    <s v="EMAPA"/>
    <s v="No aplica"/>
    <s v="No aplica"/>
    <s v="2009-2017"/>
    <s v="La capacidad de almacenamiento por centro, considera la implementación de nuevos centros como la ampliación de centros existentes (i.e. Cuatro Cañadas y San Pedro)"/>
    <n v="1"/>
    <s v="080323511"/>
    <s v="MDPyEP"/>
    <s v="Ministerio de Desarrollo Productivo y Economía Plural"/>
    <s v="Registro administrativo"/>
    <s v="Anual"/>
    <s v="2015-2017"/>
    <s v="Nacional"/>
    <s v="Municipio"/>
    <s v="Capacidad instalada de centros de almacenamiento"/>
    <m/>
    <s v="Ministerio de Desarrollo Productivo y Economía Plural - MDPyEP"/>
    <s v="Empresa de Apoyo a la Producción de Alimentos - EMAPA"/>
    <s v="Unidad de Planificación y Proyectos UPP - Empresa de Apoyo a la Producción de Alimentos EMAPA"/>
    <s v="EMAPA. Calacoto. Calle 9 No.7835, Tel. 2115500 - 2112728"/>
    <d v="1905-07-07T00:00:00"/>
    <n v="100000"/>
    <n v="423066"/>
    <m/>
    <n v="323066"/>
    <n v="5"/>
    <n v="164613.20000000001"/>
    <n v="100000"/>
    <n v="0"/>
    <n v="0"/>
    <n v="229226.4"/>
    <n v="172000"/>
    <n v="72000"/>
    <n v="0.22286467780577343"/>
    <n v="293839.59999999998"/>
    <n v="240000"/>
    <n v="140000"/>
    <n v="0.43334798462233726"/>
    <n v="358452.8"/>
    <m/>
    <n v="-100000"/>
    <n v="-0.30953427473024087"/>
    <n v="423066"/>
    <m/>
    <n v="-100000"/>
    <n v="-0.30953427473024087"/>
    <s v="Anual"/>
    <s v="Entregado"/>
    <m/>
    <s v="Aprobado"/>
    <s v="Aprobado"/>
  </r>
  <r>
    <x v="22"/>
    <m/>
    <x v="10"/>
    <s v="Soberanía alimentaria "/>
    <s v="0805"/>
    <s v="Bolivia ha puesto en marcha programas intersectoriales en el marco de la Política de Alimentación y Nutrición"/>
    <n v="1"/>
    <s v="8.5.1"/>
    <n v="240"/>
    <s v="8.5.240"/>
    <s v="0805240"/>
    <s v="Se  ha  implementado  la  Política  de  Alimentación  y Nutrición en el marco del CONAN. "/>
    <s v="Alimentación y Nutrición"/>
    <s v="Nutrición"/>
    <s v="Proceso"/>
    <s v="Social"/>
    <s v="Nutrición"/>
    <m/>
    <m/>
    <s v="PC"/>
    <n v="1"/>
    <m/>
    <s v="M. Educación,M.  Salud, MDPyEP, MDRyT"/>
    <n v="25"/>
    <n v="1"/>
    <n v="0"/>
    <s v="Etapa 1"/>
    <m/>
    <n v="2"/>
    <s v="2 Poner fin al hambre, lograr la seguridad alimentaria y la mejora de la nutrición y promover la agricultura"/>
    <s v="2.1. De aquí a 2030, poner fin al hambre y asegurar el acceso de todas las personas, en particular los pobres y las personas en situaciones de vulnerabilidad, incluidos los niños menores de 1 año, a una alimentación sana, nutritiva y suficiente durante todo el año"/>
    <m/>
    <x v="1"/>
    <m/>
    <n v="1"/>
    <s v="08052401"/>
    <x v="246"/>
    <s v="Proceso"/>
    <s v="Eficiencia"/>
    <s v="Nacional_x000a_Tipo de instrumento"/>
    <s v="Número"/>
    <s v="Documentos de la Política de Alimentación y Nutrición elaborados y aprobados_x000a_"/>
    <s v="Número de instrumentos de PAN elaborados y aprobados = Sumatoria de INSTRUMENTOS DE PAN elaborados y aprobados"/>
    <s v="Número de instrumentos del PAN elaborados y aprobados"/>
    <s v="Unidad Coordinadora_x000a_Comité Técnico del Consejo de Alimentación y Nutrición"/>
    <s v="No Aplica"/>
    <s v="No Aplica"/>
    <s v="2014 - 2017"/>
    <s v="Se tomará en cuenta todos los documentos normativos, legales, técnicos que conforman la Política de Alimentación y Nutrición. "/>
    <n v="1"/>
    <s v="080524011"/>
    <s v="UC CTCONAN"/>
    <s v="Unidad Coordinadora Comité técnico Consejo Nacional de Alimentación y Nutrición"/>
    <s v="Registro Administrativo"/>
    <s v="Anual"/>
    <s v="2014 - 2017"/>
    <s v="nacional"/>
    <s v="nacional"/>
    <s v="Alimentación _x000a_Nutrición_x000a_Producción_x000a_Articulación_x000a_Coordinación interinstitucional"/>
    <m/>
    <s v="UC CT CONAN_x000a_Unidad Coordinadora Consejo Nacional de Alimentación y Nutrición"/>
    <s v="MS_x000a__x000a_Ministerio de Salud_x000a_"/>
    <s v="UC CT CONAN_x000a_Unidad Coordinadora Consejo Nacional de Alimentación y Nutrición"/>
    <s v="2117997, 2118890"/>
    <n v="2015"/>
    <n v="1"/>
    <n v="8"/>
    <m/>
    <n v="7"/>
    <n v="5"/>
    <n v="2.4"/>
    <n v="2"/>
    <n v="1"/>
    <n v="0.14285714285714285"/>
    <n v="2"/>
    <n v="2"/>
    <n v="1"/>
    <n v="0.14285714285714285"/>
    <n v="5.1999999999999993"/>
    <m/>
    <n v="-1"/>
    <n v="-0.14285714285714285"/>
    <n v="1"/>
    <m/>
    <n v="-1"/>
    <n v="-0.14285714285714285"/>
    <n v="8"/>
    <m/>
    <n v="-1"/>
    <n v="-0.14285714285714285"/>
    <m/>
    <m/>
    <m/>
    <m/>
    <m/>
  </r>
  <r>
    <x v="22"/>
    <m/>
    <x v="10"/>
    <s v="Soberanía alimentaria "/>
    <s v="0805"/>
    <s v="Bolivia ha puesto en marcha programas intersectoriales en el marco de la Política de Alimentación y Nutrición"/>
    <n v="1"/>
    <s v="8.5.1"/>
    <n v="240"/>
    <s v="8.5.240"/>
    <s v="0805240"/>
    <s v="Se  ha  implementado  la  Política  de  Alimentación  y Nutrición en el marco del CONAN. "/>
    <s v="Alimentación y Nutrición"/>
    <s v="Nutrición"/>
    <s v="Proceso"/>
    <s v="Social"/>
    <s v="Nutrición"/>
    <m/>
    <m/>
    <s v="PC"/>
    <n v="1"/>
    <m/>
    <s v="M. Educación,M.  Salud, MDPyEP, MDRyT"/>
    <n v="25"/>
    <n v="1"/>
    <n v="0"/>
    <s v="Etapa 1"/>
    <m/>
    <n v="2"/>
    <s v="2 Poner fin al hambre, lograr la seguridad alimentaria y la mejora de la nutrición y promover la agricultura"/>
    <s v="2.1. De aquí a 2030, poner fin al hambre y asegurar el acceso de todas las personas, en particular los pobres y las personas en situaciones de vulnerabilidad, incluidos los niños menores de 1 año, a una alimentación sana, nutritiva y suficiente durante todo el año"/>
    <m/>
    <x v="1"/>
    <m/>
    <n v="2"/>
    <s v="08052402"/>
    <x v="247"/>
    <s v="Proceso"/>
    <s v="Eficiencia"/>
    <s v="Nacional_x000a_Departamental_x000a_Municipal"/>
    <s v="Numero"/>
    <s v="Gobiernos Autónomos Municipales que se articularon e implementaron programas, proyectos y/o actividades para lograr la implementación de la PAN._x000a_"/>
    <s v="Número de GAM que articulan e implementan  programas, proyectos y/o actividades del PAN= Sumatoria de GAM que articulan e implementan programas, proyectos y/o actividades del PAN._x000a__x000a_"/>
    <s v="Número de GAM que articulan e implementan  programas, proyectos y/o actividades del PAN"/>
    <s v="Unidad Coordinadora_x000a_Comité Técnico del Consejo de Alimentación y Nutrición"/>
    <s v="No aplica"/>
    <s v="No aplica"/>
    <s v="2012 - 2018"/>
    <s v="Se tomará en cuenta de acuerdo a la metodología establecida, para determinar lo que se entien de por un Gobierno Autónomo Municipal Articulado.  "/>
    <n v="2"/>
    <s v="080524022"/>
    <s v="UC CTCONAN"/>
    <s v="Unidad Coordinadora Comité técnico Consejo Nacional de Alimentación y Nutrición"/>
    <s v="Registro Administrativo"/>
    <s v="Anual"/>
    <s v="2014 -2017"/>
    <s v="Municipal"/>
    <s v="Municipal"/>
    <s v="Alimentación _x000a_Nutrición_x000a_Producción_x000a_Articulación_x000a_Coordinación interinstitucional"/>
    <m/>
    <s v="MS_x000a__x000a_Ministerio de Salud_x000a_"/>
    <s v="MS_x000a__x000a_Ministerio de Salud_x000a_"/>
    <s v="UC CT CONAN_x000a_Unidad Coordinadora Consejo Nacional de Alimentación y Nutrición"/>
    <s v="2117997, 2118890"/>
    <n v="2015"/>
    <n v="0"/>
    <n v="154"/>
    <m/>
    <n v="154"/>
    <n v="5"/>
    <n v="30.8"/>
    <n v="1.1000000000000001"/>
    <n v="1.1000000000000001"/>
    <n v="7.1428571428571435E-3"/>
    <n v="142"/>
    <n v="142"/>
    <n v="142"/>
    <n v="0.92207792207792205"/>
    <n v="92.4"/>
    <m/>
    <n v="0"/>
    <n v="0"/>
    <n v="154"/>
    <m/>
    <n v="0"/>
    <n v="0"/>
    <n v="154"/>
    <m/>
    <n v="0"/>
    <n v="0"/>
    <m/>
    <m/>
    <m/>
    <m/>
    <m/>
  </r>
  <r>
    <x v="22"/>
    <m/>
    <x v="10"/>
    <s v="Soberanía alimentaria "/>
    <s v="0805"/>
    <s v="Bolivia ha puesto en marcha programas intersectoriales en el marco de la Política de Alimentación y Nutrición"/>
    <n v="2"/>
    <s v="8.5.2"/>
    <n v="241"/>
    <s v="8.5.241"/>
    <s v="0805241"/>
    <s v="Se han fortalecido  los Consejos Departamentales de Alimentación  y  Nutrición  (CODAN)  y  los  Consejos Municipales de Alimentación y Nutrición (COMAN) en su rol de articulación. "/>
    <s v="Alimentación y Nutrición"/>
    <s v="Nutrición"/>
    <s v="Proceso"/>
    <s v="Social"/>
    <s v="Nutrición"/>
    <m/>
    <m/>
    <s v="PC"/>
    <n v="1"/>
    <m/>
    <s v="M. Educación,M.  Salud, MDPyEP, MDRyT"/>
    <n v="25"/>
    <n v="1"/>
    <n v="0"/>
    <s v="Etapa 1"/>
    <m/>
    <m/>
    <s v="2 Poner fin al hambre, lograr la seguridad alimentaria y la mejora de la nutrición y promover la agricultura"/>
    <s v="2.1. De aquí a 2030, poner fin al hambre y asegurar el acceso de todas las personas, en particular los pobres y las personas en situaciones de vulnerabilidad, incluidos los niños menores de 1 año, a una alimentación sana, nutritiva y suficiente durante todo el año"/>
    <m/>
    <x v="2"/>
    <s v="Contribución a un solo resultado"/>
    <n v="1"/>
    <s v="08052411"/>
    <x v="248"/>
    <s v="Producto"/>
    <s v="Calidad"/>
    <s v="Nacional_x000a_Departamental_x000a_"/>
    <s v="Numero"/>
    <s v="Número de Gobiernos Departamentales fortalecidos con la creación y funcionamiento de un Consejo Departamental de Alimentación y Nutrición CODAN._x000a_QUE SE ENTIENDE POR FORTALECIDO"/>
    <s v="Número de GAD con un CODAN funcionando= Sumatoria de GAD con un CODAN funcionando_x000a__x000a_"/>
    <s v="Número de GAD con un CODAN funcionando"/>
    <s v="Unidad Coordinadora_x000a_Comité Técnico del Consejo de Alimentación y Nutrición"/>
    <s v="No aplica"/>
    <s v="No aplica"/>
    <s v="2015-2017"/>
    <m/>
    <n v="1"/>
    <s v="080524111"/>
    <s v="UC CTCONAN"/>
    <s v="Unidad Coordinadora Comité técnico Consejo Nacional de Alimentación y Nutrición"/>
    <s v="Registro Administrativo"/>
    <s v="Anual"/>
    <s v="2015-2017"/>
    <s v="Nacional, Departamental"/>
    <s v="Nacional, Departamental"/>
    <s v="Consejos Departamentales constituidos y funcionando (CODAN)."/>
    <m/>
    <s v="UC CT CONAN_x000a_Unidad Coordinadora Consejo Nacional de Alimentación y Nutrición"/>
    <s v="MS_x000a__x000a_Ministerio de Salud_x000a_"/>
    <s v="UC CTCONAN_x000a_Área Articulación Multisectorial"/>
    <s v="2117997, 2118890"/>
    <n v="2015"/>
    <n v="0"/>
    <n v="8"/>
    <m/>
    <n v="8"/>
    <n v="5"/>
    <n v="1.6"/>
    <n v="2"/>
    <n v="2"/>
    <n v="0.25"/>
    <n v="5"/>
    <n v="3"/>
    <n v="3"/>
    <n v="0.375"/>
    <n v="4.8000000000000007"/>
    <m/>
    <n v="0"/>
    <n v="0"/>
    <n v="8"/>
    <m/>
    <n v="0"/>
    <n v="0"/>
    <n v="8"/>
    <m/>
    <n v="0"/>
    <n v="0"/>
    <m/>
    <m/>
    <m/>
    <m/>
    <m/>
  </r>
  <r>
    <x v="22"/>
    <m/>
    <x v="10"/>
    <s v="Soberanía alimentaria "/>
    <s v="0805"/>
    <s v="Bolivia ha puesto en marcha programas intersectoriales en el marco de la Política de Alimentación y Nutrición"/>
    <n v="2"/>
    <s v="8.5.2"/>
    <n v="241"/>
    <s v="8.5.241"/>
    <s v="0805241"/>
    <s v="Se han fortalecido  los Consejos Departamentales de Alimentación  y  Nutrición  (CODAN)  y  los  Consejos Municipales de Alimentación y Nutrición (COMAN) en su rol de articulación. "/>
    <s v="Alimentación y Nutrición"/>
    <s v="Nutrición"/>
    <s v="Proceso"/>
    <s v="Social"/>
    <s v="Nutrición"/>
    <m/>
    <m/>
    <s v="PC"/>
    <n v="1"/>
    <m/>
    <s v="M. Educación,M.  Salud, MDPyEP, MDRyT"/>
    <n v="25"/>
    <n v="1"/>
    <n v="0"/>
    <s v="Etapa 1"/>
    <m/>
    <m/>
    <s v="2 Poner fin al hambre, lograr la seguridad alimentaria y la mejora de la nutrición y promover la agricultura"/>
    <s v="2.1. De aquí a 2030, poner fin al hambre y asegurar el acceso de todas las personas, en particular los pobres y las personas en situaciones de vulnerabilidad, incluidos los niños menores de 1 año, a una alimentación sana, nutritiva y suficiente durante todo el año"/>
    <m/>
    <x v="2"/>
    <s v="Contribución a un solo resultado"/>
    <n v="2"/>
    <s v="08052412"/>
    <x v="249"/>
    <s v="Producto"/>
    <s v="Calidad"/>
    <s v="Nacional_x000a_Departamental_x000a_Municipal"/>
    <s v="Numero"/>
    <s v="Número de Gobiernos Municipales fortalecidas con la creación y funcionamiento de un Consejo Municipal de Alimentación y Nutrición COMAN._x000a_QUE SE ENTIENDE POR FORTALECIDO"/>
    <s v="Número de GAM con un COMAN funcionando= Sumatoria de GAM con un COMAN funcionando_x000a__x000a_"/>
    <s v="Número de GAM con un COMAN funcionando"/>
    <s v="Unidad Coordinadora_x000a_Comité Técnico del Consejo de Alimentación y Nutrición"/>
    <s v="No aplica"/>
    <s v="No aplica"/>
    <s v="2015-2017"/>
    <m/>
    <n v="2"/>
    <s v="080524122"/>
    <s v="UC CTCONAN"/>
    <s v="Unidad Coordinadora Comité técnico Consejo Nacional de Alimentación y Nutrición"/>
    <s v="Registro Administrativo"/>
    <s v="Anual"/>
    <s v="2015-2017"/>
    <s v="Nacional, Departamental, Municipal"/>
    <s v="Nacional, Departamental, Municipal"/>
    <s v="Consejos Municipales constituidos y funcionando (COMAN)._x000a_"/>
    <m/>
    <s v="UC CT CONAN_x000a_Unidad Coordinadora Consejo Nacional de Alimentación y Nutrición"/>
    <s v="MS_x000a__x000a_Ministerio de Salud_x000a_"/>
    <s v="UC CTCONAN_x000a_Área Articulación Multisectorial"/>
    <s v="2117997, 2118890"/>
    <n v="2015"/>
    <n v="0"/>
    <n v="107"/>
    <m/>
    <n v="107"/>
    <n v="5"/>
    <n v="21.4"/>
    <n v="28"/>
    <n v="28"/>
    <n v="0.26168224299065418"/>
    <n v="77"/>
    <n v="77"/>
    <n v="77"/>
    <n v="0.71962616822429903"/>
    <n v="64.199999999999989"/>
    <m/>
    <n v="0"/>
    <n v="0"/>
    <n v="107"/>
    <m/>
    <n v="0"/>
    <n v="0"/>
    <n v="107"/>
    <m/>
    <n v="0"/>
    <n v="0"/>
    <m/>
    <m/>
    <m/>
    <m/>
    <m/>
  </r>
  <r>
    <x v="23"/>
    <m/>
    <x v="14"/>
    <s v="Soberanía ambiental con desarrollo integral, respetando los derechos de la Madre Tierra"/>
    <s v="0906"/>
    <s v="Incremento de la cobertura boscosa."/>
    <n v="1"/>
    <s v="9.6.1"/>
    <n v="262"/>
    <s v="9.6.262"/>
    <s v="0906262"/>
    <s v="Se ha eliminado la deforestación ilegal en todo el territorio del Estado Plurinacional."/>
    <s v="Medio Ambiente"/>
    <s v="Forestal"/>
    <s v="Resultado"/>
    <s v="Ecológica"/>
    <s v="Madre Tierra"/>
    <n v="1"/>
    <n v="1"/>
    <s v="RS"/>
    <m/>
    <m/>
    <s v="MMAyA"/>
    <e v="#DIV/0!"/>
    <n v="1"/>
    <n v="0"/>
    <s v="Etapa 1"/>
    <n v="1"/>
    <n v="15"/>
    <s v="15.2 De aquí a 2020, promover la puesta en práctica de la gestión sostenible de todos los tipos de bosques, detener la deforestación, recuperar los bosques degradados y aumentar considerablemente la forestación y la reforestación a nivel mundial"/>
    <s v="15.2.1* Cubierta forestal en el marco de la ordenación sostenible de los bosques_x000a_15.2.2 Pérdida neta permanente de bosques"/>
    <m/>
    <x v="0"/>
    <m/>
    <n v="1"/>
    <s v="09062621"/>
    <x v="250"/>
    <s v="Impacto"/>
    <m/>
    <s v="Nacional, departamental y municipal"/>
    <s v="Porcentaje"/>
    <s v="Permite conocer, en términos porcentuales, cuál es el ratio de deforestación ilegal respecto de la deforestacion total en el periodo anual. "/>
    <s v="   _x000a__x000a__x000a__x000a_Donde:_x000a_RDIA = Ratio de Deforestacion Ilegal Anual_x000a_HDI = Número de hectáreas deforestadas ilegalmente _x000a_HDL = Número de hectáreas deforestadas legalmente _x000a_"/>
    <s v="Número de hectáreas deforestadas de forma ilegal anualmente"/>
    <s v="Autoridad de Fiscalización y Control Social de Bosques y Tierra (ABT)"/>
    <s v="Suma entre el número de hectáreas deforestadas anualmente de forma legal y el  número de hectáreas deforestadas anualmente de forma ilegal_x000a_"/>
    <s v="ABT"/>
    <s v="2012-2016"/>
    <m/>
    <n v="1"/>
    <s v="090626211"/>
    <s v="ABT"/>
    <s v="Autoridad de Fiscalización y Control Social de Bosques y Tierra -Unidad de Monitoreo de Información Geográfica"/>
    <s v="Registro administrativo"/>
    <s v="Anual"/>
    <s v="2012 - 2016"/>
    <s v="Nacional"/>
    <s v="Nacional, departamental y municipal"/>
    <s v="Número de hectáreas deforestadas _x000a_"/>
    <m/>
    <s v="Ministerio de Medio Ambiente y Agua (MMAyA)"/>
    <s v="Viceministerio de Medio Ambiente Biodiversidad Cambios Climaticos y de Gestion y Desarrollo Forestal (VMABCCGDF)"/>
    <s v="Dirección General de Gestión y Desarrollo Forestal (DGGDF)_x000a_Autoridad de Fiscalizacion y Control Social de Bosques y Tierra (ABT)"/>
    <s v="DGGDF - 2146371 _x000a_ABT- 3488330"/>
    <n v="2015"/>
    <n v="0.65"/>
    <n v="0"/>
    <n v="0"/>
    <n v="-0.65"/>
    <n v="5"/>
    <n v="0.52"/>
    <n v="0.62"/>
    <n v="-3.0000000000000027E-2"/>
    <n v="4.6153846153846191E-2"/>
    <n v="0.39"/>
    <m/>
    <n v="-0.65"/>
    <n v="1"/>
    <n v="0.26"/>
    <m/>
    <n v="-0.65"/>
    <n v="1"/>
    <n v="0.13"/>
    <m/>
    <n v="-0.65"/>
    <n v="1"/>
    <n v="0"/>
    <m/>
    <n v="-0.65"/>
    <n v="1"/>
    <m/>
    <m/>
    <m/>
    <m/>
    <m/>
  </r>
  <r>
    <x v="23"/>
    <m/>
    <x v="14"/>
    <s v="Soberanía ambiental con desarrollo integral, respetando los derechos de la Madre Tierra"/>
    <s v="0906"/>
    <s v="Incremento de la cobertura boscosa."/>
    <n v="2"/>
    <s v="9.6.2"/>
    <n v="263"/>
    <s v="9.6.263"/>
    <s v="0906263"/>
    <s v="Se ha ampliado en más de 750 mil  ha la cobertura forestal, en áreas de restauración, protección y regeneración, ornamentación, sistemas agroforestales y plantaciones comerciales, a través de acciones de forestación y reforestación."/>
    <s v="Medio Ambiente"/>
    <s v="Forestal"/>
    <s v="Resultado"/>
    <s v="Ecológica"/>
    <s v="Madre Tierra"/>
    <n v="1"/>
    <n v="1"/>
    <s v="RS"/>
    <m/>
    <m/>
    <s v="MMAyA"/>
    <e v="#DIV/0!"/>
    <n v="1"/>
    <n v="0"/>
    <s v="Etapa 1"/>
    <n v="1"/>
    <n v="15"/>
    <s v="15.2 De aquí a 2020, promover la puesta en práctica de la gestión sostenible de todos los tipos de bosques, detener la deforestación, recuperar los bosques degradados y aumentar considerablemente la forestación y la reforestación a nivel mundial"/>
    <s v="15.2.1* Cubierta forestal en el marco de la ordenación sostenible de los bosques_x000a_"/>
    <s v="No existe información ni parámetros para la medición"/>
    <x v="0"/>
    <m/>
    <n v="1"/>
    <s v="09062631"/>
    <x v="251"/>
    <s v="Impacto"/>
    <m/>
    <s v="Nacional"/>
    <s v="Hectáreas"/>
    <s v="Se refiere a la cantidad de áreas forestadas, reforestadas y rehabilitadas, incrementales, en todo el territorio nacional boliviano. Cantidad de áreas medida en hectáreas._x000a__x000a_Las hectáreas se refieren a las siguientes áreas: hectáreas bajo plantaciones comerciales, sistemas agroforestales y silvopastoriles, áreas con plantaciones forestales en zonas urbanas (silvicultura urbana) y áreas con plantaciones forestales de protección ambiental (así, por ejemplo: plantaciones alrededor de fuentes de agua)._x000a_"/>
    <s v="hFRR =  Ʃ ( PC + PSAS + PFAU + PFPA )_x000a__x000a_hFRR = Número de hectáreas incrementales forestadas y reforestadas._x000a_Ʃ  = Sumatoria de hectáreas de superficie incremental forestada y reforestada._x000a_PC = Cantidad de hectáreas de plantaciones comerciales._x000a_PSAS = Cantidad de hectáreas de plantaciones en sistemas agroforestales y silvopastoriles._x000a_PFAU = Cantidad de hectáreas de plantaciones forestales en áreas urbanas._x000a_PFPA = Cantidad de hectáreas con plantaciones forestales de protección ambiental."/>
    <s v="Sumatoria de hectáreas incrementales forestadas y reforestadas mediante los diferentes tipos de plantación (comercial, agrofeorestales y agrosilvopastoriles, silvicultura urbana y protección ambiental)"/>
    <s v="Programa Nacional de Forestación y Reforestación (PNFR)"/>
    <m/>
    <m/>
    <s v="2014-2016"/>
    <m/>
    <n v="1"/>
    <s v="090626311"/>
    <s v="PNFR"/>
    <s v="Programa Nacional de Forestación y Reforestación (PNFR)"/>
    <s v="Registro administrativo"/>
    <s v="Anual"/>
    <s v="2014 - 2016"/>
    <s v="Nacional"/>
    <s v="Nacional, plantaciones comercial,es agrofeorestales y agrosilvopastoriles, silvicultura urbana y protección ambiental"/>
    <s v="PC = Cantidad de hectáreas de plantaciones comerciales._x000a_PSAS = Cantidad de hectáreas de plantaciones en sistemas agroforestales y silvopastoriles._x000a_PFAU = Cantidad de hectáreas de plantaciones forestales en áreas urbanas._x000a_PFPA = Cantidad de hectáreas con plantaciones forestales de protección ambiental._x000a_"/>
    <m/>
    <s v="Ministerio de Medio Ambiente y Agua (MMAyA)"/>
    <s v="Viceministerio de Mecio Ambiente Biodiversidad Cambios Climaticos y de Gestion y Desarrollo Forestal (VMABCCGDF)"/>
    <s v="Dirección General de Gestión y Desarrollo Forestal (DGGDF)_x000a_Programa Nacional de Forestación y Reforestación (PNFR)"/>
    <s v="DGGDF - 2146371"/>
    <n v="2015"/>
    <n v="55809"/>
    <n v="750000"/>
    <n v="4500000"/>
    <n v="694191"/>
    <n v="5"/>
    <n v="194647.2"/>
    <n v="57492.42"/>
    <n v="1683.4199999999983"/>
    <n v="2.425009831588134E-3"/>
    <n v="333485.40000000002"/>
    <m/>
    <n v="-55809"/>
    <n v="-8.0394300703984928E-2"/>
    <n v="472323.60000000003"/>
    <m/>
    <n v="-55809"/>
    <n v="-8.0394300703984928E-2"/>
    <n v="611161.80000000005"/>
    <m/>
    <n v="-55809"/>
    <n v="-8.0394300703984928E-2"/>
    <n v="750000"/>
    <m/>
    <n v="-55809"/>
    <n v="-8.0394300703984928E-2"/>
    <m/>
    <m/>
    <m/>
    <m/>
    <m/>
  </r>
  <r>
    <x v="23"/>
    <m/>
    <x v="14"/>
    <s v="Soberanía ambiental con desarrollo integral, respetando los derechos de la Madre Tierra"/>
    <s v="0908"/>
    <s v="Aire Puro, ríos sin contaminación y procesamiento de residuos sólidos y líquidos."/>
    <n v="1"/>
    <s v="9.8.1"/>
    <n v="272"/>
    <s v="9.8.272"/>
    <s v="0908272"/>
    <s v="Se ha restaurado y reducido significativamente la contaminación de aire, agua y suelos en cuencas y se ha restaurado las zonas de vida con mayor impacto ambiental."/>
    <s v="Medio Ambiente"/>
    <s v="Gestión Ambiental"/>
    <s v="Resultado"/>
    <s v="Ecológica"/>
    <s v="Gestión Ambiental"/>
    <m/>
    <n v="1"/>
    <s v="RS"/>
    <m/>
    <m/>
    <s v="MMAyA"/>
    <e v="#DIV/0!"/>
    <n v="1"/>
    <n v="0"/>
    <s v="Etapa 1"/>
    <n v="1"/>
    <m/>
    <s v="6.3 De aquí a 2030, mejorar la calidad del agua reduciendo la contaminación, eliminando el vertimiento y minimizando la emisión de productos químicos y materiales peligrosos, reduciendo a la mitad el porcentaje de aguas residuales sin tratar y aumentando considerablemente el reciclado y la reutilización sin riesgos a nivel mundial"/>
    <s v="6.3.2 Porcentaje de masas de agua de buena calidad"/>
    <m/>
    <x v="2"/>
    <m/>
    <n v="1"/>
    <s v="09082721"/>
    <x v="252"/>
    <s v="Impacto"/>
    <m/>
    <s v="Punto de monitoreo"/>
    <s v="%"/>
    <s v="Porcentaje de Puntos de Monitoreo donde los parámetros básicos de calidad del agua están en los rangos mínimos aceptables definidos en el Cuadro N° A-1 del Reglamento en Materia de Contaminación Hídrica, respecto al número total de Sitios o Puntos de Monitoreo a nivel nacional "/>
    <s v="%PCHB = Número de puntos de Monitoreo con Calidad Hídrica Buena / Total de puntos monitoreados a nivel nacional"/>
    <s v="Número puntos de monitoreo con Calidad Hídrica Buena "/>
    <s v="Informes anuales de municipios, gobernaciones y MMAyA"/>
    <s v="Número puntos de monitoreo de calidad de agua a nivel nacional"/>
    <s v="Informes anuales de municipios, gobernaciones y MMAyA"/>
    <s v="2014 - 2017"/>
    <m/>
    <n v="1"/>
    <s v="090827211"/>
    <m/>
    <s v="Sistema Nacional de Información de Recursos Hídricos (SIRH)"/>
    <s v="Registro administrativo"/>
    <s v="Anual"/>
    <s v="2014 - 2017"/>
    <s v="Nacional"/>
    <s v="Nacional"/>
    <s v="Parámetros fisicoquímicos de calidad de aguas"/>
    <m/>
    <s v="Viceministerio de Recursos Hídricos y Riego - VRHR"/>
    <s v="MMAyA"/>
    <s v="DGCRH/UPHCA"/>
    <s v="2117391 - 2113239 - 2124484"/>
    <n v="2015"/>
    <n v="0.56999999999999995"/>
    <n v="0.55000000000000004"/>
    <n v="0.6"/>
    <n v="-1.9999999999999907E-2"/>
    <n v="5"/>
    <n v="0.56599999999999995"/>
    <n v="0.49"/>
    <n v="-7.999999999999996E-2"/>
    <n v="4.0000000000000169"/>
    <n v="0.56199999999999994"/>
    <n v="0.42"/>
    <n v="-0.14999999999999997"/>
    <n v="7.5000000000000338"/>
    <n v="0.55800000000000005"/>
    <m/>
    <n v="-0.56999999999999995"/>
    <n v="28.500000000000131"/>
    <n v="0.55400000000000005"/>
    <m/>
    <n v="-0.56999999999999995"/>
    <n v="28.500000000000131"/>
    <n v="0.55000000000000004"/>
    <m/>
    <n v="-0.56999999999999995"/>
    <n v="28.500000000000131"/>
    <m/>
    <m/>
    <m/>
    <m/>
    <m/>
  </r>
  <r>
    <x v="23"/>
    <m/>
    <x v="14"/>
    <s v="Soberanía ambiental con desarrollo integral, respetando los derechos de la Madre Tierra"/>
    <s v="0908"/>
    <s v="Aire Puro, ríos sin contaminación y procesamiento de residuos sólidos y líquidos."/>
    <n v="3"/>
    <s v="9.8.3"/>
    <n v="274"/>
    <s v="9.8.274"/>
    <s v="0908274"/>
    <s v="Se han recuperado cuerpos de agua en al menos 5 cuencas (Rocha, Piraí, Guadalquivir, Katari y Cotagaita)."/>
    <s v="Medio Ambiente"/>
    <s v="Gestión Ambiental"/>
    <s v="Resultado"/>
    <s v="Ecológica"/>
    <s v="Gestión Ambiental"/>
    <n v="1"/>
    <m/>
    <s v="RS"/>
    <m/>
    <m/>
    <s v="MMAyA"/>
    <e v="#DIV/0!"/>
    <n v="1"/>
    <n v="0"/>
    <s v="Etapa 1"/>
    <n v="1"/>
    <m/>
    <s v="6.3 De aquí a 2030, mejorar la calidad del agua reduciendo la contaminación, eliminando el vertimiento y minimizando la emisión de productos químicos y materiales peligrosos, reduciendo a la mitad el porcentaje de aguas residuales sin tratar y aumentando considerablemente el reciclado y la reutilización sin riesgos a nivel mundial"/>
    <s v="6.3.2 Porcentaje de masas de agua de buena calidad"/>
    <m/>
    <x v="0"/>
    <m/>
    <n v="1"/>
    <s v="09082741"/>
    <x v="253"/>
    <s v="Impacto"/>
    <m/>
    <s v="Cuenca"/>
    <s v="%"/>
    <s v="ΔCH mide el % de desviación de la calidad hídrica actual con respecto a la mínima permitida definida por su clasificación, para cuerpos de agua en las cinco cuencas Rocha, Piraí, Guadalquivir, Katari y Cotagaita, determinadas para restauración por el PDES y el PSDI  "/>
    <s v="ΔCH = ((ΔCHCotagaita + ΔCHGuadalquivir + ΔCHKatari + ΔCHPiraí + ΔCHRocha)/5 )*100"/>
    <s v="Es la suma de los ΔCH para cada una de las 5 cuencas, que son calculados  con base a mediciones de campo mediante análisis de laboratorio de la calidad hidrica, de acuerdo a la metodologia definida "/>
    <s v="VRHR, GAD´s y GAM´s"/>
    <s v="Número de cuencas consideradas"/>
    <s v="VRHR"/>
    <s v="2015-2017"/>
    <s v="Se establecen convenios interinstitucionales para fortalecer la red de control de calidad de agua tanto a nivel nacional, internacional, subnacional y local. Gobiernos sectoriales y subnacionales designan y/o adquieren recursos para establecer y operar redes de monitoreo en cuerpos de agua priorizados a través del diagnóstico ambiental. "/>
    <m/>
    <s v="09082741"/>
    <s v="SIMOVH"/>
    <s v="Sistema de Monitoreo y Vigilancia Hidrica"/>
    <s v="Reportes de Análisis de laboratorio)"/>
    <s v="Anual"/>
    <s v="2015-2017"/>
    <s v="34484 km2_x000a_(Extensión de las 5 cuencas)"/>
    <m/>
    <m/>
    <m/>
    <s v="MMAyA (VRHR) GAD SCZ, GADCBBA, GADLP, GADTRJ, GADCH, GAM´s  "/>
    <s v="Viceminsiterio de Recursos Hidricos y Riego (VRHR)"/>
    <s v="DGCRH/UPHCA"/>
    <s v="2-2124484"/>
    <n v="2015"/>
    <n v="0.76"/>
    <n v="0.71699999999999997"/>
    <n v="0.53"/>
    <n v="-4.3000000000000038E-2"/>
    <n v="5"/>
    <n v="0.75139999999999996"/>
    <n v="0.76"/>
    <n v="0"/>
    <n v="0"/>
    <n v="0.74280000000000002"/>
    <n v="0.76"/>
    <n v="0"/>
    <n v="0"/>
    <n v="0.73419999999999996"/>
    <m/>
    <n v="-0.76"/>
    <n v="17.674418604651148"/>
    <n v="0.72560000000000002"/>
    <m/>
    <n v="-0.76"/>
    <n v="17.674418604651148"/>
    <n v="0.71699999999999997"/>
    <m/>
    <n v="-0.76"/>
    <n v="17.674418604651148"/>
    <m/>
    <m/>
    <m/>
    <m/>
    <m/>
  </r>
  <r>
    <x v="24"/>
    <m/>
    <x v="15"/>
    <s v="Soberanía comunitaria, financiera, sin servilismo al capitalismo financiero"/>
    <s v="0501"/>
    <s v="Independencia financiera externa"/>
    <n v="1"/>
    <s v="5.1.1"/>
    <n v="135"/>
    <s v="5.1.135"/>
    <s v="0501135"/>
    <s v="Se ha preservado y consolidado la gestión soberana en la formulación de políticas macroeconómicas que generen las condiciones para el crecimiento económico sostenido del país."/>
    <s v="Comunidad y Finanzas"/>
    <s v="Finanzas Públicas"/>
    <s v="Proceso"/>
    <s v="Política e Institucional"/>
    <s v="Estado"/>
    <m/>
    <m/>
    <s v="PC"/>
    <m/>
    <m/>
    <m/>
    <e v="#DIV/0!"/>
    <n v="0"/>
    <n v="1"/>
    <s v="Etapa 1"/>
    <m/>
    <m/>
    <s v="8.1 Mantener el crecimiento económico per cápita de conformidad con las circunstancias nacionales y, en particular, un crecimiento del producto interno bruto de al menos el 7% anual en los países menos adelantados"/>
    <s v="8.1.1 Tasa de crecimiento anual del PIB real per cápita"/>
    <m/>
    <x v="9"/>
    <m/>
    <n v="1"/>
    <s v="05011351"/>
    <x v="254"/>
    <s v="Impacto"/>
    <m/>
    <m/>
    <s v="Acuerdo de Decisión Anual del Programa Fiscal Financiero "/>
    <s v="La decisión del programa fiscal financiero es un acuerdo interinstitucional que suscriben el MEFP y el BCB, el cual permite al Estado establecer las principales metas y objetivos de las variables macroeconómicas, buscando fomentar el crecimiento y desarrollo económico, reducción de la pobreza y el mantenimiento de la estabilidad macroeconómica"/>
    <s v=" ADAPFF = ADFAPFF /  ADPAPFF* 100"/>
    <s v=" Acuerdos de Decisión Firmados Anualmente del Programa Fiscal Financiero"/>
    <s v="Ministerio de Economía y Finanzas Públicas_x000a_y_x000a_Banco Central de Bolivia"/>
    <s v="Acuerdos de Decisión Programados Anualmente del Programa Fiscal Financiero "/>
    <s v="Ministerio de Economía y Finanzas Públicas_x000a_y_x000a_Banco Central de Bolivia"/>
    <s v="2006 - 2018"/>
    <m/>
    <n v="1"/>
    <s v="050113511"/>
    <s v="MEFP_x000a__x000a_BCB"/>
    <s v="Ministerio de Economía y Finanzas Públicas_x000a__x000a_Banco Central de Bolivia"/>
    <s v="Registro Administrativo"/>
    <s v="Anual"/>
    <s v="2006 - 2018"/>
    <s v="Nacional"/>
    <s v="Nacional"/>
    <s v="Tasa de Crecimiento del PIB_x000a_Tasa de Inflación _x000a_Resultado Fiscal del Sector Público No Financiero_x000a_Reservas Internacionales Netas_x000a_Financiamiento Interno al Sector Público_x000a_Crédito Interno Neto del BCB al SPNF"/>
    <m/>
    <s v="Ministerio de Economía y Finanzas Públicas (MEFP) _x000a__x000a_  _x000a_Banco Central de Bolivia (BCB) _x000a__x000a_"/>
    <s v="Viceministerio del Tesoro y Crédito Público (VTCP)_x000a__x000a__x000a_Asesoría de Política Económica (APEC)_x000a__x000a_"/>
    <s v="_x000a_Dirección General de Análisis y Politicas Fiscales (DGAPF) _x000a__x000a__x000a_Subgerencia del Sector Monetario y Fiscal  (SMF) y Subgerencia del Sector Externo (SEXT)_x000a__x000a_"/>
    <s v="_x000a_591-2183333_x000a__x000a__x000a__x000a__x000a__x000a_591-2409090  _x000a__x000a_"/>
    <n v="2015"/>
    <n v="0"/>
    <n v="5"/>
    <m/>
    <n v="5"/>
    <n v="5"/>
    <n v="1"/>
    <n v="1"/>
    <n v="1"/>
    <n v="0.2"/>
    <n v="2"/>
    <n v="2"/>
    <n v="2"/>
    <n v="0.4"/>
    <n v="3"/>
    <n v="3"/>
    <n v="3"/>
    <n v="0.6"/>
    <n v="4"/>
    <n v="4"/>
    <n v="4"/>
    <n v="0.8"/>
    <n v="5"/>
    <n v="5"/>
    <n v="5"/>
    <n v="1"/>
    <s v="Anual"/>
    <s v="PENDIENTE"/>
    <m/>
    <m/>
    <m/>
  </r>
  <r>
    <x v="24"/>
    <m/>
    <x v="15"/>
    <s v="Soberanía comunitaria, financiera, sin servilismo al capitalismo financiero"/>
    <s v="0501"/>
    <s v="Independencia financiera externa"/>
    <n v="2"/>
    <s v="5.1.2"/>
    <n v="136"/>
    <s v="5.1.136"/>
    <s v="0501136"/>
    <s v="Se ha preservado y consolidado la gestión prudente en la contratación de deuda pública para garantizar sus fuentes de financiamiento (internas y externas) y una administración sostenible y solvente en el pago de la misma."/>
    <s v="Comunidad y Finanzas"/>
    <s v="Finanzas Públicas"/>
    <s v="Proceso"/>
    <s v="Política e Institucional"/>
    <s v="Estado"/>
    <m/>
    <m/>
    <s v="PC"/>
    <m/>
    <m/>
    <m/>
    <e v="#DIV/0!"/>
    <n v="0"/>
    <n v="1"/>
    <s v="Etapa 1"/>
    <m/>
    <n v="17"/>
    <s v="17.4 Ayudar a los países en desarrollo a lograr la sostenibilidad de la deuda a largo plazo con políticas coordinadas orientadas a fomentar la financiación, el alivio y la reestructuración de la deuda, según proceda, y hacer frente a la deuda externa de los países pobres muy endeudados a fin de reducir el endeudamiento excesivo"/>
    <s v="17.4.1 Servicio de la deuda como porcentaje de las exportaciones de bienes y servicios"/>
    <m/>
    <x v="9"/>
    <m/>
    <n v="1"/>
    <s v="05011361"/>
    <x v="255"/>
    <s v="Producto"/>
    <m/>
    <s v="Deuda Externa (acreedor, deudor)_x000a_Deuda Interna (público, privado)"/>
    <s v="Porcentaje"/>
    <s v="Mide la relación entre el saldo de la deuda pública total y el Producto Interno Bruto."/>
    <s v="Saldo de la deuda pública total /Producto Interno Bruto_x000a_ "/>
    <s v="Saldo de deuda pública total_x000a_"/>
    <s v="Banco Central de Bolivia y Ministerio de Economía y Finanzas Públicas"/>
    <s v="Producto Interno Bruto"/>
    <s v="Instituto Nacional de Estadística_x000a_ "/>
    <s v="Serie 2000-2017_x000a_"/>
    <m/>
    <n v="1"/>
    <s v="050113611"/>
    <s v="BCB-MEFP-INE"/>
    <s v="Banco Central de Bolivia _x000a__x000a_Ministerio de Economía y Finanzas Públicas_x000a__x000a_Instituto Nacional de Estadistica"/>
    <s v="Registro en el Sistema de Gestión y Análisis de Deuda del BCB y MEFP_x000a__x000a__x000a_Cuentas Nacionales_x000a_"/>
    <s v="Saldo de Deuda Total: mensual_x000a_ _x000a_ PIB: Anual"/>
    <s v="2000-2017"/>
    <s v="Nacional"/>
    <s v="Nacional"/>
    <s v="Saldo de Deuda Pública Total_x000a_  _x000a_Producto Interno Bruto"/>
    <m/>
    <s v="Ministerio de Economía y Finanzas Públicas (MEFP)_x000a__x000a_Banco Central de Bolivia (BCB) _x000a__x000a_Instituto Nacional de Estadistica (INE)  "/>
    <s v="Viceministerio del Tesoro y Crédito Público (VTCP)_x000a__x000a_Gerencia de Operaciones Internacionales (GOI)_x000a__x000a_Cuentas Nacionales"/>
    <s v="Dirección General de Crédito Público (DGCP)_x000a__x000a_Departamento de Deuda Externa_x000a__x000a_Cuentas Nacionales"/>
    <s v="591 (2183333)_x000a__x000a_591 (2409090)_x000a__x000a_591 (2222333)"/>
    <n v="2015"/>
    <n v="0.27100000000000002"/>
    <m/>
    <m/>
    <m/>
    <n v="5"/>
    <m/>
    <n v="0.29799999999999999"/>
    <n v="2.6999999999999968E-2"/>
    <m/>
    <m/>
    <n v="0.32600000000000001"/>
    <n v="5.4999999999999993E-2"/>
    <m/>
    <m/>
    <m/>
    <m/>
    <m/>
    <m/>
    <m/>
    <m/>
    <n v="1"/>
    <n v="0"/>
    <m/>
    <n v="-0.27100000000000002"/>
    <n v="1"/>
    <s v="Anual"/>
    <s v="PENDIENTE"/>
    <m/>
    <m/>
    <m/>
  </r>
  <r>
    <x v="24"/>
    <m/>
    <x v="3"/>
    <m/>
    <m/>
    <m/>
    <m/>
    <m/>
    <m/>
    <m/>
    <m/>
    <m/>
    <s v="Comunidad y Finanzas"/>
    <s v="Finanzas Públicas"/>
    <m/>
    <s v="Política e Institucional"/>
    <s v="Estado"/>
    <m/>
    <m/>
    <s v="PC"/>
    <m/>
    <m/>
    <m/>
    <m/>
    <m/>
    <m/>
    <m/>
    <m/>
    <m/>
    <m/>
    <m/>
    <m/>
    <x v="10"/>
    <m/>
    <m/>
    <m/>
    <x v="256"/>
    <s v="Impacto"/>
    <m/>
    <s v="Servicio de la Deuda (amortización del capital, intereses, comisiones, exportaciones de bienes y servicios)_x000a_ "/>
    <s v="Porcentaje"/>
    <s v="Mide la relación entre el servicio de la deuda externa (capital más intereses) y las Exportaciones de bienes y servicios"/>
    <s v="Servicio de la deuda externa/Exportaciones de bienes y servicios"/>
    <s v="Servicio de la deuda externa"/>
    <s v="Banco Central de Bolivia"/>
    <s v="Exportaciones de Bienes y Servicios"/>
    <s v="Banco Central de Bolivia_x000a_ "/>
    <s v="Serie 1996-2017_x000a_"/>
    <m/>
    <m/>
    <m/>
    <s v="BCB"/>
    <s v="Banco Central de Bolivia _x000a_"/>
    <s v="Registro en el Sistema de Gestión y Análisis de Deuda del BCB_x000a__x000a_"/>
    <s v="Servicio de la Deuda Externa: Mensual_x000a__x000a_Exportaciones: Trimestral_x000a_"/>
    <s v="1996-2017"/>
    <s v="Nacional"/>
    <s v="Nacional"/>
    <s v="Servicio de la Deuda Externa Pública_x000a__x000a_Exportaciones"/>
    <m/>
    <s v="Banco Central de Bolivia (BCB) "/>
    <s v="Asesoría de Politica Económica (APEC)_x000a_Gerencia de Operaciones Internacionales (GOI)"/>
    <s v="Departamento de Deuda Externa_x000a__x000a_Departamento de Balanza de Pagos"/>
    <s v="591 (2409090)"/>
    <n v="2015"/>
    <n v="5.3999999999999999E-2"/>
    <m/>
    <m/>
    <m/>
    <n v="5"/>
    <m/>
    <n v="5.7000000000000002E-2"/>
    <n v="3.0000000000000027E-3"/>
    <m/>
    <m/>
    <n v="6.4000000000000001E-2"/>
    <n v="1.0000000000000002E-2"/>
    <m/>
    <m/>
    <m/>
    <m/>
    <m/>
    <m/>
    <m/>
    <m/>
    <m/>
    <m/>
    <m/>
    <m/>
    <m/>
    <s v="Anual"/>
    <s v="PENDIENTE"/>
    <m/>
    <m/>
    <m/>
  </r>
  <r>
    <x v="24"/>
    <m/>
    <x v="15"/>
    <s v="Soberanía comunitaria, financiera, sin servilismo al capitalismo financiero"/>
    <s v="0501"/>
    <s v="Independencia financiera externa"/>
    <n v="3"/>
    <s v="5.1.3"/>
    <n v="137"/>
    <s v="5.1.137"/>
    <s v="0501137"/>
    <s v="Se ha consolidado el acceso a fuentes alternativas de financiamiento externo en condiciones ventajosas para el Estado Plurinacional de Bolivia"/>
    <s v="Comunidad y Finanzas"/>
    <s v="Finanzas Públicas"/>
    <s v="Proceso"/>
    <s v="Política e Institucional"/>
    <s v="Estado"/>
    <m/>
    <m/>
    <s v="PC"/>
    <m/>
    <m/>
    <m/>
    <e v="#DIV/0!"/>
    <n v="0"/>
    <n v="1"/>
    <s v="Etapa 1"/>
    <m/>
    <m/>
    <m/>
    <m/>
    <m/>
    <x v="11"/>
    <m/>
    <n v="1"/>
    <s v="05011371"/>
    <x v="257"/>
    <s v="Proceso"/>
    <m/>
    <s v="Nacional"/>
    <s v="número"/>
    <s v="Número de agencias multilaterales y/o bilaterales de cooperación  respecto a la linea base, con las que se ha suscrito convenios de financiamiento externo"/>
    <s v=" =(Nro de agencias con las que se ha suscrito convencios de financiamiento externo a la fecha - Nro de agencias 2015)"/>
    <s v="Nro de agencias con las que se ha suscrito convencios de financiamiento externo a la fecha*_x000a__x000a_*Minuendo en vez de numerador"/>
    <s v="Mministerio de Planificación del Desarrollo - Viceministerio de Inversión Pública y Financiamiento Externo"/>
    <s v="Nro de agencias con las que se ha suscrito convencios de financiamiento externo a la fecha*_x000a__x000a_*Minuendo en vez de numerador"/>
    <s v="Mministerio de Planificación del Desarrollo - Viceministerio de Inversión Pública y Financiamiento Externo"/>
    <s v="1990-2018"/>
    <m/>
    <n v="1"/>
    <s v="050113711"/>
    <s v="MPD - VIPFE"/>
    <s v="Ministerio de Planificación del Desarrollo - Viceministerio de Inversión Pública y Financiamiento Externo"/>
    <s v="Registro Administrativo"/>
    <s v="anual"/>
    <s v="1990-2018"/>
    <s v="Nacional"/>
    <n v="1"/>
    <s v="Agencias de Cooperación Multilateral, Bilateral y Privados"/>
    <m/>
    <s v="Ministerio de Planificación del Desarrollo - MPD "/>
    <s v="Viceministerio de Inversión Pública y Financiamiento Externo - VIPFE"/>
    <s v="Dirección General de Gestión de Financiamiento Externo - Unidad Operativa del Financiamiento"/>
    <s v="2189000 _x000a_-interno 830 - 840"/>
    <n v="2015"/>
    <n v="20"/>
    <m/>
    <m/>
    <n v="0"/>
    <n v="5"/>
    <m/>
    <n v="21"/>
    <n v="1"/>
    <m/>
    <m/>
    <m/>
    <n v="-5"/>
    <m/>
    <m/>
    <m/>
    <n v="0"/>
    <m/>
    <m/>
    <m/>
    <n v="0"/>
    <m/>
    <m/>
    <m/>
    <n v="0"/>
    <m/>
    <s v="Anual"/>
    <s v="PENDIENTE"/>
    <m/>
    <m/>
    <m/>
  </r>
  <r>
    <x v="24"/>
    <m/>
    <x v="15"/>
    <s v="Soberanía comunitaria, financiera, sin servilismo al capitalismo financiero"/>
    <s v="0502"/>
    <s v="Sistema financiero para el desarrollo integral."/>
    <n v="1"/>
    <s v="5.2.1"/>
    <n v="138"/>
    <s v="5.2.138"/>
    <n v="502138"/>
    <s v="Se ha alcanzado mayores índices de Profundización Financiera: • 60% de la cartera está destinada a los sectores productivos y vivienda de interés social (Banca Múltiple). • 50% de la cartera destinada a micro, pequeñas y medianas empresas del sector productivo (Banca PyME). • 50% de la cartera destinada a Vivienda (Entidades Financieras de Vivienda). • 75% del total de municipios cubiertos con atención de servicios financieros."/>
    <s v="Comunidad y Finanzas"/>
    <s v="Finanzas para el Desarrollo"/>
    <s v="Resultado"/>
    <s v="Social"/>
    <s v="Inclusión"/>
    <m/>
    <m/>
    <s v="RS"/>
    <m/>
    <m/>
    <s v="MEyFP - ASFI"/>
    <e v="#DIV/0!"/>
    <n v="1"/>
    <n v="0"/>
    <s v="Etapa 1"/>
    <n v="1"/>
    <n v="9"/>
    <s v="9.3 Aumentar el acceso de las pequeñas industrias y otras empresas, particularmente en los países en desarrollo, a los servicios financieros, incluidos créditos asequibles, y su integración en las cadenas de valor y los mercados"/>
    <s v="9.3.2 Porcentaje de las industrias a pequeña escala que han obtenido un préstamo o una línea de crédito"/>
    <s v="Respecto al indicador se cuenta con el dato de industrias a pequeña escala que han obtenido un préstamo. Pero no así con el universo de empresas en posibilidad de acceder a un prestamo"/>
    <x v="12"/>
    <s v="-"/>
    <n v="1"/>
    <s v="5021381"/>
    <x v="258"/>
    <s v="Producto"/>
    <s v="Eficiencia"/>
    <s v="Niv.Cartera Observado (Banco Múltiple)=                        *Cartera del Sector Productivo                 *Cartera de Vivienda de Interes Social                    *Cartera Total"/>
    <s v="En Porcentaje"/>
    <s v="En cumplimiento de la Ley Nº 393 de Servicios Financieros, se prioriza el financiamiento para la vivienda de interés social y al sector productivo. _x000a_La cartera destinada al sector productivo (SP) está conformada por los créditos de tipo empresarial, microcrédito o PYME, cuyo destino corresponde a las categorías del Código de Actividad Económica y Destino del Crédito (CAEDEC) utilizado por ASFI.                                                                                                                                             Crédito de vivienda de interés social (VIS) es aquél financiamiento otorgado para la compra (terreno o vivienda), construcción, refacción, remodelación, ampliación, mejoramiento de una vivienda de interés social. Se entiende por vivienda de interés social a aquella única vivienda sin fines comerciales destinada a los hogares de menores ingresos, cuyo valor comercial o el costo final para su construcción incluido el valor del terreno, no supere UFV400.000.- cuando se trate de departamento y de UFV460.000.- para casas."/>
    <s v="_x000a__x000a_"/>
    <s v="Niv.Cartera Observado (Banco Múltiple): Compuesto por cartera bruta de los bancos múltiples destinada al sector productivo; y  la cartera bruta de los bancos múltiples destinada a vivienda de interés social; y Cartera bruta total de los bancos múltiples.                    *Niv.Cartera Observado (Banco Múltiple):                     2015: 46.17% _x000a_2016: 51.44% _x000a_2017: 56.92% "/>
    <s v="ASFI"/>
    <s v="Niv.Cartera Meta (Banco Múltiple)  Meta que estará en función a lo etsablecido en el DS N° 1842 del 13 de julio de 2016 y de manera anual con base  la RM N°031 de 23 de enero de 2015, para créditos destinados al sector productivo y de vivienda de interés social sobre la cartera total de créditos.                                *Niv.Cartera Meta(Banco Múltiple)                        2015: 42.80%_x000a_2016: 48.54% _x000a_2017: 54.27%"/>
    <s v="MEFP"/>
    <s v="2014-2017"/>
    <s v="No se tiene observaciones a la fuente de datos"/>
    <n v="1"/>
    <s v="50213811"/>
    <s v="MEFP"/>
    <s v="Base de Datos ASFI"/>
    <s v="Registro Administrativo"/>
    <s v="Anual"/>
    <s v="2014-2017"/>
    <s v="Nacional"/>
    <s v="Nacional"/>
    <s v="*Niv.Cartera Observado(Banco Múltiple)   *Niv.Cartera Meta(Banco Múltiple) "/>
    <m/>
    <s v="Ministerio de Economía y Finanzas Públicas (MEFP)"/>
    <s v="Dirección General de Planificación (DGPLA)"/>
    <s v="Dirección General de Planificación (DGPLA)"/>
    <s v="2-183333 Int 2631"/>
    <n v="2015"/>
    <n v="0.4617"/>
    <n v="0.6"/>
    <m/>
    <s v="13,83pp"/>
    <n v="5"/>
    <n v="0.4894"/>
    <n v="0.51439999999999997"/>
    <s v="5,27pp"/>
    <n v="0.38109999999999999"/>
    <n v="0.51700000000000002"/>
    <n v="0.56920000000000004"/>
    <s v="10,75pp"/>
    <n v="0.77729999999999999"/>
    <n v="0.54469999999999996"/>
    <m/>
    <s v="-"/>
    <s v="-"/>
    <n v="0.57230000000000003"/>
    <m/>
    <s v="-"/>
    <s v="-"/>
    <n v="0.6"/>
    <m/>
    <s v="-"/>
    <s v="-"/>
    <m/>
    <m/>
    <m/>
    <m/>
    <m/>
  </r>
  <r>
    <x v="24"/>
    <m/>
    <x v="15"/>
    <s v="Soberanía comunitaria, financiera, sin servilismo al capitalismo financiero"/>
    <s v="0502"/>
    <s v="Sistema financiero para el desarrollo integral."/>
    <n v="1"/>
    <s v="5.2.1"/>
    <n v="138"/>
    <s v="5.2.138"/>
    <s v="0502138"/>
    <s v="Se ha alcanzado mayores índices de Profundización Financiera: • 60% de la cartera está destinada a los sectores productivos y vivienda de interés social (Banca Múltiple). • 50% de la cartera destinada a micro, pequeñas y medianas empresas del sector productivo (Banca PyME). • 50% de la cartera destinada a Vivienda (Entidades Financieras de Vivienda). • 75% del total de municipios cubiertos con atención de servicios financieros."/>
    <s v="Comunidad y Finanzas"/>
    <s v="Finanzas para el Desarrollo"/>
    <s v="Resultado"/>
    <s v="Social"/>
    <s v="Inclusión"/>
    <m/>
    <m/>
    <s v="RS"/>
    <m/>
    <m/>
    <s v="MEyFP - ASFI"/>
    <e v="#DIV/0!"/>
    <n v="1"/>
    <n v="0"/>
    <s v="Etapa 1"/>
    <n v="1"/>
    <n v="9"/>
    <s v="9.3 Aumentar el acceso de las pequeñas industrias y otras empresas, particularmente en los países en desarrollo, a los servicios financieros, incluidos créditos asequibles, y su integración en las cadenas de valor y los mercados"/>
    <s v="9.3.2 Porcentaje de las industrias a pequeña escala que han obtenido un préstamo o una línea de crédito"/>
    <s v="Respecto al indicador se cuenta con el dato de industrias a pequeña escala que han obtenido un préstamo. Pero no así con el universo de empresas en posibilidad de acceder a un prestamo"/>
    <x v="12"/>
    <s v="-"/>
    <n v="2"/>
    <s v="05021382"/>
    <x v="259"/>
    <s v="Producto"/>
    <s v="Eficiencia"/>
    <s v="Niv.Cartera Observado (Banco PYME)=                        *Cartera del Sector Productivo                                  *Cartera Total"/>
    <s v="En Porcentaje"/>
    <s v="La cartera destinada al sector productivo (SP) está conformada por los créditos de tipo empresarial, microcrédito o PYME, cuyo destino corresponde a las siguientes categorías del Código de Actividad Económica y Destino del Crédito (CAEDEC) utilizado por ASFI: a. Agricultura y Ganadería; b. Caza, Silvicultura y Pesca; c. Extracción de Petróleo Crudo y Gas Natural; d. Minerales Metálicos y No Metálicos; e. Industria Manufacturera; f. Producción y Distribución de Energía Eléctrica; g. Construcción._x000a_Asimismo, serán consideradas como financiamiento al sector productivo, las operaciones de crédito destinadas al sector turismo y a la producción intelectual. El financiamiento otorgado al sector productivo mediante Inversiones que realicen las Entidades de Intermediación Financiera (EIF) en cuotas de participación de Fondos de Inversión Cerrados que tengan por objeto invertir en valores u otro tipo de instrumentos que permitan financiar al sector productivo; las inversiones que realicen las EIF en valores emitidos en procesos de titularización que tengan por objeto financiar al sector productivo; las inversiones que realicen las EIF en valores de empresas cuya actividad económica se encuentra comprendida en el sector productivo; los préstamos de una EIF a otra, destinados al financiamiento de operaciones de crédito al sector productivo; y el financiamiento de las EIF mediante alianzas estratégicas también serán consideras como financiamiento al sector productivo."/>
    <s v="_x000a__x000a_"/>
    <s v="Niv.Cartera Observado (Banco PYME): Compuesto por cartera bruta de los bancos múltiples destinada al sector productivo y la cartera bruta total de los bancos PYME.                                                                                       *Niv.Cartera Observado   (Banco PYME):                               2015: 39,56% _x000a_2016: 41,22% _x000a_2017: 48,48% "/>
    <s v="ASFI"/>
    <s v="Niv.Cartera Meta (Banco PYME)  Meta que estará en función a lo etsablecido en el DS N° 1842 del 13 de julio de 2016 y de manera anual con base  la RM N°031 de 23 de enero de 2015, para créditos destinados al sector productivo y de vivienda de interés social sobre la cartera total de créditos.                        *Niv.Cartera Meta(Banco PYME)                        2015: 33,87%_x000a_2016: 39,23% _x000a_2017: 44,62%"/>
    <s v="MEFP"/>
    <s v="2014-2017"/>
    <s v="No se tiene observaciones a la fuente de datos"/>
    <n v="1"/>
    <s v="050213821"/>
    <s v="MEFP"/>
    <s v="Base de Datos ASFI"/>
    <s v="Registro Administrativo"/>
    <s v="Anual"/>
    <s v="2014-2017"/>
    <s v="Nacional"/>
    <s v="Nacional"/>
    <s v="*Niv.Cartera Observado(Banco PYME)   *Niv.Cartera Meta(Banco PYME) "/>
    <m/>
    <s v="Ministerio de Economía y Finanzas Públicas (MEFP)"/>
    <s v="Dirección General de Planificación (DGPLA)"/>
    <s v="Dirección General de Planificación (DGPLA)"/>
    <s v="2-183333 Int 2631"/>
    <n v="2015"/>
    <n v="0.39560000000000001"/>
    <n v="0.5"/>
    <m/>
    <s v="10,44pp"/>
    <n v="5"/>
    <n v="0.41649999999999998"/>
    <n v="0.41220000000000001"/>
    <s v="1,66pp"/>
    <n v="0.159"/>
    <n v="0.43740000000000001"/>
    <n v="0.48480000000000001"/>
    <s v="8,92pp"/>
    <n v="0.85440000000000005"/>
    <n v="0.4582"/>
    <m/>
    <s v="-"/>
    <s v="-"/>
    <n v="0.47910000000000003"/>
    <m/>
    <s v="-"/>
    <s v="-"/>
    <n v="0.5"/>
    <m/>
    <s v="-"/>
    <s v="-"/>
    <m/>
    <m/>
    <m/>
    <m/>
    <m/>
  </r>
  <r>
    <x v="24"/>
    <m/>
    <x v="15"/>
    <s v="Soberanía comunitaria, financiera, sin servilismo al capitalismo financiero"/>
    <s v="0502"/>
    <s v="Sistema financiero para el desarrollo integral."/>
    <n v="1"/>
    <s v="5.2.1"/>
    <n v="138"/>
    <s v="5.2.138"/>
    <s v="0502138"/>
    <s v="Se ha alcanzado mayores índices de Profundización Financiera: • 60% de la cartera está destinada a los sectores productivos y vivienda de interés social (Banca Múltiple). • 50% de la cartera destinada a micro, pequeñas y medianas empresas del sector productivo (Banca PyME). • 50% de la cartera destinada a Vivienda (Entidades Financieras de Vivienda). • 75% del total de municipios cubiertos con atención de servicios financieros."/>
    <s v="Comunidad y Finanzas"/>
    <s v="Finanzas para el Desarrollo"/>
    <s v="Resultado"/>
    <s v="Social"/>
    <s v="Inclusión"/>
    <m/>
    <m/>
    <s v="RS"/>
    <m/>
    <m/>
    <s v="MEyFP - ASFI"/>
    <e v="#DIV/0!"/>
    <n v="1"/>
    <n v="0"/>
    <s v="Etapa 1"/>
    <n v="1"/>
    <n v="9"/>
    <s v="9.3 Aumentar el acceso de las pequeñas industrias y otras empresas, particularmente en los países en desarrollo, a los servicios financieros, incluidos créditos asequibles, y su integración en las cadenas de valor y los mercados"/>
    <s v="9.3.2 Porcentaje de las industrias a pequeña escala que han obtenido un préstamo o una línea de crédito"/>
    <s v="Respecto al indicador se cuenta con el dato de industrias a pequeña escala que han obtenido un préstamo. Pero no así con el universo de empresas en posibilidad de acceder a un prestamo"/>
    <x v="12"/>
    <s v="-"/>
    <n v="3"/>
    <s v="05021383"/>
    <x v="260"/>
    <s v="Producto"/>
    <s v="Eficiencia"/>
    <s v="Niv.Cartera Observado (Banco Entidades Financieras de Vivienda (EFV))=                                     *Cartera de Vivienda de Interes Social                    *Cartera Total"/>
    <s v="En Porcentaje"/>
    <s v="Crédito de vivienda de interés social (VIS) es aquél financiamiento otorgado para la compra (terreno o vivienda), construcción, refacción, remodelación, ampliación, mejoramiento de una vivienda de interés social. Se entiende por vivienda de interés social a aquella única vivienda sin fines comerciales destinada a los hogares de menores ingresos, cuyo valor comercial o el costo final para su construcción incluido el valor del terreno, no supere UFV400.000.- (Cuatrocientas Mil Unidades de Fomento a la Vivienda) cuando se trate de departamento y de UFV460.000.- (Cuatrocientas Sesenta Mil Unidades de Fomento a la Vivienda) para casas._x000a__x000a_"/>
    <s v="_x000a__x000a_"/>
    <s v="Niv.Cartera Observado (EFV): Compuesto por Cartera VIS que representa la cartera bruta de las entidades financieras de vivienda destinada a vivienda de interés social y la cartera bruta total de las entidades financieras de vivienda.                  *Niv.Cartera Observado                       (EFV):                                                         2015: 24,40% _x000a_2016: 31,38% _x000a_2017: 43,63% "/>
    <s v="ASFI"/>
    <s v="Niv.Cartera Meta (EFV)  Meta que estará en función a lo etsablecido en el DS N° 1842 del 13 de julio de 2016 y de manera anual con base  la RM N°031 de 23 de enero de 2015, para créditos destinados al sector productivo y de vivienda de interés social sobre la cartera total de créditos.    *Niv.Cartera Meta(EFV)                        2015: 23,75%_x000a_2016: 36,87% _x000a_2017: 50%"/>
    <s v="MEFP"/>
    <s v="2014-2017"/>
    <s v="No se tiene observaciones a la fuente de datos"/>
    <n v="1"/>
    <s v="050213831"/>
    <s v="MEFP"/>
    <s v="Base de Datos ASFI"/>
    <s v="Registro Administrativo"/>
    <s v="Anual"/>
    <s v="2014-2017"/>
    <s v="Nacional"/>
    <s v="Nacional"/>
    <s v="*Niv.Cartera Observado (EFV)   *Niv.Cartera Meta(EFV) "/>
    <m/>
    <s v="Ministerio de Economía y Finanzas Públicas (MEFP)"/>
    <s v="Dirección General de Planificación (DGPLA)"/>
    <s v="Dirección General de Planificación (DGPLA)"/>
    <s v="2-183333 Int 2631"/>
    <n v="2015"/>
    <n v="0.24399999999999999"/>
    <n v="0.5"/>
    <m/>
    <s v="25,6pp"/>
    <n v="5"/>
    <n v="0.29520000000000002"/>
    <n v="0.31380000000000002"/>
    <s v="6,98pp"/>
    <n v="0.2727"/>
    <n v="0.34639999999999999"/>
    <n v="0.43630000000000002"/>
    <s v="19,23pp"/>
    <n v="0.75119999999999998"/>
    <n v="0.39760000000000001"/>
    <m/>
    <s v="-"/>
    <s v="-"/>
    <n v="0.44879999999999998"/>
    <m/>
    <s v="-"/>
    <s v="-"/>
    <n v="0.5"/>
    <m/>
    <s v="-"/>
    <s v="-"/>
    <m/>
    <m/>
    <m/>
    <m/>
    <m/>
  </r>
  <r>
    <x v="24"/>
    <m/>
    <x v="15"/>
    <s v="Soberanía comunitaria, financiera, sin servilismo al capitalismo financiero"/>
    <s v="0502"/>
    <s v="Sistema financiero para el desarrollo integral."/>
    <n v="1"/>
    <s v="5.2.1"/>
    <n v="138"/>
    <s v="5.2.138"/>
    <s v="0502138"/>
    <s v="Se ha alcanzado mayores índices de Profundización Financiera: • 60% de la cartera está destinada a los sectores productivos y vivienda de interés social (Banca Múltiple). • 50% de la cartera destinada a micro, pequeñas y medianas empresas del sector productivo (Banca PyME). • 50% de la cartera destinada a Vivienda (Entidades Financieras de Vivienda). • 75% del total de municipios cubiertos con atención de servicios financieros."/>
    <s v="Comunidad y Finanzas"/>
    <s v="Finanzas para el Desarrollo"/>
    <s v="Resultado"/>
    <s v="Social"/>
    <s v="Inclusión"/>
    <m/>
    <m/>
    <s v="RS"/>
    <m/>
    <m/>
    <s v="MEyFP - ASFI"/>
    <e v="#DIV/0!"/>
    <n v="1"/>
    <n v="0"/>
    <s v="Etapa 1"/>
    <n v="1"/>
    <n v="9"/>
    <s v="9.3 Aumentar el acceso de las pequeñas industrias y otras empresas, particularmente en los países en desarrollo, a los servicios financieros, incluidos créditos asequibles, y su integración en las cadenas de valor y los mercados"/>
    <s v="9.3.2 Porcentaje de las industrias a pequeña escala que han obtenido un préstamo o una línea de crédito"/>
    <s v="Respecto al indicador se cuenta con el dato de industrias a pequeña escala que han obtenido un préstamo. Pero no así con el universo de empresas en posibilidad de acceder a un prestamo"/>
    <x v="12"/>
    <s v="-"/>
    <n v="4"/>
    <s v="05021384"/>
    <x v="261"/>
    <s v="Producto"/>
    <s v="Eficiencia"/>
    <s v="Número de Municipios con Cobertura en Sevicios Financieros               Total de Municipios:339      "/>
    <s v="En cantidad de Municipios"/>
    <s v="_x000a_Un municipio tendrá cobertura geográfica de servicios financieros si en el mismo existe instalado, al menos, un Punto de Atención Financiera (PAF). Se entenderá por punto de atención financiera al espacio físico habilitado por las Entidades de Intermediación Financiera para la prestación de servicios financieros, según lo establecido en la normativa regulatoria de la Autoridad de Supervisión del Sistema Financiero ASFI, correspondiendo tales a:_x000a_a) Oficinas centrales; b) Sucursales; c) Agencias fijas; d) Agencias móviles; e) Locales compartidos; f) Oficinas externas; g) Puntos corresponsales financieros; h) Puntos corresponsales no financieros;_x000a_i) Oficinas feriales con atención recurrente; j) Otras establecidas por la ASFI. _x000a_"/>
    <s v="_x000a_"/>
    <s v="Numero de Municipios con cobertura: Un municipio tendrá cobertura geográfica de servicios financieros si en el mismo existe instalado, al menos, un Punto de Atención Financiera (PAF)                     *Municipio con Cobertura:            2010: 113                                                       2011: 133                                              2012: 144                                           2013: 157                                              2014: 162                                           2015: 163_x000a_2016: 164 _x000a_2017: 190"/>
    <s v="ASFI"/>
    <s v="Meta que estará en función a lo etsablecido en el DS N°3033 del 28 de diciembre de 2016. *Niv.Cartera Meta(Banco Múltiple)                        2015: 42.80%_x000a_2016: 48.54% _x000a_2017: 54.27%"/>
    <s v="MEFP"/>
    <s v="2010-2017"/>
    <s v="Tomar encuenta para el calculo del indicador al 2017:                                                   Mediante el DS N°3033 del 28 de diciembre de 2016, se define el grado de crecimiento y expansión de la cobertura geogáfica del Sistema Financiero, a través de la instalación de punos de ATENCIÓN Fianciera en el territorio Nacional en el marco de lo previsto en la Ley N° 393. Es asi que el Indicador se encuentra oficialmente disponible a partir del 2017."/>
    <n v="1"/>
    <s v="050213841"/>
    <s v="MEFP"/>
    <s v="Base de Datos ASFI"/>
    <s v="Registro Administrativo"/>
    <s v="Anual"/>
    <s v="2014-2017"/>
    <s v="Nacional"/>
    <s v="Nacional"/>
    <s v="Numero de Municipios con cobertura en Servicios Financieros"/>
    <m/>
    <s v="Ministerio de Economía y Finanzas Públicas (MEFP)"/>
    <s v="Dirección General de Planificación (DGPLA)"/>
    <s v="Dirección General de Planificación (DGPLA)"/>
    <s v="2-183333 Int 2631"/>
    <n v="2015"/>
    <n v="0.4808259587020649"/>
    <n v="0.75"/>
    <m/>
    <s v="26,91pp"/>
    <n v="5"/>
    <n v="0.53"/>
    <n v="0.48377581120943952"/>
    <s v="0pp"/>
    <n v="1.0999999999999999E-2"/>
    <n v="0.58850000000000002"/>
    <n v="0.56047197640117996"/>
    <s v="7,96pp"/>
    <n v="0.2959"/>
    <n v="0.64229999999999998"/>
    <m/>
    <s v="-"/>
    <s v="-"/>
    <n v="0.69620000000000004"/>
    <m/>
    <s v="-"/>
    <s v="-"/>
    <n v="0.75"/>
    <m/>
    <s v="-"/>
    <s v="-"/>
    <m/>
    <m/>
    <m/>
    <m/>
    <m/>
  </r>
  <r>
    <x v="24"/>
    <m/>
    <x v="15"/>
    <s v="Soberanía comunitaria, financiera, sin servilismo al capitalismo financiero"/>
    <s v="0503"/>
    <s v="Inversión Extranjera Socia"/>
    <n v="1"/>
    <s v="5.3.1"/>
    <n v="139"/>
    <s v="5.3.139"/>
    <s v="0503139"/>
    <s v="Al menos 40% de la Inversión Extranjera Directa (IED) ha contribuido a diversificar la matriz productiva del país y genera valor agregado (complejos productivos industriales, de servicios y turismo); a través de sociedades en empresas estatales mixtas, en alianza con el nivel central de Estado y Entidades Territoriales Autónomas."/>
    <s v="Comunidad y Finanzas"/>
    <s v="Inversión Extranjera"/>
    <s v="Resultado"/>
    <s v="Económica"/>
    <s v="IED"/>
    <m/>
    <m/>
    <s v="RS"/>
    <m/>
    <m/>
    <m/>
    <m/>
    <n v="1"/>
    <n v="0"/>
    <s v="Etapa 1"/>
    <n v="1"/>
    <m/>
    <m/>
    <m/>
    <m/>
    <x v="11"/>
    <m/>
    <n v="1"/>
    <s v="05031391"/>
    <x v="262"/>
    <s v="Impacto"/>
    <m/>
    <s v="Nacional"/>
    <s v="Porcentaje"/>
    <s v="Participación de la Inversión Extranjera Directa en Sociedades Estatales Mixtas, con relación a la IED total _x000a__x000a_"/>
    <s v="Igual al cociente entre el saldo de la IED en sociedades estales mixtas/saldo de IED total  x 100_x000a__x000a__x000a_"/>
    <s v="saldo de IED en sociedades estales mixtas_x000a__x000a__x000a_"/>
    <s v="Banco Central de Bolivia"/>
    <s v="Saldo de IED total"/>
    <s v="Banco Central de Bolivia"/>
    <s v="2010 - 2017"/>
    <m/>
    <n v="1"/>
    <s v="050313911"/>
    <s v="BCB"/>
    <s v="Banco Central de Bolivia"/>
    <s v="Registro de Inversión Extranjera y Operaciones Financieras con el Exterior (RIOF)"/>
    <s v="Trimestral"/>
    <s v="2006 - 2017"/>
    <s v="Nacional"/>
    <s v="80% y 90%"/>
    <s v="IED"/>
    <m/>
    <s v="Banco Central de Bolivia (BCB)"/>
    <s v="Asesoría de Política Económica"/>
    <s v="Asesoría de Política Económica - Subgerencia del Sector Externo"/>
    <s v="2662301_x000a_ - 2662202"/>
    <n v="2015"/>
    <n v="0.06"/>
    <n v="0.4"/>
    <m/>
    <n v="0.34"/>
    <n v="5"/>
    <n v="0.128"/>
    <n v="8.2000000000000003E-2"/>
    <n v="2.2000000000000006E-2"/>
    <n v="6.4705882352941183E-2"/>
    <n v="0.19600000000000001"/>
    <n v="6.7000000000000004E-2"/>
    <n v="7.0000000000000062E-3"/>
    <n v="2.0588235294117664E-2"/>
    <n v="0.26400000000000001"/>
    <m/>
    <n v="-0.06"/>
    <n v="-0.1764705882352941"/>
    <n v="0.33200000000000002"/>
    <m/>
    <n v="-0.06"/>
    <n v="-0.1764705882352941"/>
    <n v="0.4"/>
    <m/>
    <n v="-0.06"/>
    <n v="-0.1764705882352941"/>
    <s v="trimestral"/>
    <s v="PENDIENTE"/>
    <m/>
    <m/>
    <m/>
  </r>
  <r>
    <x v="24"/>
    <m/>
    <x v="15"/>
    <s v="Soberanía comunitaria, financiera, sin servilismo al capitalismo financiero"/>
    <s v="0503"/>
    <s v="Inversión Extranjera Social"/>
    <n v="2"/>
    <s v="5.3.2"/>
    <n v="140"/>
    <s v="5.3.140"/>
    <s v="0503140"/>
    <s v="Se ha logrado que la Inversión Extranjera directa (IED) alcance a por lo menos el 8% del PIB"/>
    <s v="Comunidad y Finanzas"/>
    <s v="Inversión Extranjera"/>
    <s v="Resultado"/>
    <s v="Económica"/>
    <s v="IED"/>
    <n v="1"/>
    <m/>
    <s v="RS"/>
    <m/>
    <m/>
    <m/>
    <m/>
    <n v="1"/>
    <n v="0"/>
    <s v="Etapa 1"/>
    <m/>
    <m/>
    <s v="10.b Fomentar la asistencia oficial para el desarrollo y las corrientes financieras, incluida la inversión extranjera directa, para los Estados con mayores necesidades, en particular los países menos adelantados, los países africanos, los pequeños Estados insulares en desarrollo y los países en desarrollo sin litoral, en consonancia con sus planes y programas nacionales"/>
    <s v="10.b.1 Corriente total de recursos para el desarrollo, desglosada por país receptor y país donante y el tipo de corriente (por ejemplo, asistencia oficial para el desarrollo, inversión extranjera directa y otras corrientes)"/>
    <m/>
    <x v="0"/>
    <m/>
    <n v="1"/>
    <s v="05031401"/>
    <x v="263"/>
    <s v="Impacto"/>
    <m/>
    <s v="Nacional"/>
    <s v="Porcentaje"/>
    <s v="Indicador que mide la reIación entre la Inversión Extranjera Directa y el PIB"/>
    <s v="IED/PIB x 100"/>
    <s v="IED BRUTA"/>
    <s v="Banco Central de Bolivia"/>
    <s v="PIB en USD"/>
    <s v="Instituto Nacional de Estadística y Banco Central de Bolivia"/>
    <s v="2000 - 2017"/>
    <m/>
    <n v="1"/>
    <s v="050314011"/>
    <s v="BCB, INE"/>
    <s v="Banco Central de Bolivia e Instituto Nacional de Estadística"/>
    <s v="Registro de Inversión Extranjera y Operaciones Financieras con el Exterior (RIOF)_x000a__x000a_Cuentas Nacionales "/>
    <s v="Trimestral"/>
    <s v="2000 - 2017"/>
    <s v="Nacional"/>
    <s v=" Entre 80% y 90%.      "/>
    <s v="IED _x000a_PIB"/>
    <m/>
    <s v="Banco Central de Bolivia _x000a__x000a__x000a_Instituto Nacional de Estadística"/>
    <s v="Asesoría de Política Económica_x000a__x000a_Departamento de Cuentas Nacionales_x000a_"/>
    <s v="Asesoría de Política Económica - Subgerencia del Sector Externo_x000a__x000a__x000a_Departamento de Cuentas Nacionales_x000a__x000a_"/>
    <s v="BCB - 2662301_x000a_ - 2662202_x000a__x000a__x000a_INE- 2222333"/>
    <n v="2015"/>
    <n v="3.5000000000000003E-2"/>
    <n v="0.08"/>
    <m/>
    <n v="4.4999999999999998E-2"/>
    <n v="5"/>
    <n v="4.4000000000000004E-2"/>
    <n v="3.2000000000000001E-2"/>
    <n v="-3.0000000000000027E-3"/>
    <n v="-6.6666666666666735E-2"/>
    <n v="5.3000000000000005E-2"/>
    <n v="3.2000000000000001E-2"/>
    <n v="-3.0000000000000027E-3"/>
    <n v="-6.6666666666666735E-2"/>
    <n v="6.2E-2"/>
    <m/>
    <n v="-3.5000000000000003E-2"/>
    <n v="-0.7777777777777779"/>
    <n v="7.1000000000000008E-2"/>
    <m/>
    <n v="-3.5000000000000003E-2"/>
    <n v="-0.7777777777777779"/>
    <n v="0.08"/>
    <m/>
    <n v="-3.5000000000000003E-2"/>
    <n v="-0.7777777777777779"/>
    <s v="Anual"/>
    <s v="PENDIENTE"/>
    <m/>
    <m/>
    <m/>
  </r>
  <r>
    <x v="24"/>
    <m/>
    <x v="15"/>
    <s v="Soberanía comunitaria, financiera, sin servilismo al capitalismo financiero"/>
    <s v="0504"/>
    <s v="Triplicar las Reservas Financieras Internacionales."/>
    <n v="1"/>
    <s v="5.4.1"/>
    <n v="141"/>
    <s v="5.4.141"/>
    <s v="0504141"/>
    <s v="Se ha alcanzado un 19,3% del PIB en Reservas Financieras Internacionales (REFI) garantizando suficiente solvencia y liquidez para atender la demanda regular de divisas en las transacciones internas de la economía y en las relaciones del Estado con el exterior."/>
    <s v="Comunidad y Finanzas"/>
    <s v="Reservas Financieras"/>
    <s v="Resultado"/>
    <s v="Económica"/>
    <s v="REFI"/>
    <n v="1"/>
    <m/>
    <s v="RS"/>
    <m/>
    <n v="1"/>
    <m/>
    <e v="#DIV/0!"/>
    <n v="1"/>
    <n v="0"/>
    <s v="Etapa 1"/>
    <m/>
    <m/>
    <m/>
    <m/>
    <m/>
    <x v="11"/>
    <m/>
    <n v="1"/>
    <s v="05041411"/>
    <x v="264"/>
    <s v="Insumo"/>
    <m/>
    <s v="RIN, Oro Monetario, Producto Interno Bruto PIB  "/>
    <s v="%"/>
    <s v="Las reservas financieras muestran la solvencia y liquidez para atender la demanda regular de divisas en las transacciones internas de la economía y en las relaciones del estado con el exterior, incluyendo la provisión de recursos para el financiamiento de programas y proyectos estratégicos incluidos en el Plan. "/>
    <s v="Las reservas financieras son el resultado del cociente entre las reservas internacionales netas menos el Oro Monetario sobre el Producto Interno Bruto _x000a_REFI= RIN-ORO/PIB "/>
    <s v="Reservas Internacionales Netas del BCB menos el Oro Monetario en dólares  "/>
    <s v="BCB"/>
    <s v="Producto Interno Bruto a precios corrientes en dólares "/>
    <s v="INE-BCB"/>
    <s v="2000-2017"/>
    <m/>
    <n v="1"/>
    <s v="050414111"/>
    <m/>
    <m/>
    <s v="Registro administrativo "/>
    <s v="RIN diario y PIB trimestral "/>
    <s v="2000-2018  ejecutado a marzo RIN  y PIB 2000-2017"/>
    <s v="Nacional "/>
    <m/>
    <m/>
    <s v="Los datos que corresponden a &quot;Variacion al 2016,2017&quot; representan Puntos Porcentuales."/>
    <s v="BCB"/>
    <s v="BCB"/>
    <s v="Asesoría de Política Económica del BCB "/>
    <s v="Lic. Raul Mendoza Patiño 2662301"/>
    <d v="2017-12-29T00:00:00"/>
    <n v="0.34899250382598002"/>
    <n v="0.193"/>
    <m/>
    <s v="-15,60pp"/>
    <n v="3"/>
    <n v="0.31780000000000003"/>
    <n v="0.24921599999999999"/>
    <s v="-10pp"/>
    <n v="0.63959999999999995"/>
    <n v="0.28660000000000002"/>
    <n v="0.224"/>
    <s v="-12pp"/>
    <n v="0.80130000000000001"/>
    <n v="0.25540000000000002"/>
    <m/>
    <m/>
    <m/>
    <n v="0.22420000000000001"/>
    <m/>
    <m/>
    <m/>
    <n v="0.193"/>
    <n v="0.193"/>
    <s v="-16pp"/>
    <n v="1"/>
    <s v="Anual"/>
    <s v="Entregado"/>
    <m/>
    <m/>
    <m/>
  </r>
  <r>
    <x v="24"/>
    <m/>
    <x v="15"/>
    <s v="Soberanía comunitaria, financiera, sin servilismo al capitalismo financiero"/>
    <s v="0505"/>
    <s v="Mercados justos."/>
    <n v="1"/>
    <s v="5.5.1"/>
    <n v="142"/>
    <s v="5.5.142"/>
    <s v="0505142"/>
    <s v="Se ha incrementado de forma significativa la participación de la producción nacional en el mercado interno y masificado la distribución de alimentos estratégicos para la población con calidad a peso y precio justo."/>
    <s v="Comunidad y Finanzas"/>
    <s v="Mercados Justos"/>
    <s v="Resultado"/>
    <s v="Económica"/>
    <s v="Mercados Justos"/>
    <n v="1"/>
    <n v="1"/>
    <s v="RS"/>
    <m/>
    <n v="1"/>
    <m/>
    <m/>
    <n v="1"/>
    <n v="0"/>
    <s v="Etapa 1"/>
    <n v="1"/>
    <n v="2"/>
    <s v="2.c Adoptar medidas para asegurar el buen funcionamiento de los mercados de productos básicos alimentarios y sus derivados y facilitar el acceso oportuno a la información sobre los mercados, incluso sobre las reservas de alimentos, a fin de ayudar a limitar la extrema volatilidad de los precios de los alimentos"/>
    <s v="2.c.1* Indicador de anomalías en los precios (de los alimentos)"/>
    <m/>
    <x v="0"/>
    <m/>
    <n v="1"/>
    <s v="05051421"/>
    <x v="265"/>
    <s v="Proceso"/>
    <s v="Eficacia: Miden nivel de cumplimiento de los objetivos"/>
    <s v="Nacional"/>
    <s v="Porcentaje"/>
    <s v="Corresponde a la participación porcentual del volumen de producción nacional del cultivo de trigo respecto de la suma del consumo intermedio, consumo final, variación de existencias y perdidas post cosecha (mercado interno)"/>
    <m/>
    <s v="Volumen de producción del cultivo de trigo del j - esimo año"/>
    <s v="Instituto Nacional de Estadística y Observatorio Agroambiental y Productivo"/>
    <s v="Suma del consumo intermedio, consumo final, variación de existencias y perdidas post cosecha del cultivo de trigo del j - esimo año"/>
    <s v="Instituto Nacional de Estadística"/>
    <n v="2010"/>
    <m/>
    <n v="1"/>
    <s v="050514211"/>
    <s v="INE"/>
    <s v="INE"/>
    <s v="Encuesta, censo y registros administrativos"/>
    <s v="Anual"/>
    <s v="Se dispone las variables de producción, importaciones, exportaciones, consumo intermedio, consumo final, variación de existencias y perdidas post cosecha del cultivo de trigo"/>
    <s v="Nacional"/>
    <s v="Nacional "/>
    <s v="Producción, importaciones, consumo intermedio, consumo final, exportaciones y variación de existencias"/>
    <s v="Los datos que corresponden a &quot;Variacion al 2016,2017&quot; representan Puntos Porcentuales."/>
    <s v="Ministerio de Planificación del Desarrollo "/>
    <s v="Instituto Nacional de Estadísticas - INE"/>
    <s v="Cuentas Nacionales"/>
    <n v="2222333"/>
    <n v="2015"/>
    <n v="0.97909999999999997"/>
    <s v="Se ha incrementado de forma significativa la participación de la producción nacional en el mercado interno y masificado la distribución de alimentos estratégicos para la población con calidad a peso y precio justo."/>
    <m/>
    <m/>
    <n v="5"/>
    <m/>
    <n v="0.96540000000000004"/>
    <s v="-1pp"/>
    <m/>
    <n v="0.97909999999999997"/>
    <n v="93.67"/>
    <s v="4,24pp"/>
    <m/>
    <n v="0.97909999999999997"/>
    <m/>
    <m/>
    <m/>
    <n v="0.97909999999999997"/>
    <m/>
    <m/>
    <m/>
    <n v="0.97909999999999997"/>
    <m/>
    <m/>
    <m/>
    <m/>
    <m/>
    <m/>
    <m/>
    <m/>
  </r>
  <r>
    <x v="24"/>
    <m/>
    <x v="15"/>
    <s v="Soberanía comunitaria, financiera, sin servilismo al capitalismo financiero"/>
    <s v="0505"/>
    <s v="Mercados justos."/>
    <n v="1"/>
    <s v="5.5.1"/>
    <n v="142"/>
    <s v="5.5.142"/>
    <s v="0505142"/>
    <s v="Se ha incrementado de forma significativa la participación de la producción nacional en el mercado interno y masificado la distribución de alimentos estratégicos para la población con calidad a peso y precio justo."/>
    <s v="Comunidad y Finanzas"/>
    <s v="Mercados Justos"/>
    <s v="Resultado"/>
    <s v="Económica"/>
    <s v="Mercados Justos"/>
    <n v="1"/>
    <n v="1"/>
    <s v="RS"/>
    <m/>
    <n v="1"/>
    <m/>
    <m/>
    <n v="1"/>
    <n v="0"/>
    <s v="Etapa 1"/>
    <n v="1"/>
    <n v="2"/>
    <s v="2.c Adoptar medidas para asegurar el buen funcionamiento de los mercados de productos básicos alimentarios y sus derivados y facilitar el acceso oportuno a la información sobre los mercados, incluso sobre las reservas de alimentos, a fin de ayudar a limitar la extrema volatilidad de los precios de los alimentos"/>
    <s v="2.c.1* Indicador de anomalías en los precios (de los alimentos)"/>
    <m/>
    <x v="0"/>
    <m/>
    <n v="1"/>
    <s v="05051421"/>
    <x v="266"/>
    <s v="Proceso"/>
    <s v="Eficacia: Miden nivel de cumplimiento de los objetivos"/>
    <s v="Nacional"/>
    <s v="Porcentaje"/>
    <s v="Corresponde a la participación porcentual del volumen de producción nacional del cultivo de arroz respecto de la suma del consumo intermedio, consumo final, variación de existencias y perdidas post cosecha (mercado interno)"/>
    <m/>
    <s v="Volumen de producción del cultivo de arroz del j - esimo año"/>
    <s v="Instituto Nacional de Estadística y Observatorio Agroambiental y Productivo"/>
    <s v="Suma del consumo intermedio, consumo final, variación de existencias y perdidas post cosecha del cultivo de arroz del j - esimo año"/>
    <s v="Instituto Nacional de Estadística"/>
    <n v="2010"/>
    <m/>
    <n v="1"/>
    <s v="050514211"/>
    <s v="INE"/>
    <s v="INE"/>
    <s v="Encuesta, censo y registros administrativos"/>
    <s v="Anual"/>
    <s v="Se dispone las variables de producción, importaciones, exportaciones, consumo intermedio, consumo final, variación de existencias y perdidas post cosecha del cultivo de arroz"/>
    <s v="Nacional"/>
    <s v="Nacional "/>
    <s v="Producción, importaciones, consumo intermedio, consumo final, exportaciones y variación de existencias"/>
    <m/>
    <s v="Ministerio de Planificación del Desarrollo "/>
    <s v="Instituto Nacional de Estadísticas - INE"/>
    <s v="Cuentas Nacionales"/>
    <n v="2222333"/>
    <n v="2015"/>
    <n v="0.999"/>
    <s v="Se ha incrementado de forma significativa la participación de la producción nacional en el mercado interno y masificado la distribución de alimentos estratégicos para la población con calidad a peso y precio justo."/>
    <m/>
    <m/>
    <n v="5"/>
    <m/>
    <n v="0.99880000000000002"/>
    <s v="-0,02pp"/>
    <m/>
    <n v="0.999"/>
    <n v="0.99880000000000002"/>
    <s v="-0,02pp"/>
    <m/>
    <n v="0.999"/>
    <m/>
    <m/>
    <m/>
    <n v="0.999"/>
    <m/>
    <m/>
    <m/>
    <n v="0.999"/>
    <m/>
    <m/>
    <m/>
    <m/>
    <m/>
    <m/>
    <m/>
    <m/>
  </r>
  <r>
    <x v="24"/>
    <m/>
    <x v="15"/>
    <s v="Soberanía comunitaria, financiera, sin servilismo al capitalismo financiero"/>
    <s v="0505"/>
    <s v="Mercados justos."/>
    <n v="1"/>
    <s v="5.5.1"/>
    <n v="142"/>
    <s v="5.5.143"/>
    <s v="0505142"/>
    <s v="Se ha reforzado, mejorado y ampliado la infraestructura y centros de abastecimiento por parte de los gobiernos autónomos municipales."/>
    <s v="Comunidad y Finanzas"/>
    <s v="Mercados Justos"/>
    <s v="Resultado"/>
    <s v="Económica"/>
    <s v="Mercados Justos"/>
    <n v="1"/>
    <n v="1"/>
    <s v="RS"/>
    <m/>
    <n v="1"/>
    <m/>
    <m/>
    <n v="1"/>
    <n v="0"/>
    <s v="Etapa 2"/>
    <n v="1"/>
    <n v="2"/>
    <s v="2.c Adoptar medidas para asegurar el buen funcionamiento de los mercados de productos básicos alimentarios y sus derivados y facilitar el acceso oportuno a la información sobre los mercados, incluso sobre las reservas de alimentos, a fin de ayudar a limitar la extrema volatilidad de los precios de los alimentos"/>
    <s v="2.c.1* Indicador de anomalías en los precios (de los alimentos)"/>
    <m/>
    <x v="0"/>
    <m/>
    <n v="1"/>
    <s v="05051421"/>
    <x v="267"/>
    <s v="Proceso"/>
    <s v="Eficacia: Miden nivel de cumplimiento de los objetivos"/>
    <s v="Nacional"/>
    <s v="Porcentaje"/>
    <s v="Corresponde a la participación porcentual del volumen de producción nacional del cultivo de maíz duro y blando respecto de la suma del consumo intermedio, consumo final,  variación de existencias y perdidas post cosecha (mercado interno)"/>
    <m/>
    <s v="Volumen de producción del cultivo de maíz duro y blando del j - esimo año"/>
    <s v="Instituto Nacional de Estadística y Observatorio Agroambiental y Productivo"/>
    <s v="Suma del consumo intermedio, consumo final, variación de existencias y perdidas post cosecha del cultivo de maíz duro y blando del j - esimo año"/>
    <s v="Instituto Nacional de Estadística"/>
    <n v="2010"/>
    <m/>
    <n v="1"/>
    <s v="050514211"/>
    <s v="INE"/>
    <s v="INE"/>
    <s v="Encuesta, censo y registros administrativos"/>
    <s v="Anual"/>
    <s v="Se dispone las variables de producción, importaciones, exportaciones, consumo intermedio, consumo final, variación de existencias y perdidas post cosecha del cultivo de maíz duro y blando"/>
    <s v="Nacional"/>
    <s v="Nacional "/>
    <s v="Producción, importaciones, consumo intermedio, consumo final, exportaciones y variación de existencias"/>
    <m/>
    <s v="Ministerio de Planificación del Desarrollo "/>
    <s v="Instituto Nacional de Estadísticas - INE"/>
    <s v="Cuentas Nacionales"/>
    <n v="2222333"/>
    <n v="2015"/>
    <n v="1.0569"/>
    <s v="Se ha incrementado de forma significativa la participación de la producción nacional en el mercado interno y masificado la distribución de alimentos estratégicos para la población con calidad a peso y precio justo."/>
    <m/>
    <m/>
    <n v="5"/>
    <m/>
    <n v="0.98929999999999996"/>
    <s v="-6,69pp"/>
    <m/>
    <n v="1.0569"/>
    <n v="1.0384"/>
    <s v="-1,85pp"/>
    <m/>
    <n v="1.0569"/>
    <m/>
    <m/>
    <m/>
    <n v="1.0569"/>
    <m/>
    <m/>
    <m/>
    <n v="1.0569"/>
    <m/>
    <m/>
    <m/>
    <m/>
    <m/>
    <m/>
    <m/>
    <m/>
  </r>
  <r>
    <x v="24"/>
    <m/>
    <x v="15"/>
    <s v="Soberanía comunitaria, financiera, sin servilismo al capitalismo financiero"/>
    <s v="0505"/>
    <s v="Mercados justos."/>
    <n v="1"/>
    <s v="5.5.1"/>
    <n v="142"/>
    <s v="5.5.144"/>
    <s v="0505142"/>
    <s v="Se ha fomentado la comercialización de productos ecológicos y orgánicos, mediante el sello social boliviano y el sello ecológico boliviano."/>
    <s v="Comunidad y Finanzas"/>
    <s v="Mercados Justos"/>
    <s v="Resultado"/>
    <s v="Económica"/>
    <s v="Mercados Justos"/>
    <n v="1"/>
    <n v="1"/>
    <s v="RS"/>
    <m/>
    <n v="1"/>
    <m/>
    <m/>
    <n v="1"/>
    <n v="0"/>
    <s v="Etapa 2"/>
    <n v="1"/>
    <n v="2"/>
    <s v="2.c Adoptar medidas para asegurar el buen funcionamiento de los mercados de productos básicos alimentarios y sus derivados y facilitar el acceso oportuno a la información sobre los mercados, incluso sobre las reservas de alimentos, a fin de ayudar a limitar la extrema volatilidad de los precios de los alimentos"/>
    <s v="2.c.1* Indicador de anomalías en los precios (de los alimentos)"/>
    <m/>
    <x v="0"/>
    <m/>
    <n v="1"/>
    <s v="05051421"/>
    <x v="268"/>
    <s v="Proceso"/>
    <s v="Eficacia: Miden nivel de cumplimiento de los objetivos"/>
    <s v="Nacional"/>
    <s v="Porcentaje"/>
    <s v="Corresponde a la participación porcentual del volumen de producción nacional del cultivo de quinua respecto de la suma del consumo intermedio, consumo final, variación de existencias y perdidas post cosecha (mercado interno)"/>
    <m/>
    <s v="Volumen de producción del cultivo de quinua del j - esimo año"/>
    <s v="Instituto Nacional de Estadística y Observatorio Agroambiental y Productivo"/>
    <s v="Suma del consumo intermedio, consumo final, variación de existencias y perdidas post cosecha del cultivo de quinua del j - esimo año"/>
    <s v="Instituto Nacional de Estadística"/>
    <n v="2010"/>
    <m/>
    <n v="1"/>
    <s v="050514211"/>
    <s v="INE"/>
    <s v="INE"/>
    <s v="Encuesta, censo y registros administrativos"/>
    <s v="Anual"/>
    <s v="Se dispone las variables de producción, importaciones, exportaciones, consumo intermedio, consumo final, variación de existencias y perdidas post cosecha del cultivo de quinua"/>
    <s v="Nacional"/>
    <s v="Nacional "/>
    <s v="Producción, importaciones, consumo intermedio, consumo final, exportaciones y variación de existencias"/>
    <m/>
    <s v="Ministerio de Planificación del Desarrollo "/>
    <s v="Instituto Nacional de Estadísticas - INE"/>
    <s v="Cuentas Nacionales"/>
    <n v="2222333"/>
    <n v="2015"/>
    <n v="1.0215000000000001"/>
    <s v="Se ha incrementado de forma significativa la participación de la producción nacional en el mercado interno y masificado la distribución de alimentos estratégicos para la población con calidad a peso y precio justo."/>
    <m/>
    <m/>
    <n v="5"/>
    <n v="1.0215000000000001"/>
    <n v="1.0035000000000001"/>
    <s v="-1,80pp"/>
    <m/>
    <n v="1.0215000000000001"/>
    <n v="1"/>
    <s v="-2,15pp"/>
    <m/>
    <n v="1.0215000000000001"/>
    <m/>
    <m/>
    <m/>
    <n v="1.0215000000000001"/>
    <m/>
    <m/>
    <m/>
    <n v="1.0215000000000001"/>
    <m/>
    <m/>
    <m/>
    <m/>
    <m/>
    <m/>
    <m/>
    <m/>
  </r>
  <r>
    <x v="24"/>
    <m/>
    <x v="15"/>
    <s v="Soberanía comunitaria, financiera, sin servilismo al capitalismo financiero"/>
    <s v="0505"/>
    <s v="Mercados justos."/>
    <n v="1"/>
    <s v="5.5.1"/>
    <n v="142"/>
    <s v="5.5.142"/>
    <s v="0505142"/>
    <s v="Se ha incrementado de forma significativa la participación de la producción nacional en el mercado interno y masificado la distribución de alimentos estratégicos para la población con calidad a peso y precio justo."/>
    <s v="Comunidad y Finanzas"/>
    <s v="Mercados Justos"/>
    <s v="Resultado"/>
    <s v="Económica"/>
    <s v="Mercados Justos"/>
    <n v="1"/>
    <n v="1"/>
    <s v="RS"/>
    <m/>
    <n v="1"/>
    <m/>
    <m/>
    <n v="1"/>
    <n v="0"/>
    <s v="Etapa 1"/>
    <n v="1"/>
    <n v="2"/>
    <s v="2.c Adoptar medidas para asegurar el buen funcionamiento de los mercados de productos básicos alimentarios y sus derivados y facilitar el acceso oportuno a la información sobre los mercados, incluso sobre las reservas de alimentos, a fin de ayudar a limitar la extrema volatilidad de los precios de los alimentos"/>
    <s v="2.c.1* Indicador de anomalías en los precios (de los alimentos)"/>
    <m/>
    <x v="0"/>
    <m/>
    <n v="1"/>
    <s v="05051421"/>
    <x v="269"/>
    <s v="Proceso"/>
    <s v="Eficacia: Miden nivel de cumplimiento de los objetivos"/>
    <s v="Nacional"/>
    <s v="Porcentaje"/>
    <s v="Corresponde a la participación porcentual del volumen de producción nacional del cultivo de sorgo respecto de la suma del consumo intermedio, consumo final, variación de existencias y perdidas post cosecha (mercado interno)"/>
    <m/>
    <s v="Volumen de producción del cultivo de sorgo del j - esimo año"/>
    <s v="Instituto Nacional de Estadística y Observatorio Agroambiental y Productivo"/>
    <s v="Suma del consumo intermedio, consumo final, variación de existencias y perdidas post cosecha del cultivo de sorgo del j - esimo año"/>
    <s v="Instituto Nacional de Estadística"/>
    <n v="2010"/>
    <m/>
    <n v="1"/>
    <s v="050514211"/>
    <s v="INE"/>
    <s v="INE"/>
    <s v="Encuesta, censo y registros administrativos"/>
    <s v="Anual"/>
    <s v="Se dispone las variables de producción, importaciones, exportaciones, consumo intermedio, consumo final, variación de existencias y perdidas post cosecha del cultivo de sorgo"/>
    <s v="Nacional"/>
    <s v="Nacional "/>
    <s v="Producción, importaciones, consumo intermedio, consumo final, exportaciones y variación de existencias"/>
    <m/>
    <s v="Ministerio de Planificación del Desarrollo "/>
    <s v="Instituto Nacional de Estadísticas - INE"/>
    <s v="Cuentas Nacionales"/>
    <n v="2222333"/>
    <n v="2015"/>
    <n v="0.99350000000000005"/>
    <s v="Se ha incrementado de forma significativa la participación de la producción nacional en el mercado interno y masificado la distribución de alimentos estratégicos para la población con calidad a peso y precio justo."/>
    <m/>
    <m/>
    <n v="5"/>
    <m/>
    <n v="0.97250000000000003"/>
    <m/>
    <m/>
    <m/>
    <n v="1.0269999999999999"/>
    <m/>
    <m/>
    <m/>
    <m/>
    <m/>
    <m/>
    <m/>
    <m/>
    <m/>
    <m/>
    <m/>
    <m/>
    <m/>
    <m/>
    <m/>
    <m/>
    <m/>
    <m/>
    <m/>
  </r>
  <r>
    <x v="24"/>
    <m/>
    <x v="15"/>
    <s v="Soberanía comunitaria, financiera, sin servilismo al capitalismo financiero"/>
    <s v="0505"/>
    <s v="Mercados justos."/>
    <n v="1"/>
    <s v="5.5.1"/>
    <n v="142"/>
    <s v="5.5.142"/>
    <s v="0505142"/>
    <s v="Se ha incrementado de forma significativa la participación de la producción nacional en el mercado interno y masificado la distribución de alimentos estratégicos para la población con calidad a peso y precio justo."/>
    <s v="Comunidad y Finanzas"/>
    <s v="Mercados Justos"/>
    <s v="Resultado"/>
    <s v="Económica"/>
    <s v="Mercados Justos"/>
    <n v="1"/>
    <n v="1"/>
    <s v="RS"/>
    <m/>
    <n v="1"/>
    <m/>
    <m/>
    <n v="1"/>
    <n v="0"/>
    <s v="Etapa 1"/>
    <n v="1"/>
    <n v="2"/>
    <s v="2.c Adoptar medidas para asegurar el buen funcionamiento de los mercados de productos básicos alimentarios y sus derivados y facilitar el acceso oportuno a la información sobre los mercados, incluso sobre las reservas de alimentos, a fin de ayudar a limitar la extrema volatilidad de los precios de los alimentos"/>
    <s v="2.c.1* Indicador de anomalías en los precios (de los alimentos)"/>
    <m/>
    <x v="0"/>
    <m/>
    <n v="1"/>
    <s v="05051421"/>
    <x v="270"/>
    <s v="Proceso"/>
    <s v="Eficacia: Miden nivel de cumplimiento de los objetivos"/>
    <s v="Nacional"/>
    <s v="Porcentaje"/>
    <s v="Corresponde a la participación porcentual del volumen de producción nacional de los  cultivos de haba, arveja, frijol, garbanzo, poroto y otros, respecto de la suma del consumo intermedio, consumo final, variación de existencias y perdidas post cosecha (mercado interno)"/>
    <m/>
    <s v="Volumen de producción de los cultivos de haba, arveja, frijol, garbanzo, poroto y otros del j - esimo año"/>
    <s v="Instituto Nacional de Estadística y Observatorio Agroambiental y Productivo"/>
    <s v="Suma del consumo intermedio, consumo final, variación de existencias y perdidas post cosecha de los cultivos de haba, arveja, frijol, garbanzo, poroto y otros del j - esimo año"/>
    <s v="Instituto Nacional de Estadística"/>
    <n v="2010"/>
    <m/>
    <n v="1"/>
    <s v="050514211"/>
    <s v="INE"/>
    <s v="INE"/>
    <s v="Encuesta, censo y registros administrativos"/>
    <s v="Anual"/>
    <s v="Se dispone las variables de producción, importaciones, exportaciones, consumo intermedio, consumo final, variación de existencias y perdidas post cosecha de los cultivos de  haba, arveja, frijol, garbanzo, poroto y otros"/>
    <s v="Nacional"/>
    <s v="Nacional "/>
    <s v="Producción, importaciones, consumo intermedio, consumo final, exportaciones y variación de existencias"/>
    <m/>
    <s v="Ministerio de Planificación del Desarrollo "/>
    <s v="Instituto Nacional de Estadísticas - INE"/>
    <s v="Cuentas Nacionales"/>
    <n v="2222333"/>
    <n v="2015"/>
    <n v="1.9201999999999999"/>
    <s v="Se ha incrementado de forma significativa la participación de la producción nacional en el mercado interno y masificado la distribución de alimentos estratégicos para la población con calidad a peso y precio justo."/>
    <m/>
    <m/>
    <n v="5"/>
    <m/>
    <n v="2.4702000000000002"/>
    <m/>
    <m/>
    <m/>
    <n v="1.9524999999999999"/>
    <m/>
    <m/>
    <m/>
    <m/>
    <m/>
    <m/>
    <m/>
    <m/>
    <m/>
    <m/>
    <m/>
    <m/>
    <m/>
    <m/>
    <m/>
    <m/>
    <m/>
    <m/>
    <m/>
  </r>
  <r>
    <x v="24"/>
    <m/>
    <x v="15"/>
    <s v="Soberanía comunitaria, financiera, sin servilismo al capitalismo financiero"/>
    <s v="0505"/>
    <s v="Mercados justos."/>
    <n v="1"/>
    <s v="5.5.1"/>
    <n v="142"/>
    <s v="5.5.143"/>
    <s v="0505142"/>
    <s v="Se ha incrementado de forma significativa la participación de la producción nacional en el mercado interno y masificado la distribución de alimentos estratégicos para la población con calidad a peso y precio justo."/>
    <s v="Comunidad y Finanzas"/>
    <s v="Mercados Justos"/>
    <s v="Resultado"/>
    <s v="Económica"/>
    <s v="Mercados Justos"/>
    <n v="1"/>
    <n v="1"/>
    <s v="RS"/>
    <m/>
    <n v="1"/>
    <m/>
    <m/>
    <n v="1"/>
    <n v="0"/>
    <s v="Etapa 1"/>
    <n v="1"/>
    <n v="2"/>
    <s v="2.c Adoptar medidas para asegurar el buen funcionamiento de los mercados de productos básicos alimentarios y sus derivados y facilitar el acceso oportuno a la información sobre los mercados, incluso sobre las reservas de alimentos, a fin de ayudar a limitar la extrema volatilidad de los precios de los alimentos"/>
    <s v="2.c.1* Indicador de anomalías en los precios (de los alimentos)"/>
    <m/>
    <x v="0"/>
    <m/>
    <n v="1"/>
    <s v="05051421"/>
    <x v="271"/>
    <s v="Proceso"/>
    <s v="Eficacia: Miden nivel de cumplimiento de los objetivos"/>
    <s v="Nacional"/>
    <s v="Porcentaje"/>
    <s v="Corresponde a la participación porcentual del volumen de producción nacional de los cultivos de cebolla, zanahoria, ajo, rábano y otros respecto de la suma del consumo intermedio, consumo final, variación de existencias y perdidas post cosecha (mercado interno)"/>
    <m/>
    <s v="Volumen de producción de los cultivos de cebolla, zanahoria, ajo, rábano y otros del j - esimo año"/>
    <s v="Instituto Nacional de Estadística y Observatorio Agroambiental y Productivo"/>
    <s v="Suma del consumo intermedio, consumo final, variación de existencias y perdidas post cosecha de los cultivos de cebolla, zanahoria, ajo, rábano y otros del j - esimo año"/>
    <s v="Instituto Nacional de Estadística"/>
    <n v="2010"/>
    <m/>
    <n v="1"/>
    <s v="050514211"/>
    <s v="INE"/>
    <s v="INE"/>
    <s v="Encuesta, censo y registros administrativos"/>
    <s v="Anual"/>
    <s v="Se dispone las variables de producción, importaciones, exportaciones, consumo intermedio, consumo final, variación de existencias y perdidas post cosecha de los cultivos de cebolla, zanahoria, ajo, rábano y otros"/>
    <s v="Nacional"/>
    <s v="Nacional "/>
    <s v="Producción, importaciones, consumo intermedio, consumo final, exportaciones y variación de existencias"/>
    <m/>
    <s v="Ministerio de Planificación del Desarrollo "/>
    <s v="Instituto Nacional de Estadísticas - INE"/>
    <s v="Cuentas Nacionales"/>
    <n v="2222333"/>
    <n v="2015"/>
    <n v="0.97030000000000005"/>
    <s v="Se ha incrementado de forma significativa la participación de la producción nacional en el mercado interno y masificado la distribución de alimentos estratégicos para la población con calidad a peso y precio justo."/>
    <m/>
    <m/>
    <n v="5"/>
    <m/>
    <n v="0.95389999999999997"/>
    <m/>
    <m/>
    <m/>
    <n v="0.97909999999999997"/>
    <m/>
    <m/>
    <m/>
    <m/>
    <m/>
    <m/>
    <m/>
    <m/>
    <m/>
    <m/>
    <m/>
    <m/>
    <m/>
    <m/>
    <m/>
    <m/>
    <m/>
    <m/>
    <m/>
  </r>
  <r>
    <x v="24"/>
    <m/>
    <x v="15"/>
    <s v="Soberanía comunitaria, financiera, sin servilismo al capitalismo financiero"/>
    <s v="0505"/>
    <s v="Mercados justos."/>
    <n v="1"/>
    <s v="5.5.1"/>
    <n v="142"/>
    <s v="5.5.144"/>
    <s v="0505142"/>
    <s v="Se ha incrementado de forma significativa la participación de la producción nacional en el mercado interno y masificado la distribución de alimentos estratégicos para la población con calidad a peso y precio justo."/>
    <s v="Comunidad y Finanzas"/>
    <s v="Mercados Justos"/>
    <s v="Resultado"/>
    <s v="Económica"/>
    <s v="Mercados Justos"/>
    <n v="1"/>
    <n v="1"/>
    <s v="RS"/>
    <m/>
    <n v="1"/>
    <m/>
    <m/>
    <n v="1"/>
    <n v="0"/>
    <s v="Etapa 1"/>
    <n v="1"/>
    <n v="2"/>
    <s v="2.c Adoptar medidas para asegurar el buen funcionamiento de los mercados de productos básicos alimentarios y sus derivados y facilitar el acceso oportuno a la información sobre los mercados, incluso sobre las reservas de alimentos, a fin de ayudar a limitar la extrema volatilidad de los precios de los alimentos"/>
    <s v="2.c.1* Indicador de anomalías en los precios (de los alimentos)"/>
    <m/>
    <x v="0"/>
    <m/>
    <n v="1"/>
    <s v="05051421"/>
    <x v="272"/>
    <s v="Proceso"/>
    <s v="Eficacia: Miden nivel de cumplimiento de los objetivos"/>
    <s v="Nacional"/>
    <s v="Porcentaje"/>
    <s v="Corresponde a la participación porcentual del volumen de producción nacional de los cultivos de lechuga, repollo, coliflor, brócoli y otros respecto de la suma del consumo intermedio, consumo final, variación de existencias y perdidas post cosecha (mercado interno)"/>
    <m/>
    <s v="Volumen de producción de los cultivos de lechuga, repollo, coliflor, brócoli y otros del j - esimo año"/>
    <s v="Instituto Nacional de Estadística y Observatorio Agroambiental y Productivo"/>
    <s v="Suma del consumo intermedio, consumo final, variación de existencias y perdidas post cosecha de los cultivos de lechuga, repollo, coliflor, brócoli y otros del j - esimo año"/>
    <s v="Instituto Nacional de Estadística"/>
    <n v="2010"/>
    <m/>
    <n v="1"/>
    <s v="050514211"/>
    <s v="INE"/>
    <s v="INE"/>
    <s v="Encuesta, censo y registros administrativos"/>
    <s v="Anual"/>
    <s v="Se dispone las variables de producción, importaciones, exportaciones, consumo intermedio, consumo final, variación de existencias y perdidas post cosecha de los cultivos de lechuga, repollo, coliflor, brócoli y otros"/>
    <s v="Nacional"/>
    <s v="Nacional "/>
    <s v="Producción, importaciones, consumo intermedio, consumo final, exportaciones y variación de existencias"/>
    <m/>
    <s v="Ministerio de Planificación del Desarrollo "/>
    <s v="Instituto Nacional de Estadísticas - INE"/>
    <s v="Cuentas Nacionales"/>
    <n v="2222333"/>
    <n v="2015"/>
    <n v="0.94879999999999998"/>
    <s v="Se ha incrementado de forma significativa la participación de la producción nacional en el mercado interno y masificado la distribución de alimentos estratégicos para la población con calidad a peso y precio justo."/>
    <m/>
    <m/>
    <n v="5"/>
    <m/>
    <n v="0.87660000000000005"/>
    <m/>
    <m/>
    <m/>
    <n v="0.88480000000000003"/>
    <m/>
    <m/>
    <m/>
    <m/>
    <m/>
    <m/>
    <m/>
    <m/>
    <m/>
    <m/>
    <m/>
    <m/>
    <m/>
    <m/>
    <m/>
    <m/>
    <m/>
    <m/>
    <m/>
  </r>
  <r>
    <x v="24"/>
    <m/>
    <x v="15"/>
    <s v="Soberanía comunitaria, financiera, sin servilismo al capitalismo financiero"/>
    <s v="0505"/>
    <s v="Mercados justos."/>
    <n v="1"/>
    <s v="5.5.1"/>
    <n v="142"/>
    <s v="5.5.144"/>
    <s v="0505142"/>
    <s v="Se ha incrementado de forma significativa la participación de la producción nacional en el mercado interno y masificado la distribución de alimentos estratégicos para la población con calidad a peso y precio justo."/>
    <s v="Comunidad y Finanzas"/>
    <s v="Mercados Justos"/>
    <s v="Resultado"/>
    <s v="Económica"/>
    <s v="Mercados Justos"/>
    <n v="1"/>
    <n v="1"/>
    <s v="RS"/>
    <m/>
    <n v="1"/>
    <m/>
    <m/>
    <n v="1"/>
    <n v="0"/>
    <s v="Etapa 1"/>
    <n v="1"/>
    <n v="2"/>
    <s v="2.c Adoptar medidas para asegurar el buen funcionamiento de los mercados de productos básicos alimentarios y sus derivados y facilitar el acceso oportuno a la información sobre los mercados, incluso sobre las reservas de alimentos, a fin de ayudar a limitar la extrema volatilidad de los precios de los alimentos"/>
    <s v="2.c.1* Indicador de anomalías en los precios (de los alimentos)"/>
    <m/>
    <x v="0"/>
    <m/>
    <n v="1"/>
    <s v="05051421"/>
    <x v="273"/>
    <s v="Proceso"/>
    <s v="Eficacia: Miden nivel de cumplimiento de los objetivos"/>
    <s v="Nacional"/>
    <s v="Porcentaje"/>
    <s v="Corresponde a la participación porcentual del volumen de producción nacional de los cultivos de tomate, pepino, zapallo, ají, locoto, maíz choclo y otros respecto de la suma del consumo intermedio, consumo final, variación de existencias y perdidas post cosecha (mercado interno)"/>
    <m/>
    <s v="Volumen de producción de los cultivos de tomate, pepino, zapallo, ají, locoto, maíz choclo y otros del j - esimo año"/>
    <s v="Instituto Nacional de Estadística y Observatorio Agroambiental y Productivo"/>
    <s v="Suma del consumo intermedio, consumo final, variación de existencias y perdidas post cosecha de los cultivos de tomate, pepino, ají, locoto, maíz choclo y otros del j - esimo año"/>
    <s v="Instituto Nacional de Estadística"/>
    <n v="2010"/>
    <m/>
    <n v="1"/>
    <s v="050514211"/>
    <s v="INE"/>
    <s v="INE"/>
    <s v="Encuesta, censo y registros administrativos"/>
    <s v="Anual"/>
    <s v="Se dispone las variables de producción, importaciones, exportaciones, consumo intermedio, consumo final, variación de existencias y perdidas post cosecha de los cultivos de tomate, pepino, ají, locoto, maíz choclo y otros"/>
    <s v="Nacional"/>
    <s v="Nacional "/>
    <s v="Producción, importaciones, consumo intermedio, consumo final, exportaciones y variación de existencias"/>
    <m/>
    <s v="Ministerio de Planificación del Desarrollo "/>
    <s v="Instituto Nacional de Estadísticas - INE"/>
    <s v="Cuentas Nacionales"/>
    <n v="2222333"/>
    <n v="2015"/>
    <n v="0.97470000000000001"/>
    <s v="Se ha incrementado de forma significativa la participación de la producción nacional en el mercado interno y masificado la distribución de alimentos estratégicos para la población con calidad a peso y precio justo."/>
    <m/>
    <m/>
    <n v="5"/>
    <m/>
    <n v="0.96479999999999999"/>
    <m/>
    <m/>
    <m/>
    <n v="0.96830000000000005"/>
    <m/>
    <m/>
    <m/>
    <m/>
    <m/>
    <m/>
    <m/>
    <m/>
    <m/>
    <m/>
    <m/>
    <m/>
    <m/>
    <m/>
    <m/>
    <m/>
    <m/>
    <m/>
    <m/>
  </r>
  <r>
    <x v="24"/>
    <m/>
    <x v="15"/>
    <s v="Soberanía comunitaria, financiera, sin servilismo al capitalismo financiero"/>
    <s v="0505"/>
    <s v="Mercados justos."/>
    <n v="1"/>
    <s v="5.5.1"/>
    <n v="142"/>
    <s v="5.5.144"/>
    <s v="0505142"/>
    <s v="Se ha incrementado de forma significativa la participación de la producción nacional en el mercado interno y masificado la distribución de alimentos estratégicos para la población con calidad a peso y precio justo."/>
    <s v="Comunidad y Finanzas"/>
    <s v="Mercados Justos"/>
    <s v="Resultado"/>
    <s v="Económica"/>
    <s v="Mercados Justos"/>
    <n v="1"/>
    <n v="1"/>
    <s v="RS"/>
    <m/>
    <n v="1"/>
    <m/>
    <m/>
    <n v="1"/>
    <n v="0"/>
    <s v="Etapa 1"/>
    <n v="1"/>
    <n v="2"/>
    <s v="2.c Adoptar medidas para asegurar el buen funcionamiento de los mercados de productos básicos alimentarios y sus derivados y facilitar el acceso oportuno a la información sobre los mercados, incluso sobre las reservas de alimentos, a fin de ayudar a limitar la extrema volatilidad de los precios de los alimentos"/>
    <s v="2.c.1* Indicador de anomalías en los precios (de los alimentos)"/>
    <m/>
    <x v="0"/>
    <m/>
    <n v="1"/>
    <s v="05051421"/>
    <x v="274"/>
    <s v="Proceso"/>
    <s v="Eficacia: Miden nivel de cumplimiento de los objetivos"/>
    <s v="Nacional"/>
    <s v="Porcentaje"/>
    <s v="Corresponde a la participación porcentual del volumen de producción nacional del cultivo de papa, tunta y chuño respecto de la suma del consumo intermedio, consumo final, variación de existencias y perdidas post cosecha (mercado interno)"/>
    <m/>
    <s v="Volumen de producción del cultivo de papa, tunta y chuño del j - esimo año"/>
    <s v="Instituto Nacional de Estadística y Observatorio Agroambiental y Productivo"/>
    <s v="Suma del consumo intermedio, consumo final, variación de existencias y perdidas post cosecha del cultivo de papa, tunta y chuño del j - esimo año"/>
    <s v="Instituto Nacional de Estadística"/>
    <n v="2010"/>
    <m/>
    <n v="1"/>
    <s v="050514211"/>
    <s v="INE"/>
    <s v="INE"/>
    <s v="Encuesta, censo y registros administrativos"/>
    <s v="Anual"/>
    <s v="Se dispone las variables de producción, importaciones, exportaciones, consumo intermedio, consumo final, variación de existencias y perdidas post cosecha del cultivo de  papa, tunta y chuño"/>
    <s v="Nacional"/>
    <s v="Nacional "/>
    <s v="Producción, importaciones, consumo intermedio, consumo final, exportaciones y variación de existencias"/>
    <m/>
    <s v="Ministerio de Planificación del Desarrollo "/>
    <s v="Instituto Nacional de Estadísticas - INE"/>
    <s v="Cuentas Nacionales"/>
    <n v="2222333"/>
    <n v="2015"/>
    <n v="0.99050000000000005"/>
    <s v="Se ha incrementado de forma significativa la participación de la producción nacional en el mercado interno y masificado la distribución de alimentos estratégicos para la población con calidad a peso y precio justo."/>
    <m/>
    <m/>
    <n v="5"/>
    <m/>
    <n v="0.99180000000000001"/>
    <m/>
    <m/>
    <m/>
    <n v="0.99529999999999996"/>
    <m/>
    <m/>
    <m/>
    <m/>
    <m/>
    <m/>
    <m/>
    <m/>
    <m/>
    <m/>
    <m/>
    <m/>
    <m/>
    <m/>
    <m/>
    <m/>
    <m/>
    <m/>
    <m/>
  </r>
  <r>
    <x v="24"/>
    <m/>
    <x v="15"/>
    <s v="Soberanía comunitaria, financiera, sin servilismo al capitalismo financiero"/>
    <s v="0505"/>
    <s v="Mercados justos."/>
    <n v="1"/>
    <s v="5.5.1"/>
    <n v="142"/>
    <s v="5.5.144"/>
    <s v="0505142"/>
    <s v="Se ha incrementado de forma significativa la participación de la producción nacional en el mercado interno y masificado la distribución de alimentos estratégicos para la población con calidad a peso y precio justo."/>
    <s v="Comunidad y Finanzas"/>
    <s v="Mercados Justos"/>
    <s v="Resultado"/>
    <s v="Económica"/>
    <s v="Mercados Justos"/>
    <n v="1"/>
    <n v="1"/>
    <s v="RS"/>
    <m/>
    <n v="1"/>
    <m/>
    <m/>
    <n v="1"/>
    <n v="0"/>
    <s v="Etapa 1"/>
    <n v="1"/>
    <n v="2"/>
    <s v="2.c Adoptar medidas para asegurar el buen funcionamiento de los mercados de productos básicos alimentarios y sus derivados y facilitar el acceso oportuno a la información sobre los mercados, incluso sobre las reservas de alimentos, a fin de ayudar a limitar la extrema volatilidad de los precios de los alimentos"/>
    <s v="2.c.1* Indicador de anomalías en los precios (de los alimentos)"/>
    <m/>
    <x v="0"/>
    <m/>
    <n v="1"/>
    <s v="05051421"/>
    <x v="275"/>
    <s v="Proceso"/>
    <s v="Eficacia: Miden nivel de cumplimiento de los objetivos"/>
    <s v="Nacional"/>
    <s v="Porcentaje"/>
    <s v="Corresponde a la participación porcentual del volumen de producción nacional de los cultivos de alfalfa, avena berza, sorgo forrajero y otros respecto de la suma del consumo intermedio, consumo final, variación de existencias y perdidas post cosecha (mercado interno)"/>
    <m/>
    <s v="Volumen de producción de los cultivos de alfalfa, avena berza, sorgo forrajero y otros del j - esimo año"/>
    <s v="Instituto Nacional de Estadística y Observatorio Agroambiental y Productivo"/>
    <s v="Suma del consumo intermedio, consumo final, variación de existencias y perdidas post cosecha de los cultivos de alfalfa, avena berza, sorgo forrajero y otros del j - esimo año"/>
    <s v="Instituto Nacional de Estadística"/>
    <n v="2010"/>
    <m/>
    <n v="1"/>
    <s v="050514211"/>
    <s v="INE"/>
    <s v="INE"/>
    <s v="Encuesta, censo y registros administrativos"/>
    <s v="Anual"/>
    <s v="Se dispone las variables de producción, importaciones, exportaciones, consumo intermedio, consumo final, variación de existencias y perdidas post cosecha de los cultivos de alfalfa, avena berza, sorgo forrajero y otros"/>
    <s v="Nacional"/>
    <s v="Nacional "/>
    <s v="Producción, importaciones, consumo intermedio, consumo final, exportaciones y variación de existencias"/>
    <m/>
    <s v="Ministerio de Planificación del Desarrollo "/>
    <s v="Instituto Nacional de Estadísticas - INE"/>
    <s v="Cuentas Nacionales"/>
    <n v="2222333"/>
    <n v="2015"/>
    <n v="1.0004"/>
    <s v="Se ha incrementado de forma significativa la participación de la producción nacional en el mercado interno y masificado la distribución de alimentos estratégicos para la población con calidad a peso y precio justo."/>
    <m/>
    <m/>
    <n v="5"/>
    <m/>
    <n v="0.99580000000000002"/>
    <m/>
    <m/>
    <m/>
    <n v="0.99719999999999998"/>
    <m/>
    <m/>
    <m/>
    <m/>
    <m/>
    <m/>
    <m/>
    <m/>
    <m/>
    <m/>
    <m/>
    <m/>
    <m/>
    <m/>
    <m/>
    <m/>
    <m/>
    <m/>
    <m/>
  </r>
  <r>
    <x v="24"/>
    <m/>
    <x v="15"/>
    <s v="Soberanía comunitaria, financiera, sin servilismo al capitalismo financiero"/>
    <s v="0505"/>
    <s v="Mercados justos."/>
    <n v="1"/>
    <s v="5.5.1"/>
    <n v="142"/>
    <s v="5.5.144"/>
    <s v="0505142"/>
    <s v="Se ha incrementado de forma significativa la participación de la producción nacional en el mercado interno y masificado la distribución de alimentos estratégicos para la población con calidad a peso y precio justo."/>
    <s v="Comunidad y Finanzas"/>
    <s v="Mercados Justos"/>
    <s v="Resultado"/>
    <s v="Económica"/>
    <s v="Mercados Justos"/>
    <n v="1"/>
    <n v="1"/>
    <s v="RS"/>
    <m/>
    <n v="1"/>
    <m/>
    <m/>
    <n v="1"/>
    <n v="0"/>
    <s v="Etapa 1"/>
    <n v="1"/>
    <n v="2"/>
    <s v="2.c Adoptar medidas para asegurar el buen funcionamiento de los mercados de productos básicos alimentarios y sus derivados y facilitar el acceso oportuno a la información sobre los mercados, incluso sobre las reservas de alimentos, a fin de ayudar a limitar la extrema volatilidad de los precios de los alimentos"/>
    <s v="2.c.1* Indicador de anomalías en los precios (de los alimentos)"/>
    <m/>
    <x v="0"/>
    <m/>
    <n v="1"/>
    <s v="05051421"/>
    <x v="276"/>
    <s v="Proceso"/>
    <s v="Eficacia: Miden nivel de cumplimiento de los objetivos"/>
    <s v="Nacional"/>
    <s v="Porcentaje"/>
    <s v="Corresponde a la participación porcentual del volumen de producción nacional del cultivo de caña de azúcar respecto de la suma del consumo intermedio, consumo final, variación de existencias y perdidas post cosecha (mercado interno)"/>
    <m/>
    <s v="Volumen de producción del cultivo de caña de azúcar del j - esimo año"/>
    <s v="Instituto Nacional de Estadística y Observatorio Agroambiental y Productivo"/>
    <s v="Suma del consumo intermedio, consumo final, variación de existencias y perdidas post cosecha del cultivo de caña de azúcar del j - esimo año"/>
    <s v="Instituto Nacional de Estadística"/>
    <n v="2010"/>
    <m/>
    <n v="1"/>
    <s v="050514211"/>
    <s v="INE"/>
    <s v="INE"/>
    <s v="Encuesta, censo y registros administrativos"/>
    <s v="Anual"/>
    <s v="Se dispone las variables de producción, importaciones, exportaciones, consumo intermedio, consumo final, variación de existencias y perdidas post cosecha del cultivo de caña de azúcar"/>
    <s v="Nacional"/>
    <s v="Nacional "/>
    <s v="Producción, importaciones, consumo intermedio, consumo final, exportaciones y variación de existencias"/>
    <m/>
    <s v="Ministerio de Planificación del Desarrollo "/>
    <s v="Instituto Nacional de Estadísticas - INE"/>
    <s v="Cuentas Nacionales"/>
    <n v="2222333"/>
    <n v="2015"/>
    <n v="1"/>
    <s v="Se ha incrementado de forma significativa la participación de la producción nacional en el mercado interno y masificado la distribución de alimentos estratégicos para la población con calidad a peso y precio justo."/>
    <m/>
    <m/>
    <n v="5"/>
    <m/>
    <n v="1"/>
    <m/>
    <m/>
    <m/>
    <n v="1"/>
    <m/>
    <m/>
    <m/>
    <m/>
    <m/>
    <m/>
    <m/>
    <m/>
    <m/>
    <m/>
    <m/>
    <m/>
    <m/>
    <m/>
    <m/>
    <m/>
    <m/>
    <m/>
    <m/>
  </r>
  <r>
    <x v="24"/>
    <m/>
    <x v="15"/>
    <s v="Soberanía comunitaria, financiera, sin servilismo al capitalismo financiero"/>
    <s v="0505"/>
    <s v="Mercados justos."/>
    <n v="1"/>
    <s v="5.5.1"/>
    <n v="142"/>
    <s v="5.5.144"/>
    <s v="0505142"/>
    <s v="Se ha incrementado de forma significativa la participación de la producción nacional en el mercado interno y masificado la distribución de alimentos estratégicos para la población con calidad a peso y precio justo."/>
    <s v="Comunidad y Finanzas"/>
    <s v="Mercados Justos"/>
    <s v="Resultado"/>
    <s v="Económica"/>
    <s v="Mercados Justos"/>
    <n v="1"/>
    <n v="1"/>
    <s v="RS"/>
    <m/>
    <n v="1"/>
    <m/>
    <m/>
    <n v="1"/>
    <n v="0"/>
    <s v="Etapa 1"/>
    <n v="1"/>
    <n v="2"/>
    <s v="2.c Adoptar medidas para asegurar el buen funcionamiento de los mercados de productos básicos alimentarios y sus derivados y facilitar el acceso oportuno a la información sobre los mercados, incluso sobre las reservas de alimentos, a fin de ayudar a limitar la extrema volatilidad de los precios de los alimentos"/>
    <s v="2.c.1* Indicador de anomalías en los precios (de los alimentos)"/>
    <m/>
    <x v="0"/>
    <m/>
    <n v="1"/>
    <s v="05051421"/>
    <x v="277"/>
    <s v="Proceso"/>
    <s v="Eficacia: Miden nivel de cumplimiento de los objetivos"/>
    <s v="Nacional"/>
    <s v="Porcentaje"/>
    <s v="Corresponde a la participación porcentual del volumen de producción nacional de ganado bovino respecto de la suma del consumo intermedio, consumo final, formación bruta de capital fijo y variación de existencias (mercado interno)"/>
    <m/>
    <s v="Volumen de producción de ganado bovino del j - esimo año"/>
    <s v="Instituto Nacional de Estadística y Observatorio Agroambiental y Productivo"/>
    <s v="Suma del consumo intermedio, consumo final, formación bruta de capital  y variación de existencias del ganado bovino del j - esimo año"/>
    <s v="Instituto Nacional de Estadística"/>
    <n v="2010"/>
    <m/>
    <n v="1"/>
    <s v="050514211"/>
    <s v="INE"/>
    <s v="INE"/>
    <s v="Encuesta, censo y registros administrativos"/>
    <s v="Anual"/>
    <s v="Se dispone las variables de producción, importaciones, exportaciones, consumo intermedio, consumo final, formación bruta de capital fijo y  variación de existencias de ganado bovino"/>
    <s v="Nacional"/>
    <s v="Nacional "/>
    <s v="Producción, importaciones, consumo intermedio, consumo final, formación bruta de capital fijo y variación de existencias"/>
    <m/>
    <s v="Ministerio de Planificación del Desarrollo "/>
    <s v="Instituto Nacional de Estadísticas - INE"/>
    <s v="Cuentas Nacionales"/>
    <n v="2222333"/>
    <n v="2015"/>
    <n v="0.99980000000000002"/>
    <s v="Se ha incrementado de forma significativa la participación de la producción nacional en el mercado interno y masificado la distribución de alimentos estratégicos para la población con calidad a peso y precio justo."/>
    <m/>
    <m/>
    <n v="5"/>
    <m/>
    <n v="0.99909999999999999"/>
    <m/>
    <m/>
    <m/>
    <n v="0.99970000000000003"/>
    <m/>
    <m/>
    <m/>
    <m/>
    <m/>
    <m/>
    <m/>
    <m/>
    <m/>
    <m/>
    <m/>
    <m/>
    <m/>
    <m/>
    <m/>
    <m/>
    <m/>
    <m/>
    <m/>
  </r>
  <r>
    <x v="24"/>
    <m/>
    <x v="15"/>
    <s v="Soberanía comunitaria, financiera, sin servilismo al capitalismo financiero"/>
    <s v="0505"/>
    <s v="Mercados justos."/>
    <n v="1"/>
    <s v="5.5.1"/>
    <n v="142"/>
    <s v="5.5.144"/>
    <s v="0505142"/>
    <s v="Se ha incrementado de forma significativa la participación de la producción nacional en el mercado interno y masificado la distribución de alimentos estratégicos para la población con calidad a peso y precio justo."/>
    <s v="Comunidad y Finanzas"/>
    <s v="Mercados Justos"/>
    <s v="Resultado"/>
    <s v="Económica"/>
    <s v="Mercados Justos"/>
    <n v="1"/>
    <n v="1"/>
    <s v="RS"/>
    <m/>
    <n v="1"/>
    <m/>
    <n v="5.2631578947368425"/>
    <n v="1"/>
    <n v="0"/>
    <s v="Etapa 1"/>
    <n v="1"/>
    <n v="2"/>
    <s v="2.c Adoptar medidas para asegurar el buen funcionamiento de los mercados de productos básicos alimentarios y sus derivados y facilitar el acceso oportuno a la información sobre los mercados, incluso sobre las reservas de alimentos, a fin de ayudar a limitar la extrema volatilidad de los precios de los alimentos"/>
    <s v="2.c.1* Indicador de anomalías en los precios (de los alimentos)"/>
    <m/>
    <x v="0"/>
    <m/>
    <n v="1"/>
    <s v="05051421"/>
    <x v="278"/>
    <s v="Proceso"/>
    <s v="Eficacia: Miden nivel de cumplimiento de los objetivos"/>
    <s v="Nacional"/>
    <s v="Porcentaje"/>
    <s v="Corresponde a la participación porcentual del volumen de producción nacional de ganado ovino respecto de la suma del consumo intermedio, consumo final, formación bruta de capital fijo y variación de existencias (mercado interno)"/>
    <m/>
    <s v="Volumen de producción de ganado ovino del j - esimo año"/>
    <s v="Instituto Nacional de Estadística y Observatorio Agroambiental y Productivo"/>
    <s v="Suma del consumo intermedio, consumo final, formación bruta de capital  y variación de existencias del ganado ovino del j - esimo año"/>
    <s v="Instituto Nacional de Estadística"/>
    <n v="2010"/>
    <m/>
    <n v="1"/>
    <s v="050514211"/>
    <s v="INE"/>
    <s v="INE"/>
    <s v="Encuesta, censo y registros administrativos"/>
    <s v="Anual"/>
    <s v="Se dispone las variables de producción, importaciones, exportaciones, consumo intermedio, consumo final, formación bruta de capital fijo y  variación de existencias de ganado ovino"/>
    <n v="2015"/>
    <n v="100"/>
    <s v="Se ha incrementado de forma significativa la participación de la producción nacional en el mercado interno y masificado la distribución de alimentos estratégicos para la población con calidad a peso y precio justo."/>
    <m/>
    <m/>
    <n v="5"/>
    <m/>
    <n v="0.99919999999999998"/>
    <m/>
    <m/>
    <s v="Se ha incrementado de forma significativa la participación de la producción nacional en el mercado interno y masificado la distribución de alimentos estratégicos para la población con calidad a peso y precio justo."/>
    <n v="0.99980000000000002"/>
    <m/>
    <m/>
    <m/>
    <m/>
    <m/>
    <m/>
    <m/>
    <m/>
    <m/>
    <m/>
    <m/>
    <m/>
    <m/>
    <m/>
    <m/>
    <m/>
    <m/>
    <m/>
    <m/>
    <m/>
    <m/>
    <m/>
    <m/>
    <m/>
    <m/>
    <m/>
    <m/>
  </r>
  <r>
    <x v="24"/>
    <m/>
    <x v="15"/>
    <s v="Soberanía comunitaria, financiera, sin servilismo al capitalismo financiero"/>
    <s v="0505"/>
    <s v="Mercados justos."/>
    <n v="1"/>
    <s v="5.5.1"/>
    <n v="142"/>
    <s v="5.5.144"/>
    <s v="0505142"/>
    <s v="Se ha incrementado de forma significativa la participación de la producción nacional en el mercado interno y masificado la distribución de alimentos estratégicos para la población con calidad a peso y precio justo."/>
    <s v="Comunidad y Finanzas"/>
    <s v="Mercados Justos"/>
    <s v="Resultado"/>
    <s v="Económica"/>
    <s v="Mercados Justos"/>
    <n v="1"/>
    <n v="1"/>
    <s v="RS"/>
    <m/>
    <n v="1"/>
    <m/>
    <n v="5.2631578947368425"/>
    <n v="1"/>
    <n v="0"/>
    <s v="Etapa 1"/>
    <n v="1"/>
    <n v="2"/>
    <s v="2.c Adoptar medidas para asegurar el buen funcionamiento de los mercados de productos básicos alimentarios y sus derivados y facilitar el acceso oportuno a la información sobre los mercados, incluso sobre las reservas de alimentos, a fin de ayudar a limitar la extrema volatilidad de los precios de los alimentos"/>
    <s v="2.c.1* Indicador de anomalías en los precios (de los alimentos)"/>
    <m/>
    <x v="0"/>
    <m/>
    <n v="1"/>
    <s v="05051421"/>
    <x v="279"/>
    <s v="Proceso"/>
    <s v="Eficacia: Miden nivel de cumplimiento de los objetivos"/>
    <s v="Nacional"/>
    <s v="Porcentaje"/>
    <s v="Corresponde a la participación porcentual del volumen de producción nacional de ganado caprino respecto de la suma del consumo intermedio, consumo final, formación bruta de capital fijo y variación de existencias (mercado interno)"/>
    <m/>
    <s v="Volumen de producción de ganado caprino del j - esimo año"/>
    <s v="Instituto Nacional de Estadística y Observatorio Agroambiental y Productivo"/>
    <s v="Suma del consumo intermedio, consumo final, formación bruta de capital  y variación de existencias del ganado caprino del j - esimo año"/>
    <s v="Instituto Nacional de Estadística"/>
    <n v="2010"/>
    <m/>
    <n v="1"/>
    <s v="050514211"/>
    <s v="INE"/>
    <s v="INE"/>
    <s v="Encuesta, censo y registros administrativos"/>
    <s v="Anual"/>
    <s v="Se dispone las variables de producción, importaciones, exportaciones, consumo intermedio, consumo final, formación bruta de capital fijo y  variación de existencias de ganado caprino"/>
    <n v="2015"/>
    <n v="100"/>
    <s v="Se ha incrementado de forma significativa la participación de la producción nacional en el mercado interno y masificado la distribución de alimentos estratégicos para la población con calidad a peso y precio justo."/>
    <m/>
    <m/>
    <n v="5"/>
    <m/>
    <n v="1"/>
    <m/>
    <m/>
    <s v="Se ha incrementado de forma significativa la participación de la producción nacional en el mercado interno y masificado la distribución de alimentos estratégicos para la población con calidad a peso y precio justo."/>
    <n v="1"/>
    <m/>
    <m/>
    <m/>
    <m/>
    <m/>
    <m/>
    <m/>
    <m/>
    <m/>
    <m/>
    <m/>
    <m/>
    <m/>
    <m/>
    <m/>
    <m/>
    <m/>
    <m/>
    <m/>
    <m/>
    <m/>
    <m/>
    <m/>
    <m/>
    <m/>
    <m/>
    <m/>
  </r>
  <r>
    <x v="24"/>
    <m/>
    <x v="15"/>
    <s v="Soberanía comunitaria, financiera, sin servilismo al capitalismo financiero"/>
    <s v="0505"/>
    <s v="Mercados justos."/>
    <n v="1"/>
    <s v="5.5.1"/>
    <n v="142"/>
    <s v="5.5.144"/>
    <s v="0505142"/>
    <s v="Se ha incrementado de forma significativa la participación de la producción nacional en el mercado interno y masificado la distribución de alimentos estratégicos para la población con calidad a peso y precio justo."/>
    <s v="Comunidad y Finanzas"/>
    <s v="Mercados Justos"/>
    <s v="Resultado"/>
    <s v="Económica"/>
    <s v="Mercados Justos"/>
    <n v="1"/>
    <n v="1"/>
    <s v="RS"/>
    <m/>
    <n v="1"/>
    <m/>
    <m/>
    <n v="1"/>
    <n v="0"/>
    <s v="Etapa 1"/>
    <n v="1"/>
    <n v="2"/>
    <s v="2.c Adoptar medidas para asegurar el buen funcionamiento de los mercados de productos básicos alimentarios y sus derivados y facilitar el acceso oportuno a la información sobre los mercados, incluso sobre las reservas de alimentos, a fin de ayudar a limitar la extrema volatilidad de los precios de los alimentos"/>
    <s v="2.c.1* Indicador de anomalías en los precios (de los alimentos)"/>
    <m/>
    <x v="0"/>
    <m/>
    <n v="1"/>
    <s v="05051421"/>
    <x v="280"/>
    <s v="Proceso"/>
    <s v="Eficacia: Miden nivel de cumplimiento de los objetivos"/>
    <s v="Nacional"/>
    <s v="Porcentaje"/>
    <s v="Corresponde a la participación porcentual del volumen de producción nacional de ganado porcino respecto de la suma del consumo intermedio, consumo final, formación bruta de capital fijo y variación de existencias (mercado interno)"/>
    <m/>
    <s v="Volumen de producción de ganado porcino del j - esimo año"/>
    <s v="Instituto Nacional de Estadística y Observatorio Agroambiental y Productivo"/>
    <s v="Suma del consumo intermedio, consumo final, formación bruta de capital  y variación de existencias del ganado porcino del j - esimo año"/>
    <s v="Instituto Nacional de Estadística"/>
    <n v="2010"/>
    <m/>
    <n v="1"/>
    <s v="050514211"/>
    <s v="INE"/>
    <s v="INE"/>
    <s v="Encuesta, censo y registros administrativos"/>
    <s v="Anual"/>
    <s v="Se dispone las variables de producción, importaciones, exportaciones, consumo intermedio, consumo final, formación bruta de capital fijo y  variación de existencias de ganado porcino"/>
    <s v="Nacional"/>
    <s v="Nacional "/>
    <s v="Producción, importaciones, consumo intermedio, consumo final, formación bruta de capital fijo y variación de existencias"/>
    <m/>
    <s v="Ministerio de Planificación del Desarrollo "/>
    <s v="Instituto Nacional de Estadísticas - INE"/>
    <s v="Cuentas Nacionales"/>
    <n v="2222333"/>
    <n v="2015"/>
    <n v="0.99890000000000001"/>
    <s v="Se ha incrementado de forma significativa la participación de la producción nacional en el mercado interno y masificado la distribución de alimentos estratégicos para la población con calidad a peso y precio justo."/>
    <m/>
    <m/>
    <n v="5"/>
    <m/>
    <n v="0.99809999999999999"/>
    <m/>
    <m/>
    <m/>
    <n v="0.99670000000000003"/>
    <m/>
    <m/>
    <m/>
    <m/>
    <m/>
    <m/>
    <m/>
    <m/>
    <m/>
    <m/>
    <m/>
    <m/>
    <m/>
    <m/>
    <m/>
    <m/>
    <m/>
    <m/>
    <m/>
  </r>
  <r>
    <x v="24"/>
    <m/>
    <x v="15"/>
    <s v="Soberanía comunitaria, financiera, sin servilismo al capitalismo financiero"/>
    <s v="0505"/>
    <s v="Mercados justos."/>
    <n v="1"/>
    <s v="5.5.1"/>
    <n v="142"/>
    <s v="5.5.144"/>
    <s v="0505142"/>
    <s v="Se ha incrementado de forma significativa la participación de la producción nacional en el mercado interno y masificado la distribución de alimentos estratégicos para la población con calidad a peso y precio justo."/>
    <s v="Comunidad y Finanzas"/>
    <s v="Mercados Justos"/>
    <s v="Resultado"/>
    <s v="Económica"/>
    <s v="Mercados Justos"/>
    <n v="1"/>
    <n v="1"/>
    <s v="RS"/>
    <m/>
    <n v="1"/>
    <m/>
    <m/>
    <n v="1"/>
    <n v="0"/>
    <s v="Etapa 1"/>
    <n v="1"/>
    <n v="2"/>
    <s v="2.c Adoptar medidas para asegurar el buen funcionamiento de los mercados de productos básicos alimentarios y sus derivados y facilitar el acceso oportuno a la información sobre los mercados, incluso sobre las reservas de alimentos, a fin de ayudar a limitar la extrema volatilidad de los precios de los alimentos"/>
    <s v="2.c.1* Indicador de anomalías en los precios (de los alimentos)"/>
    <m/>
    <x v="0"/>
    <m/>
    <n v="1"/>
    <s v="05051421"/>
    <x v="281"/>
    <s v="Proceso"/>
    <s v="Eficacia: Miden nivel de cumplimiento de los objetivos"/>
    <s v="Nacional"/>
    <s v="Porcentaje"/>
    <s v="Corresponde a la participación porcentual del volumen de producción nacional de llamas respecto de la suma del consumo intermedio, consumo final, formación bruta de capital fijo y variación de existencias (mercado interno)"/>
    <m/>
    <s v="Volumen de producción de  llamas del j - esimo año"/>
    <s v="Instituto Nacional de Estadística y Observatorio Agroambiental y Productivo"/>
    <s v="Suma del consumo intermedio, consumo final, formación bruta de capital  y variación de existencias de llamas del j - esimo año"/>
    <s v="Instituto Nacional de Estadística"/>
    <n v="2010"/>
    <m/>
    <n v="1"/>
    <s v="050514211"/>
    <s v="INE"/>
    <s v="INE"/>
    <s v="Encuesta, censo y registros administrativos"/>
    <s v="Anual"/>
    <s v="Se dispone las variables de producción, importaciones, exportaciones, consumo intermedio, consumo final, formación bruta de capital fijo y  variación de existencias de llamas"/>
    <s v="Nacional"/>
    <s v="Nacional "/>
    <s v="Producción, importaciones, consumo intermedio, consumo final, formación bruta de capital fijo y variación de existencias"/>
    <m/>
    <s v="Ministerio de Planificación del Desarrollo "/>
    <s v="Instituto Nacional de Estadísticas - INE"/>
    <s v="Cuentas Nacionales"/>
    <n v="2222333"/>
    <n v="2015"/>
    <n v="1"/>
    <s v="Se ha incrementado de forma significativa la participación de la producción nacional en el mercado interno y masificado la distribución de alimentos estratégicos para la población con calidad a peso y precio justo."/>
    <m/>
    <m/>
    <n v="5"/>
    <m/>
    <n v="1"/>
    <m/>
    <m/>
    <m/>
    <n v="1"/>
    <m/>
    <m/>
    <m/>
    <m/>
    <m/>
    <m/>
    <m/>
    <m/>
    <m/>
    <m/>
    <m/>
    <m/>
    <m/>
    <m/>
    <m/>
    <m/>
    <m/>
    <m/>
    <m/>
  </r>
  <r>
    <x v="24"/>
    <m/>
    <x v="15"/>
    <s v="Soberanía comunitaria, financiera, sin servilismo al capitalismo financiero"/>
    <s v="0505"/>
    <s v="Mercados justos."/>
    <n v="1"/>
    <s v="5.5.1"/>
    <n v="142"/>
    <s v="5.5.144"/>
    <s v="0505142"/>
    <s v="Se ha incrementado de forma significativa la participación de la producción nacional en el mercado interno y masificado la distribución de alimentos estratégicos para la población con calidad a peso y precio justo."/>
    <s v="Comunidad y Finanzas"/>
    <s v="Mercados Justos"/>
    <s v="Resultado"/>
    <s v="Económica"/>
    <s v="Mercados Justos"/>
    <n v="1"/>
    <n v="1"/>
    <s v="RS"/>
    <m/>
    <n v="1"/>
    <m/>
    <m/>
    <n v="1"/>
    <n v="0"/>
    <s v="Etapa 1"/>
    <n v="1"/>
    <n v="2"/>
    <s v="2.c Adoptar medidas para asegurar el buen funcionamiento de los mercados de productos básicos alimentarios y sus derivados y facilitar el acceso oportuno a la información sobre los mercados, incluso sobre las reservas de alimentos, a fin de ayudar a limitar la extrema volatilidad de los precios de los alimentos"/>
    <s v="2.c.1* Indicador de anomalías en los precios (de los alimentos)"/>
    <m/>
    <x v="0"/>
    <m/>
    <n v="1"/>
    <s v="05051421"/>
    <x v="282"/>
    <s v="Proceso"/>
    <s v="Eficacia: Miden nivel de cumplimiento de los objetivos"/>
    <s v="Nacional"/>
    <s v="Porcentaje"/>
    <s v="Corresponde a la participación porcentual del volumen de producción nacional de alpacas respecto de la suma del consumo intermedio, consumo final, formación bruta de capital fijo y variación de existencias (mercado interno)"/>
    <m/>
    <s v="Volumen de producción de alpacas del j - esimo año"/>
    <s v="Instituto Nacional de Estadística y Observatorio Agroambiental y Productivo"/>
    <s v="Suma del consumo intermedio, consumo final, formación bruta de capital  y variación de existencias de alpacas del j - esimo año"/>
    <s v="Instituto Nacional de Estadística"/>
    <n v="2010"/>
    <m/>
    <n v="1"/>
    <s v="050514211"/>
    <s v="INE"/>
    <s v="INE"/>
    <s v="Encuesta, censo y registros administrativos"/>
    <s v="Anual"/>
    <s v="Se dispone las variables de producción, importaciones, exportaciones, consumo intermedio, consumo final, formación bruta de capital fijo y  variación de existencias de alpacas"/>
    <s v="Nacional"/>
    <s v="Nacional "/>
    <s v="Producción, importaciones, consumo intermedio, consumo final, formación bruta de capital fijo y variación de existencias"/>
    <m/>
    <s v="Ministerio de Planificación del Desarrollo "/>
    <s v="Instituto Nacional de Estadísticas - INE"/>
    <s v="Cuentas Nacionales"/>
    <n v="2222333"/>
    <n v="2015"/>
    <n v="1"/>
    <s v="Se ha incrementado de forma significativa la participación de la producción nacional en el mercado interno y masificado la distribución de alimentos estratégicos para la población con calidad a peso y precio justo."/>
    <m/>
    <m/>
    <n v="5"/>
    <m/>
    <n v="1"/>
    <m/>
    <m/>
    <m/>
    <n v="1"/>
    <m/>
    <m/>
    <m/>
    <m/>
    <m/>
    <m/>
    <m/>
    <m/>
    <m/>
    <m/>
    <m/>
    <m/>
    <m/>
    <m/>
    <m/>
    <m/>
    <m/>
    <m/>
    <m/>
  </r>
  <r>
    <x v="24"/>
    <m/>
    <x v="15"/>
    <s v="Soberanía comunitaria, financiera, sin servilismo al capitalismo financiero"/>
    <s v="0505"/>
    <s v="Mercados justos."/>
    <n v="1"/>
    <s v="5.5.1"/>
    <n v="142"/>
    <s v="5.5.144"/>
    <s v="0505142"/>
    <s v="Se ha incrementado de forma significativa la participación de la producción nacional en el mercado interno y masificado la distribución de alimentos estratégicos para la población con calidad a peso y precio justo."/>
    <s v="Comunidad y Finanzas"/>
    <s v="Mercados Justos"/>
    <s v="Resultado"/>
    <s v="Económica"/>
    <s v="Mercados Justos"/>
    <n v="1"/>
    <n v="1"/>
    <s v="RS"/>
    <m/>
    <n v="1"/>
    <m/>
    <m/>
    <n v="1"/>
    <n v="0"/>
    <s v="Etapa 1"/>
    <n v="1"/>
    <n v="2"/>
    <s v="2.c Adoptar medidas para asegurar el buen funcionamiento de los mercados de productos básicos alimentarios y sus derivados y facilitar el acceso oportuno a la información sobre los mercados, incluso sobre las reservas de alimentos, a fin de ayudar a limitar la extrema volatilidad de los precios de los alimentos"/>
    <s v="2.c.1* Indicador de anomalías en los precios (de los alimentos)"/>
    <m/>
    <x v="0"/>
    <m/>
    <n v="1"/>
    <s v="05051421"/>
    <x v="283"/>
    <s v="Proceso"/>
    <s v="Eficacia: Miden nivel de cumplimiento de los objetivos"/>
    <s v="Nacional"/>
    <s v="Porcentaje"/>
    <s v="Corresponde a la participación porcentual del volumen de producción nacional de aves respecto de la suma del consumo intermedio, consumo final, formación bruta de capital fijo y variación de existencias (mercado interno)"/>
    <m/>
    <s v="Volumen de producción de  aves del j - esimo año"/>
    <s v="Instituto Nacional de Estadística y Observatorio Agroambiental y Productivo"/>
    <s v="Suma del consumo intermedio, consumo final, formación bruta de capital  y variación de existencias de aves del j - esimo año"/>
    <s v="Instituto Nacional de Estadística"/>
    <n v="2010"/>
    <m/>
    <n v="1"/>
    <s v="050514211"/>
    <s v="INE"/>
    <s v="INE"/>
    <s v="Encuesta, censo y registros administrativos"/>
    <s v="Anual"/>
    <s v="Se dispone las variables de producción, importaciones, exportaciones, consumo intermedio, consumo final, formación bruta de capital fijo y  variación de existencias de aves"/>
    <s v="Nacional"/>
    <s v="Nacional "/>
    <s v="Producción, importaciones, consumo intermedio, consumo final, formación bruta de capital fijo y variación de existencias"/>
    <m/>
    <s v="Ministerio de Planificación del Desarrollo "/>
    <s v="Instituto Nacional de Estadísticas - INE"/>
    <s v="Cuentas Nacionales"/>
    <n v="2222333"/>
    <n v="2015"/>
    <n v="0.98880000000000001"/>
    <s v="Se ha incrementado de forma significativa la participación de la producción nacional en el mercado interno y masificado la distribución de alimentos estratégicos para la población con calidad a peso y precio justo."/>
    <m/>
    <m/>
    <n v="5"/>
    <m/>
    <n v="0.99150000000000005"/>
    <m/>
    <m/>
    <m/>
    <n v="0.9919"/>
    <m/>
    <m/>
    <m/>
    <m/>
    <m/>
    <m/>
    <m/>
    <m/>
    <m/>
    <m/>
    <m/>
    <m/>
    <m/>
    <m/>
    <m/>
    <m/>
    <m/>
    <m/>
    <m/>
  </r>
  <r>
    <x v="24"/>
    <m/>
    <x v="15"/>
    <s v="Soberanía comunitaria, financiera, sin servilismo al capitalismo financiero"/>
    <s v="0505"/>
    <s v="Mercados justos."/>
    <n v="1"/>
    <s v="5.5.3"/>
    <n v="142"/>
    <s v="5.5.142"/>
    <s v="0505142"/>
    <s v="Se ha incrementado de forma significativa la participación de la producción nacional en el mercado interno y masificado la distribución de alimentos estratégicos para la población con calidad a peso y precio justo."/>
    <s v="Comunidad y Finanzas"/>
    <s v="Mercados Justos"/>
    <s v="Producto"/>
    <s v="Económica"/>
    <s v="Mercados Justos"/>
    <n v="1"/>
    <n v="1"/>
    <s v="RS"/>
    <m/>
    <n v="1"/>
    <m/>
    <m/>
    <n v="1"/>
    <n v="0"/>
    <s v="Etapa 1"/>
    <n v="1"/>
    <m/>
    <m/>
    <m/>
    <m/>
    <x v="11"/>
    <m/>
    <n v="1"/>
    <s v="05051421"/>
    <x v="284"/>
    <s v="Producto"/>
    <m/>
    <s v="Área geográfica (departamento, provincia)"/>
    <s v="Número"/>
    <s v="Cuantificación de las unidades económicas que comercializan productos con sello social boliviano"/>
    <s v="Suma del Numero de Unidades Económicas con sello social boliviano"/>
    <s v="Suma del Numero de Unidades Económicas con sello social boliviano"/>
    <s v="Registros de Autorización de uso del sello social boliviano de PROMUEVE BOLIVIA"/>
    <s v="n.a."/>
    <s v="n.a."/>
    <s v="n.a."/>
    <s v="n.a."/>
    <n v="1"/>
    <s v="050514211"/>
    <s v="SSB"/>
    <s v="Sistema de Registro SSB"/>
    <s v="Registro Administrativo"/>
    <s v="Anual"/>
    <n v="2017"/>
    <s v="Nacional"/>
    <s v="Provincial"/>
    <s v="Unidades Economicos Productivas con Sello Social Boliviano._x000a__x000a_Productos de la agricultura familiar sustentable_x000a__x000a__x000a__x000a_"/>
    <s v="El SSB solamente es aplicable a los productos provenientes de la agricultura familiar sustentable._x000a__x000a_Se disponen los datos a partir de Diciembre de 2017._x000a__x000a_Actualmente se dispone de tres municipios registrados. "/>
    <s v="VICEMINISTERIO DE COMERCIO INTERNO DEL MDPyEP"/>
    <s v="VICEMINISTERIO DE COMERCIO INTERNO"/>
    <s v="Unidad de Desarrollo y Promoción de Comercio Interno"/>
    <s v="(591)22372054"/>
    <n v="2015"/>
    <n v="0"/>
    <n v="9000"/>
    <m/>
    <n v="9000"/>
    <n v="5"/>
    <s v="-"/>
    <s v="-"/>
    <s v="-"/>
    <s v="-"/>
    <n v="50"/>
    <n v="10"/>
    <n v="10"/>
    <n v="1.1111111111111111E-3"/>
    <n v="3000"/>
    <n v="1030"/>
    <n v="1030"/>
    <n v="0.11444444444444445"/>
    <n v="3000"/>
    <m/>
    <m/>
    <m/>
    <n v="3000"/>
    <m/>
    <m/>
    <m/>
    <s v="Anual"/>
    <s v="PENDIENTE"/>
    <m/>
    <m/>
    <m/>
  </r>
  <r>
    <x v="24"/>
    <m/>
    <x v="15"/>
    <s v="Soberanía comunitaria, financiera, sin servilismo al capitalismo financiero"/>
    <s v="0505"/>
    <s v="Mercados justos."/>
    <n v="1"/>
    <s v="5.5.3"/>
    <n v="144"/>
    <s v="5.5.144"/>
    <s v="0505142"/>
    <s v="Se ha incrementado de forma significativa la participación de la producción nacional en el mercado interno y masificado la distribución de alimentos estratégicos para la población con calidad a peso y precio justo."/>
    <s v="Comunidad y Finanzas"/>
    <s v="Mercados Justos"/>
    <s v="Proceso"/>
    <s v="Económica"/>
    <s v="Mercados Justos"/>
    <n v="1"/>
    <n v="1"/>
    <s v="RS"/>
    <m/>
    <n v="3"/>
    <m/>
    <m/>
    <n v="0"/>
    <n v="1"/>
    <s v="Etapa 2"/>
    <n v="1"/>
    <m/>
    <m/>
    <m/>
    <m/>
    <x v="11"/>
    <m/>
    <n v="1"/>
    <s v="05051421"/>
    <x v="285"/>
    <s v="Proceso"/>
    <m/>
    <s v="Nacional"/>
    <s v="Familias"/>
    <s v="Cuantificación de las familias  que comercializan productos con sello ecologico boliviano"/>
    <s v="No aplica"/>
    <s v="No Aplica"/>
    <m/>
    <s v="n.a."/>
    <s v="n.a."/>
    <s v="n.a."/>
    <s v="n.a."/>
    <n v="1"/>
    <s v="050514211"/>
    <s v="UC-CNAPE                          SENASAG"/>
    <s v="Unidad de Coordinacion Consejo Nacional de Produccion Ecologica UC-CNAPE                                                                             Servicio Nacional de Sanidad Agropecuaria e Inocuidad Alimentaria SENASAG"/>
    <s v="Registro Administrativo"/>
    <s v="Anual"/>
    <n v="2015"/>
    <s v="Nacional"/>
    <s v="Nacional"/>
    <s v="Familias que comercializan Productos ecologicos  con Sello ecologico Boliviano."/>
    <s v="El UC CNAPE-SENASAG  es aplicable a los productos Ecologica producidos bajo la Norma Tecnica Nacional._x000a__x000a_Registran la UC CNAPE y SENASAG "/>
    <s v="MINISTERIO DE DESARROLLO RURAL Y TIERRAS                             MDRyT"/>
    <s v="VICEMINISTERIO DE DESARROLLO RURAL Y AGROPECUARIO                                   VDRA"/>
    <s v="Unidad de Coordinacion Consejo Nacional de Produccion Ecologica UC-CNAPE                                                                             Servicio Nacional de Sanidad Agropecuaria e Inocuidad Alimentaria SENASAG"/>
    <s v="(591)22414028                          (591)-3-46228105 "/>
    <n v="2015"/>
    <n v="19087"/>
    <m/>
    <m/>
    <m/>
    <n v="5"/>
    <m/>
    <n v="17673"/>
    <m/>
    <m/>
    <m/>
    <n v="13161"/>
    <m/>
    <m/>
    <m/>
    <n v="3144"/>
    <m/>
    <m/>
    <m/>
    <m/>
    <m/>
    <m/>
    <m/>
    <m/>
    <m/>
    <m/>
    <s v="Anual"/>
    <s v="PENDIENTE"/>
    <m/>
    <m/>
    <m/>
  </r>
  <r>
    <x v="24"/>
    <m/>
    <x v="15"/>
    <s v="Soberanía comunitaria, financiera, sin servilismo al capitalismo financiero"/>
    <s v="0505"/>
    <s v="Mercados justos."/>
    <n v="4"/>
    <s v="5.5.4"/>
    <n v="145"/>
    <s v="5.5.145"/>
    <s v="0505145"/>
    <s v="Se han protegido los Derechos del Usuario(a) y del Consumidor(a) incrementándose el número de usuarias(os) y consumidoras(es) atendidos por los centros de defensa."/>
    <s v="Comunidad y Finanzas"/>
    <s v="Mercados Justos"/>
    <s v="Resultado"/>
    <s v="Económica"/>
    <s v="Mercados Justos"/>
    <m/>
    <m/>
    <s v="PC"/>
    <m/>
    <m/>
    <m/>
    <e v="#DIV/0!"/>
    <n v="0"/>
    <n v="1"/>
    <s v="Etapa 2"/>
    <m/>
    <m/>
    <m/>
    <m/>
    <m/>
    <x v="11"/>
    <m/>
    <n v="1"/>
    <s v="05051451"/>
    <x v="286"/>
    <s v="Impacto"/>
    <m/>
    <s v="Nacional"/>
    <s v="Numero"/>
    <s v="Usuarios y Consumidores que acuden a Centros de  Atencion  del  VDDUC, para realizar reclamaciones en busca de una solucion inmediata"/>
    <s v="No aplica"/>
    <s v="No aplica"/>
    <s v="MJTI"/>
    <s v="No aplica"/>
    <s v="No aplica"/>
    <n v="2015"/>
    <s v="Se cuentan con Datos desde Septiembre de 2015"/>
    <n v="1"/>
    <s v="050514511"/>
    <s v="R.A."/>
    <s v="MJTI - VDDUC"/>
    <s v="Registro Administrativo"/>
    <s v="Trimestral "/>
    <s v="2015-2017"/>
    <s v="Nacional"/>
    <s v="Principales Ciudades Capitales de los Departamentos "/>
    <s v="Usuarios y Consumidores finales. _x000a__x000a_"/>
    <s v="MJTI a traves del VDDUC es competente en el sector no regulado_x000a__x000a_Se cuenta con informacion fisica, pero no sistematizada."/>
    <s v=" Ministerio de Justicia y  Transparencia Institucional - MJTI"/>
    <s v="Viceministerio de Defensa de los Derechos de las Usuarias, los Usuarios y de las Consumidoras y los Consumidores - VDDUC."/>
    <s v="Centro de Atencion al Usuario y  Consumidor"/>
    <s v="2141040 Int. 1118"/>
    <n v="2015"/>
    <n v="1591"/>
    <n v="5000"/>
    <m/>
    <n v="3409"/>
    <n v="5"/>
    <n v="1000"/>
    <n v="1664"/>
    <n v="-351"/>
    <n v="0.33279999999999998"/>
    <n v="1000"/>
    <n v="1757"/>
    <n v="-258"/>
    <n v="-7.5682018187151659E-2"/>
    <n v="1000"/>
    <m/>
    <m/>
    <m/>
    <n v="1000"/>
    <m/>
    <m/>
    <m/>
    <n v="5000"/>
    <m/>
    <m/>
    <m/>
    <m/>
    <m/>
    <m/>
    <m/>
    <m/>
  </r>
  <r>
    <x v="24"/>
    <m/>
    <x v="15"/>
    <s v="Soberanía comunitaria, financiera, sin servilismo al capitalismo financiero"/>
    <s v="0505"/>
    <s v="Mercados justos."/>
    <n v="4"/>
    <s v="5.5.4"/>
    <n v="145"/>
    <s v="5.5.145"/>
    <s v="0505145"/>
    <s v="Se han protegido los Derechos del Usuario(a) y del Consumidor(a) incrementándose el número de usuarias(os) y consumidoras(es) atendidos por los centros de defensa."/>
    <m/>
    <m/>
    <s v="Resultado"/>
    <m/>
    <m/>
    <m/>
    <m/>
    <m/>
    <m/>
    <m/>
    <m/>
    <m/>
    <n v="0"/>
    <n v="1"/>
    <s v="Etapa 2"/>
    <m/>
    <m/>
    <m/>
    <m/>
    <m/>
    <x v="11"/>
    <m/>
    <n v="1"/>
    <s v="05051451"/>
    <x v="287"/>
    <s v="Impacto"/>
    <m/>
    <s v="Nacional"/>
    <s v="Numero"/>
    <s v="Reclamaciones solucionadas de los Usuarios y  Consumidores que acuden a los Centros de Atencion del Usuario y Consumidor._x000a_    "/>
    <s v="N° de Reclamaciones solucionadas  _x000a_"/>
    <s v="N° de Reclamaciones solucionadas  _x000a_"/>
    <s v="MJTI"/>
    <s v="No aplica"/>
    <s v="No aplica"/>
    <s v="2017-Enero "/>
    <s v="Datos desde Enero de 2017"/>
    <n v="1"/>
    <s v="050514511"/>
    <s v="R.A."/>
    <s v="MJTI - VDDUC"/>
    <s v="Registro Administrativo"/>
    <s v="Anual"/>
    <s v="2017(Enero)-2018(Diciembre)"/>
    <s v="Nacional"/>
    <s v="Principales Ciudades Capitales de los Departamentos "/>
    <s v="Sector no regulado"/>
    <s v="MJTI a traves del VDDUC es competente en el sector no regulado"/>
    <s v=" Ministerio de Justicia y  Transparencia Institucional - MJTI"/>
    <s v="Viceministerio de Defensa de los Derechos de las Usuarias, los Usuarios y de las Consumidoras y los Consumidores - VDDUC."/>
    <s v="Centro de Atencion al Usuario y  Consumidor"/>
    <s v="2141040 Int. 1118"/>
    <s v="2017(Enero) "/>
    <n v="800"/>
    <n v="4000"/>
    <m/>
    <n v="3200"/>
    <n v="3"/>
    <n v="800"/>
    <m/>
    <m/>
    <m/>
    <n v="800"/>
    <m/>
    <m/>
    <m/>
    <n v="800"/>
    <m/>
    <m/>
    <m/>
    <n v="800"/>
    <m/>
    <m/>
    <m/>
    <n v="800"/>
    <m/>
    <m/>
    <m/>
    <m/>
    <m/>
    <m/>
    <m/>
    <m/>
  </r>
  <r>
    <x v="24"/>
    <m/>
    <x v="15"/>
    <s v="Soberanía comunitaria, financiera, sin servilismo al capitalismo financiero"/>
    <s v="0505"/>
    <s v="Mercados justos."/>
    <n v="4"/>
    <s v="5.5.4"/>
    <n v="145"/>
    <s v="5.5.145"/>
    <s v="0505145"/>
    <s v="Se han protegido los Derechos del Usuario(a) y del Consumidor(a) incrementándose el número de usuarias(os) y consumidoras(es) atendidos por los centros de defensa."/>
    <m/>
    <m/>
    <s v="Resultado"/>
    <m/>
    <m/>
    <m/>
    <m/>
    <m/>
    <m/>
    <m/>
    <m/>
    <m/>
    <n v="0"/>
    <n v="1"/>
    <s v="Etapa 2"/>
    <m/>
    <m/>
    <m/>
    <m/>
    <m/>
    <x v="11"/>
    <m/>
    <n v="1"/>
    <s v="05051451"/>
    <x v="288"/>
    <s v="Proceso"/>
    <m/>
    <s v="Nacional"/>
    <s v="Numero"/>
    <s v="Total Usuarios y  Consumidores protegidos a traves de controles  realizados  a proveedores de productos y servicios. "/>
    <s v="Sumatoria de Usuarios y  Consumidores protegidos a traves de controles  realizados  a proveedores de productos y servicios. "/>
    <s v="Sumatoria de Usuarios y  Consumidores protegidos a traves de controles  realizados  a proveedores de productos y servicios. "/>
    <s v="MJTI"/>
    <s v="No aplica"/>
    <s v="No aplica"/>
    <n v="2015"/>
    <s v="Datos desde Septiembre de 2015"/>
    <n v="1"/>
    <s v="050514511"/>
    <s v="R.A."/>
    <s v="MJTI - VDDUC"/>
    <s v="Registro Administrativo"/>
    <s v="Anual"/>
    <s v="2015 (sept.)-2017(Enero)"/>
    <s v="Nacional"/>
    <s v="Departamental"/>
    <s v="Sector no regulado"/>
    <s v="MJTI a traves del VDDUC es competente en el sector no regulado"/>
    <s v=" Ministerio de Justicia y  Transparencia Institucional - MJTI"/>
    <s v="Viceministerio de Defensa de los Derechos de las Usuarias, los Usuarios y de las Consumidoras y los Consumidores - VDDUC."/>
    <s v="Centro de Atencion al Usuario y  Consumidor"/>
    <s v="2141040 Int. 1118"/>
    <s v="2017(Enero) "/>
    <n v="442"/>
    <n v="600"/>
    <m/>
    <n v="158"/>
    <n v="3"/>
    <n v="120"/>
    <n v="1282"/>
    <n v="840"/>
    <n v="5.3164556962025315E-2"/>
    <n v="120"/>
    <n v="1403"/>
    <n v="961"/>
    <n v="6.0822784810126589E-2"/>
    <n v="120"/>
    <m/>
    <m/>
    <m/>
    <n v="120"/>
    <m/>
    <m/>
    <m/>
    <n v="120"/>
    <m/>
    <m/>
    <m/>
    <m/>
    <m/>
    <m/>
    <m/>
    <m/>
  </r>
  <r>
    <x v="25"/>
    <m/>
    <x v="0"/>
    <s v="Universalización de los servicios básicos"/>
    <s v="0205"/>
    <s v="El 100% de las bolivianas y los bolivianos acceden a viviendas dignas con servicios básicos."/>
    <n v="1"/>
    <s v="2.5.1"/>
    <n v="70"/>
    <s v="2.5.70"/>
    <s v="0205070"/>
    <s v="Se ha reducido al menos 10% del déficit habitacional del país."/>
    <s v="Servicios Básicos"/>
    <s v="Vivienda"/>
    <s v="Resultado"/>
    <s v="Social"/>
    <s v="Vivienda"/>
    <n v="1"/>
    <m/>
    <s v="RS"/>
    <m/>
    <m/>
    <s v="MOPSV"/>
    <e v="#DIV/0!"/>
    <n v="1"/>
    <n v="0"/>
    <s v="Etapa 1"/>
    <n v="1"/>
    <n v="11"/>
    <s v="11.1 De aquí a 2030, asegurar el acceso de todas las personas a viviendas y servicios básicos adecuados, seguros y asequibles y mejorar los barrios marginales"/>
    <s v="11.1.1 Proporción de la población urbana que vive en barrios marginales, asentamientos improvisados o viviendas inadecuadas"/>
    <s v="El déficit de vivienda aproxima la cantidad de hogares con carencia de vivienda o que habitan viviendas inadecuadas "/>
    <x v="0"/>
    <m/>
    <n v="1"/>
    <s v="02050701"/>
    <x v="289"/>
    <s v="Impacto"/>
    <m/>
    <s v="Nacional, departamental"/>
    <s v="porcentaje"/>
    <s v="Es la suma del déficit cuantitativo y déficit cualitativo. _x000a_Déficit cuantitativo: proporción de hogares allegados y que habitan viviendas irrecuperales_x000a_Déficit cualitativo: proporcion de hogares que habitan en viviendas con carencias o insatisfacciones en servicos básicos y espacio disponble. "/>
    <s v="Número de hogares con déficit cuantitativo y déficit cualitativo / Total de hogares * 100"/>
    <s v="Número de hogares con déficit cuantitativo y déficit cualitativo"/>
    <s v="Encuesta de Hogares"/>
    <s v="Total de hogares"/>
    <s v="INE"/>
    <s v="2016-2017"/>
    <s v="Dato Preliminar del año 2017 actualizada hasta Marzo/2018."/>
    <n v="1"/>
    <s v="020507011"/>
    <s v="EH"/>
    <s v="Encuestas Hogares"/>
    <s v="Encuestas"/>
    <s v="Anual"/>
    <s v="2016-2017"/>
    <s v="Nacional"/>
    <s v="Departamento"/>
    <s v="Caracteristicas de la vivienda"/>
    <s v="Serie disponible con el factor actualizado sólo desde 2011_x000a_Representatividad departamental de los datos desde 2011."/>
    <s v="RInstituto Nacional de Estadística (INE)"/>
    <m/>
    <s v="Dirección de Estadísticas e Indicadores Económicos y Sociales; _x000a_Unidad de Estadísticas e Indicadores Sociales"/>
    <s v="2222333 INT 147"/>
    <n v="2015"/>
    <n v="0.48980000000000001"/>
    <n v="0.38979999999999998"/>
    <m/>
    <n v="-10.000000000000004"/>
    <n v="5"/>
    <n v="0.4698"/>
    <n v="0.49440000000000001"/>
    <n v="0.4599999999999993"/>
    <n v="-4.5999999999999916E-2"/>
    <n v="0.44979999999999998"/>
    <n v="0.45739999999999997"/>
    <n v="-3.2400000000000038"/>
    <n v="0.32400000000000029"/>
    <n v="0.42979999999999996"/>
    <m/>
    <n v="-48.980000000000004"/>
    <n v="4.8979999999999988"/>
    <n v="0.4098"/>
    <m/>
    <n v="-48.980000000000004"/>
    <n v="4.8979999999999988"/>
    <n v="0.38979999999999998"/>
    <m/>
    <n v="-48.980000000000004"/>
    <n v="4.8979999999999988"/>
    <m/>
    <m/>
    <m/>
    <m/>
    <m/>
  </r>
  <r>
    <x v="25"/>
    <m/>
    <x v="0"/>
    <s v="Universalización de los servicios básicos"/>
    <s v="0205"/>
    <s v="El 100% de las bolivianas y los bolivianos acceden a viviendas dignas con servicios básicos."/>
    <n v="2"/>
    <s v="2.5.2"/>
    <n v="71"/>
    <s v="2.5.71"/>
    <s v="0205071"/>
    <s v="Se han construido 51.290 viviendas nuevas: unifamiliares, multifamiliares y complejos habitacionales, así como reposición por atención de desastres."/>
    <s v="Servicios Básicos"/>
    <s v="Vivienda"/>
    <s v="Producto"/>
    <s v="Social"/>
    <s v="Vivienda"/>
    <n v="1"/>
    <m/>
    <s v="PD"/>
    <m/>
    <m/>
    <m/>
    <e v="#DIV/0!"/>
    <n v="0"/>
    <n v="1"/>
    <s v="Etapa 1"/>
    <m/>
    <n v="11"/>
    <s v="11.1 De aquí a 2030, asegurar el acceso de todas las personas a viviendas y servicios básicos adecuados, seguros y asequibles y mejorar los barrios marginales"/>
    <s v="11.1.1 Proporción de la población urbana que vive en barrios marginales, asentamientos improvisados o viviendas inadecuadas"/>
    <m/>
    <x v="1"/>
    <m/>
    <n v="1"/>
    <s v="02050711"/>
    <x v="290"/>
    <s v="Producto"/>
    <m/>
    <s v="Nacional, departamental"/>
    <s v="Número de viviendas"/>
    <s v="Es el número de viviendas de dotación estatal construidas destinadas a población de menores ingresos, vulnerables del área rural y urbana, en el marco de Constitución Política del Estado Art. 19, que establece que toda persona tiene derecho a un hábitat y vivienda adecuada, que dignifique la vida familiar y comunitaria a través de planes, programas y proyectos del Gobierno Central en coordinación con las Entidades Territoriales Autónomas."/>
    <s v="N° de viviendas nuevas construidas"/>
    <s v="Numero de viviendas nuevas construidas "/>
    <s v="AEVIVIENDA"/>
    <m/>
    <m/>
    <s v="2006-2017"/>
    <s v="Dato consolidado hasta la gestion 2017"/>
    <n v="1"/>
    <s v="020507111"/>
    <s v="AEVIVIENDA"/>
    <s v="Agencia Estatal de Vivienda"/>
    <s v="Registro Administrativo"/>
    <s v="Anual"/>
    <s v="2006-2017"/>
    <s v="Nacional, "/>
    <s v="Departamento- Municipio"/>
    <s v="Las viviendas nuevas construidas son unifamiliares, multifamiliares y complejos habitacionales, asi como reposicion por atencion de desastres naturales, en area rural y area urbana."/>
    <s v="Existen varias modalidades de acceso para vivienda nueva"/>
    <s v="AGENCIA ESTATAL DE VIVIENDA - AEVIVIENDA "/>
    <s v="VICEMINISTERIO DE VIVIENDA Y URBANISMO - VMVU"/>
    <s v="Dirección General de Vivienda y Urbanismo - DGVU"/>
    <s v="2119999 int 404"/>
    <d v="2015-12-31T00:00:00"/>
    <n v="0"/>
    <n v="51290"/>
    <m/>
    <n v="51290"/>
    <n v="5"/>
    <n v="10258"/>
    <n v="3138"/>
    <n v="3138"/>
    <n v="6.1181516864885946E-2"/>
    <n v="20516"/>
    <n v="2933"/>
    <n v="2933"/>
    <n v="5.7184636381360891E-2"/>
    <n v="30774"/>
    <m/>
    <n v="0"/>
    <n v="0"/>
    <n v="41032"/>
    <m/>
    <n v="0"/>
    <n v="0"/>
    <n v="51290"/>
    <m/>
    <n v="0"/>
    <n v="0"/>
    <m/>
    <m/>
    <m/>
    <m/>
    <m/>
  </r>
  <r>
    <x v="25"/>
    <m/>
    <x v="0"/>
    <s v="Universalización de los servicios básicos"/>
    <s v="0205"/>
    <s v="El 100% de las bolivianas y los bolivianos acceden a viviendas dignas con servicios básicos."/>
    <n v="3"/>
    <s v="2.5.3"/>
    <n v="72"/>
    <s v="2.5.72"/>
    <s v="0205072"/>
    <s v="Se han mejorado, ampliado y/o renovado 63.710 viviendas con eficiencia energética."/>
    <s v="Servicios Básicos"/>
    <s v="Vivienda"/>
    <s v="Producto"/>
    <s v="Social"/>
    <s v="Vivienda"/>
    <n v="1"/>
    <m/>
    <s v="PD"/>
    <m/>
    <m/>
    <m/>
    <e v="#DIV/0!"/>
    <n v="0"/>
    <n v="1"/>
    <s v="Etapa 1"/>
    <m/>
    <n v="11"/>
    <s v="11.1 De aquí a 2030, asegurar el acceso de todas las personas a viviendas y servicios básicos adecuados, seguros y asequibles y mejorar los barrios marginales"/>
    <s v="11.1.1 Proporción de la población urbana que vive en barrios marginales, asentamientos improvisados o viviendas inadecuadas"/>
    <m/>
    <x v="1"/>
    <m/>
    <n v="1"/>
    <s v="02050721"/>
    <x v="291"/>
    <s v="Producto"/>
    <m/>
    <s v="Nacional, departamental"/>
    <s v="Número de viviendas"/>
    <s v="Es el número de viviendas de dotación estatal mejoradas y ampliadas y/o ampliadas destinadas a población de menores ingresos, vulnerables y en condición de hacinamiento del área rural y urbana, en el marco de Constitución Política del Estado Art. 19, que establece que toda persona tiene derecho a un hábitat y vivienda adecuada, que dignifique la vida familiar y comunitaria a través de planes, programas y proyectos del Gobierno Central en coordinación con las Entidades Territoriales Autónomas."/>
    <s v="N° de viviendas mejoradas, ampliadas y/o renovadas "/>
    <s v="Numero de viviendas mejoradas, ampliadas y/o renovadas"/>
    <s v="AEVIVIENDA"/>
    <m/>
    <m/>
    <s v="2006-2017"/>
    <s v="Dato consolidado hasta la gestion 2017"/>
    <n v="1"/>
    <s v="020507211"/>
    <s v="AEVIVIENDA"/>
    <s v="Agencia Estatal de Vivienda"/>
    <s v="Registro Administrativo"/>
    <s v="Anual"/>
    <s v="2006-2017"/>
    <s v="Nacional"/>
    <s v="Departamento- Municipio"/>
    <s v="Las viviendas mejoradas, ampliadas y/o renovadas, son bajo la modalidad de autoconstrucion asistida tanto en el area rural  y urbana"/>
    <s v="Las viviendas son bajo la modalidad de autoconstruccion"/>
    <s v="AGENCIA ESTATAL DE VIVIENDA - AEVIVIENDA "/>
    <s v="VICEMINISTERIO DE VIVIENDA Y URBANISMO - VMVU"/>
    <s v="Dirección General de Vivienda y Urbanismo - DGVU"/>
    <s v="2119999 int 404"/>
    <d v="2015-12-31T00:00:00"/>
    <n v="0"/>
    <n v="63710"/>
    <m/>
    <n v="63710"/>
    <n v="5"/>
    <n v="12742"/>
    <n v="11622"/>
    <n v="11622"/>
    <n v="0.18242034217548267"/>
    <n v="25484"/>
    <n v="23878"/>
    <n v="23878"/>
    <n v="0.37479202636948672"/>
    <n v="38226"/>
    <m/>
    <n v="0"/>
    <n v="0"/>
    <n v="50968"/>
    <m/>
    <n v="0"/>
    <n v="0"/>
    <n v="63710"/>
    <m/>
    <n v="0"/>
    <n v="0"/>
    <m/>
    <m/>
    <m/>
    <m/>
    <m/>
  </r>
  <r>
    <x v="25"/>
    <s v="ODS"/>
    <x v="3"/>
    <m/>
    <m/>
    <m/>
    <m/>
    <m/>
    <m/>
    <m/>
    <m/>
    <m/>
    <m/>
    <m/>
    <m/>
    <m/>
    <m/>
    <m/>
    <m/>
    <m/>
    <m/>
    <m/>
    <m/>
    <m/>
    <m/>
    <m/>
    <s v="Etapa 1"/>
    <m/>
    <n v="11"/>
    <s v="11.1 De aquí a 2030, asegurar el acceso de todas las personas a viviendas y servicios básicos adecuados, seguros y asequibles y mejorar los barrios marginales"/>
    <s v="11.1.1 Proporción de la población urbana que vive en barrios marginales, asentamientos improvisados o viviendas inadecuadas"/>
    <m/>
    <x v="7"/>
    <m/>
    <m/>
    <m/>
    <x v="292"/>
    <s v="Impacto"/>
    <m/>
    <s v="Nacional, Departamental (Uniendo Beni y Pando, a partir de 2011), Urbano-Rural. "/>
    <s v="Porcentaje"/>
    <s v="El indicador identifica a los hogares con vivienda propia, como porcentaje del total de viviendas particulares con ocupantes presentes. La condición de tenencia de la vivienda comprende las categorías: a) propia y totalmente pagada; b) propia y la están pagando."/>
    <m/>
    <s v="Número de hogares con vivienda  i._x000a_donde i es el tipo de tenencia:  a) propia y totalmente pagada; b) propia y la estan pagando"/>
    <s v="Encuesta de Hogares"/>
    <s v="Total de hogares en viviendas particulares"/>
    <s v="Encuesta de Hogares"/>
    <s v="2005-2017"/>
    <s v="Dato Preliminar del año 2017 actualizada hasta Marzo/2018._x000a__x000a_Se utilizará como línea de base el dato 2016 debido a que el dato 2015 no presenta un comportamiento regular"/>
    <m/>
    <m/>
    <s v="EH"/>
    <s v="Encuestas Hogares"/>
    <s v="Encuestas"/>
    <s v="Anual"/>
    <s v="2005-2017"/>
    <s v="Nacional"/>
    <s v="Departamento"/>
    <s v="Caracteristicas de la vivienda"/>
    <s v="Serie disponible con el factor actualizado sólo desde 2011_x000a_Representatividad departamental de los datos desde 2011."/>
    <s v="Instituto Nacional de Estadística (INE)"/>
    <m/>
    <s v="Dirección de Estadísticas e Indicadores Económicos y Sociales; _x000a_Unidad de Estadísticas e Indicadores Sociales"/>
    <s v="2222333 INT 147"/>
    <n v="2016"/>
    <n v="0.63177845290955803"/>
    <m/>
    <m/>
    <n v="-0.63177845290955803"/>
    <n v="5"/>
    <m/>
    <n v="0.63177845290955803"/>
    <n v="0"/>
    <m/>
    <m/>
    <n v="0.63846412623711601"/>
    <n v="0.66856733275579838"/>
    <m/>
    <m/>
    <m/>
    <n v="-63.177845290955801"/>
    <m/>
    <m/>
    <m/>
    <n v="-63.177845290955801"/>
    <m/>
    <m/>
    <m/>
    <n v="-63.177845290955801"/>
    <m/>
    <m/>
    <m/>
    <m/>
    <m/>
    <m/>
  </r>
  <r>
    <x v="25"/>
    <s v="ODS"/>
    <x v="3"/>
    <m/>
    <m/>
    <m/>
    <m/>
    <m/>
    <m/>
    <m/>
    <m/>
    <m/>
    <m/>
    <m/>
    <m/>
    <m/>
    <m/>
    <m/>
    <m/>
    <m/>
    <m/>
    <m/>
    <m/>
    <m/>
    <m/>
    <m/>
    <s v="Etapa 1"/>
    <m/>
    <n v="11"/>
    <s v="11.1 De aquí a 2030, asegurar el acceso de todas las personas a viviendas y servicios básicos adecuados, seguros y asequibles y mejorar los barrios marginales"/>
    <s v="11.1.1 Proporción de la población urbana que vive en barrios marginales, asentamientos improvisados o viviendas inadecuadas"/>
    <m/>
    <x v="7"/>
    <m/>
    <m/>
    <m/>
    <x v="293"/>
    <s v="Impacto"/>
    <m/>
    <s v="Nacional, Departamental (Uniendo Beni y Pando, a partir de 2011), Urbano-Rural. "/>
    <s v="Porcentaje"/>
    <s v="El indicador identifica a los hogares que ocupan o habitan una vivienda inadecuada como porcentaje del total de viviendas particulares con ocupantes presentes. El tipo de vivienda inadecuada comprende: a) habitaciones sueltas; b) vivienda improvisada o vivienda móvil; c) Local no destinado para habitacion."/>
    <m/>
    <s v="Número de hogares con vivienda  i._x000a_donde i es el tipo de vivienda: a) habitaciones sueltas; b) viviendas improvisadas o vivienda móvil; c) local no destinado para habitacion"/>
    <s v="Encuesta de Hogares"/>
    <s v="Total de hogares en viviendas particulares"/>
    <s v="Encuesta de Hogares"/>
    <s v="2005-2017"/>
    <s v="Dato Preliminar del año 2017 actualizada hasta Marzo/2018."/>
    <m/>
    <m/>
    <s v="EH"/>
    <s v="Encuestas Hogares"/>
    <s v="Encuestas"/>
    <s v="Anual"/>
    <s v="2005-2017"/>
    <s v="Nacional"/>
    <s v="Departamento"/>
    <s v="Caracteristicas de la vivienda"/>
    <s v="Serie disponible con el factor actualizado sólo desde 2011_x000a_Representatividad departamental de los datos desde 2011"/>
    <s v="Instituto Nacional de Estadística (INE); _x000a_"/>
    <m/>
    <s v="Dirección de Estadísticas e Indicadores Económicos y Sociales; _x000a_Unidad de Estadísticas e Indicadores Sociales"/>
    <s v="2222333 INT 147"/>
    <n v="2015"/>
    <n v="0.172226443605037"/>
    <m/>
    <m/>
    <n v="-0.172226443605037"/>
    <n v="5"/>
    <m/>
    <n v="0.19492467087325699"/>
    <n v="2.269822726821999"/>
    <m/>
    <m/>
    <n v="0.15654874760165399"/>
    <n v="-1.5677696003383006"/>
    <m/>
    <m/>
    <m/>
    <n v="-17.222644360503701"/>
    <m/>
    <m/>
    <m/>
    <n v="-17.222644360503701"/>
    <m/>
    <m/>
    <m/>
    <n v="-17.222644360503701"/>
    <m/>
    <m/>
    <m/>
    <m/>
    <m/>
    <m/>
  </r>
  <r>
    <x v="26"/>
    <s v="*"/>
    <x v="12"/>
    <s v="Erradicación de la extrema pobreza"/>
    <s v="0104"/>
    <s v="Combatir la discriminación y el racismo."/>
    <n v="1"/>
    <s v="1.4.1"/>
    <n v="24"/>
    <s v="1.4.24"/>
    <s v="0104024"/>
    <s v="Se ha avanzado sustancialmente en la reducción de la violencia escolar en centros educativos y en la erradicación de toda forma de abuso, agresión, acoso y violencia por discriminación y racismo en instituciones públicas, privadas y centros laborales."/>
    <s v="Pobreza Espiritual"/>
    <s v="Ser humano integral"/>
    <s v="Resultado"/>
    <s v="Cultural y Afectiva"/>
    <s v="Justicia"/>
    <n v="1"/>
    <n v="1"/>
    <s v="RS"/>
    <m/>
    <n v="1"/>
    <s v="Educación_x000a_M.Justicia_x000a_M.Culturas y Turismo"/>
    <e v="#DIV/0!"/>
    <n v="1"/>
    <n v="0"/>
    <s v="ETAPA 3"/>
    <m/>
    <m/>
    <m/>
    <m/>
    <m/>
    <x v="1"/>
    <m/>
    <n v="1"/>
    <s v="01040241"/>
    <x v="294"/>
    <s v="Proceso"/>
    <m/>
    <s v="Nacional"/>
    <s v="Número"/>
    <s v="Es el número de unidades educativas que desarrollan eventos (talleres, ferias, charlas, reuniones) que contengan la temática de prevención de violencia"/>
    <s v="UEE"/>
    <s v="UEE: Undidades educativas que desarrollan eventos que contengan la temática de prevención de violencia "/>
    <s v="Ministerio de Educación"/>
    <s v="---"/>
    <s v="---"/>
    <s v="2015-2017"/>
    <s v="El dato presentado se registra de forma anual (no es acumulado) y debe interpretarse de la misma forma"/>
    <n v="1"/>
    <s v="010402411"/>
    <s v="UPIIP - ME"/>
    <s v="Unidad de Politicas de Intraculturalidad Interculturalidad y Plurilinguismo - Ministero de Edcuación"/>
    <s v="Registro Administrativo"/>
    <s v="Anual"/>
    <s v="2015-2017"/>
    <s v="Nacional"/>
    <s v="Nacional"/>
    <s v="Unidades Educativas que desarrollan eventos que contengan la temática de prevención de violencia"/>
    <m/>
    <s v="Ministerio de Educación -ME"/>
    <s v="Dirección General de Planificación - DGP"/>
    <s v="Unidad de Politicas de Intraculturalidad Interculturalidad y Plurilinguismo - UPIIP"/>
    <s v="(591) 2681200"/>
    <d v="2015-12-01T00:00:00"/>
    <n v="78"/>
    <m/>
    <m/>
    <n v="-78"/>
    <n v="5"/>
    <m/>
    <n v="1961"/>
    <n v="1883"/>
    <m/>
    <m/>
    <n v="1152"/>
    <n v="1074"/>
    <m/>
    <m/>
    <m/>
    <n v="-78"/>
    <m/>
    <m/>
    <m/>
    <n v="-78"/>
    <m/>
    <m/>
    <m/>
    <n v="-78"/>
    <m/>
    <m/>
    <m/>
    <m/>
    <m/>
    <m/>
  </r>
  <r>
    <x v="26"/>
    <s v="*"/>
    <x v="5"/>
    <s v="Salud, Educación y  Deporte para la formación de un ser humano integral "/>
    <s v="0303"/>
    <s v="Acceso universal a la educación."/>
    <n v="1"/>
    <s v="3.3.1"/>
    <n v="94"/>
    <s v="3.3.94"/>
    <s v="0303094"/>
    <s v="Se ha inscrito el 90% de las niñas, niños, adolescentes y jóvenes entre 4 y 17 años en el Subsistema de Educación Regular."/>
    <s v="Salud, Educación, Deporte"/>
    <s v="Educación"/>
    <s v="Resultado"/>
    <s v="Social"/>
    <s v="Educación"/>
    <n v="1"/>
    <n v="1"/>
    <s v="RS"/>
    <m/>
    <m/>
    <s v="M.Educación"/>
    <e v="#DIV/0!"/>
    <n v="1"/>
    <n v="0"/>
    <s v="Etapa 1"/>
    <n v="1"/>
    <n v="4"/>
    <s v="4.1 De aquí a 2030, asegurar que todas las niñas y todos los niños terminen la enseñanza primaria y secundaria, que ha de ser gratuita, equitativa y de calidad y producir resultados de aprendizaje pertinentes y efectivos_x000a__x000a_4.2 De aquí a 2030, asegurar que todas las niñas y todos los niños tengan acceso a servicios de atención y desarrollo en la primera infancia y educación preescolar de calidad, a fin de que estén preparados para la enseñanza primaria "/>
    <s v="4.1.1 Porcentaje de niños/jóvenes: a) en los grados 2/3; b) al final de la enseñanza primaria; y c) al final de la enseñanza secundaria inferior, que han alcanzado al menos un nivel mínimo de competencia en: i) lectura y ii) matemáticas._x000a_Desglose: por sexo, ubicación, recursos económicos (y otras características, donde se disponga de datos)_x000a__x000a_4.2.2 Tasa de participación en la enseñanza organizada (un año antes de la edad oficial de ingreso en la enseñanza primaria), desglosada por sexo"/>
    <m/>
    <x v="0"/>
    <m/>
    <n v="1"/>
    <s v="03030941"/>
    <x v="295"/>
    <s v="Impacto"/>
    <m/>
    <s v="Sexo, edad, Urbano-Rural, Departamental_x000a__x000a_Por edad teórica según nivel educativo (Inicial/Primaria/Secundaria) vía grupos de Edad"/>
    <s v="Porcentaje"/>
    <s v="Población de 4 a17 años que asiste al nivel y cusrso al que se incribiró en una determinada gestión escolar"/>
    <m/>
    <s v="PA: Población que asiste a la educación regular"/>
    <s v="Instituto Nacional de Estadística"/>
    <s v="PT: Población de 4 a 17 años de edad"/>
    <s v="Instituto Nacional de Estadística"/>
    <s v="2011-2017"/>
    <s v="El informe incorporará el dato de cobertura neta  2016 que proviene del  estudio &quot;OPERATIVO PARA LA VALIDACIÓN DE LA INFORMACIÓN RECABADA POR EL SIE A TRAVÉS DEL RUDE Y ESTIMACIÓN DE LA COBERTURA DEL ESCOLAR&quot;_x000a__x000a_La desagregación por edad contempla el rango de 4 a 17 años."/>
    <n v="1"/>
    <s v="030309411"/>
    <s v="EH"/>
    <s v="Encuestas Hogares"/>
    <s v="Encuesta"/>
    <s v="Anual"/>
    <s v="2011-2017"/>
    <s v="Nacional"/>
    <s v="Departamental"/>
    <s v="Matriculación, Asistencia, Empleo, Salud, Ingresos, Pobreza"/>
    <s v="Los factores de expansión  para serie 2011-2016 se actualizaron con el CNPV-2012"/>
    <s v="Instituto Nacional de Estadística (INE)"/>
    <s v="Dirección de Estadísticas e Indicadores Económicos y Sociales (DEIES)"/>
    <s v="Unidad de Estadísticas e Indicadores Sociales (UEIS)"/>
    <s v="(591) 2222333"/>
    <d v="2015-12-01T00:00:00"/>
    <n v="0.86018669919903901"/>
    <n v="0.9"/>
    <n v="0.95"/>
    <n v="3.9813300800961016"/>
    <n v="5"/>
    <n v="0.86814935935923121"/>
    <n v="0.89371572101224805"/>
    <n v="3.3529021813209048"/>
    <n v="0.84215629296427796"/>
    <n v="0.87611201951942341"/>
    <n v="0.91221456787744504"/>
    <n v="5.2027868678406026"/>
    <n v="1.3067961618783985"/>
    <n v="0.88407467967961562"/>
    <m/>
    <n v="-86.0186699199039"/>
    <n v="-21.605510768860334"/>
    <n v="0.89203733983980782"/>
    <m/>
    <n v="-86.0186699199039"/>
    <n v="-21.605510768860334"/>
    <n v="0.9"/>
    <m/>
    <n v="-86.0186699199039"/>
    <n v="-21.605510768860334"/>
    <s v="Anual"/>
    <m/>
    <s v="Verificar"/>
    <m/>
    <m/>
  </r>
  <r>
    <x v="26"/>
    <s v="*"/>
    <x v="5"/>
    <s v="Salud, Educación y  Deporte para la formación de un ser humano integral "/>
    <s v="0303"/>
    <s v="Acceso universal a la educación."/>
    <n v="1"/>
    <s v="3.3.1"/>
    <n v="94"/>
    <s v="3.3.94"/>
    <s v="0303094"/>
    <s v="Se ha inscrito el 90% de las niñas, niños, adolescentes y jóvenes entre 4 y 17 años en el Subsistema de Educación Regular."/>
    <m/>
    <m/>
    <s v="Resultado"/>
    <m/>
    <m/>
    <m/>
    <n v="1"/>
    <s v="RS"/>
    <m/>
    <m/>
    <m/>
    <m/>
    <n v="1"/>
    <n v="0"/>
    <s v="Etapa 1"/>
    <m/>
    <n v="4"/>
    <s v="4.1 De aquí a 2030, asegurar que todas las niñas y todos los niños terminen la enseñanza primaria y secundaria, que ha de ser gratuita, equitativa y de calidad y producir resultados de aprendizaje pertinentes y efectivos"/>
    <s v="4.1.1 Porcentaje de niños/jóvenes: a) en los grados 2/3; b) al final de la enseñanza primaria; y c) al final de la enseñanza secundaria inferior, que han alcanzado al menos un nivel mínimo de competencia en: i) lectura y ii) matemáticas._x000a_Desglose: por sexo, ubicación, recursos económicos (y otras características, donde se disponga de datos)"/>
    <m/>
    <x v="0"/>
    <m/>
    <n v="2"/>
    <s v="03030942"/>
    <x v="296"/>
    <s v="Impacto"/>
    <m/>
    <s v="Departamental, Municipal, Urbano - Rural, Sexo, Dependencia (Público Privado),  Nivel Educativo"/>
    <s v="Porcentaje"/>
    <s v="Es el porcentaje de estudiantes que antes de finalizar la gestión escolar abandonaron el año de escolaridad en el cual se matricularon, en relación con el total de estudiantes matriculados en ese año de escolaridad."/>
    <m/>
    <s v="RA: Estudiantes retirados por abandono del año de escolaridad de 4 a 17 años"/>
    <s v="Ministerio de Educación"/>
    <s v="PM: Estudiantes matriculados de 4 a 17 años de edad"/>
    <s v="Ministerio de Educación"/>
    <s v="2000-2016"/>
    <m/>
    <n v="1"/>
    <s v="030309421"/>
    <s v="SIE - ME"/>
    <s v="Sistema de Información Educativa - Ministerio de Educación"/>
    <s v="Registro Administrativo"/>
    <s v="Anual"/>
    <s v="2000-2016"/>
    <s v="Nacional"/>
    <s v="Municipal"/>
    <s v="Población matriculada de 4 a 17 años de edad, en el Subsistema de Educación Regular"/>
    <m/>
    <s v="Ministerio de Educación -ME"/>
    <s v="Dirección General de Planificación - DGP"/>
    <s v="Sistema de Información Educatiava - SIE"/>
    <s v="(358) 2442144"/>
    <d v="2015-12-01T00:00:00"/>
    <n v="3.1439153664716162E-2"/>
    <n v="0.03"/>
    <n v="0.03"/>
    <n v="-0.14391536647161626"/>
    <n v="5"/>
    <n v="3.1151322931772928E-2"/>
    <n v="3.2000000000000001E-2"/>
    <n v="5.6084633528383915E-2"/>
    <n v="-0.38970566454031313"/>
    <n v="3.0863492198829695E-2"/>
    <m/>
    <n v="-3.143915366471616"/>
    <n v="21.845584968104678"/>
    <n v="3.0575661465886465E-2"/>
    <m/>
    <n v="-3.143915366471616"/>
    <n v="21.845584968104678"/>
    <n v="3.0287830732943232E-2"/>
    <m/>
    <n v="-3.143915366471616"/>
    <n v="21.845584968104678"/>
    <n v="0.03"/>
    <m/>
    <n v="-3.143915366471616"/>
    <n v="21.845584968104678"/>
    <m/>
    <m/>
    <m/>
    <m/>
    <m/>
  </r>
  <r>
    <x v="26"/>
    <s v="*"/>
    <x v="5"/>
    <s v="Salud, Educación y  Deporte para la formación de un ser humano integral "/>
    <s v="0303"/>
    <s v="Acceso universal a la educación."/>
    <n v="2"/>
    <s v="3.3.2"/>
    <n v="95"/>
    <s v="3.3.95"/>
    <s v="0303095"/>
    <s v="Se ha incrementado el número de personas que concluyen la post-alfabetización (equivalente al 6° grado del nivel primario)."/>
    <s v="Salud, Educación, Deporte"/>
    <s v="Educación"/>
    <s v="Producto"/>
    <s v="Social"/>
    <s v="Educación"/>
    <m/>
    <n v="1"/>
    <s v="RS"/>
    <m/>
    <m/>
    <s v="M.Educación"/>
    <e v="#DIV/0!"/>
    <n v="1"/>
    <n v="0"/>
    <s v="Etapa 1"/>
    <n v="1"/>
    <n v="4"/>
    <s v="4.6 De aquí a 2030, asegurar que todos los jóvenes y una proporción considerable de los adultos, tanto hombres como mujeres, estén alfabetizados y tengan nociones elementales de aritmética"/>
    <s v="4.6.1 Proporción de población en un grupo de edad determinado que alcanza por lo menos un nivel fijo de competencia funcional en a) alfabetización y b) aritmética elemental, desglosado por sexo "/>
    <m/>
    <x v="0"/>
    <m/>
    <n v="1"/>
    <s v="03030951"/>
    <x v="297"/>
    <s v="Producto"/>
    <m/>
    <s v="Departamental"/>
    <s v="Número"/>
    <s v="Es el número total de personas jóvenes y adultas de 15 o más años de edad que se gradúan del programa de post alfabetización en un periodo determinado"/>
    <m/>
    <s v="PPA: Personas participantes de 15 años de edad o más graduadas del programa de post alfabetización"/>
    <s v="Ministerio de Educación"/>
    <s v="---"/>
    <s v="---"/>
    <s v="2012-2017"/>
    <s v="El dato presentado es acumulado de forma anual y debe interpretarse de la misma forma"/>
    <n v="1"/>
    <s v="030309511"/>
    <s v="PNP - ME"/>
    <s v="Programa Nacional de Post Alfabetización - Ministerio de Educación"/>
    <s v="Registro Administrativo"/>
    <s v="Anual"/>
    <s v="2012-2017"/>
    <s v="Nacional"/>
    <s v="Departamental"/>
    <s v="Población no alfabetizada de 15 años o más que participa en el Programa de Post Alfabetización"/>
    <m/>
    <s v="Ministerio de Educación - ME"/>
    <s v="Dirección General de Post Alfabetización - DGPA"/>
    <s v="Programa Nacional de Post Alfabetización - PNP"/>
    <n v="2912411"/>
    <d v="2015-12-01T00:00:00"/>
    <n v="75747"/>
    <n v="184000"/>
    <m/>
    <n v="108253"/>
    <n v="5"/>
    <n v="97397.6"/>
    <n v="102326"/>
    <n v="26579"/>
    <n v="0.24552668286329246"/>
    <n v="119048.2"/>
    <n v="128528"/>
    <n v="52781"/>
    <n v="0.48757078325773884"/>
    <n v="140698.79999999999"/>
    <m/>
    <n v="-75747"/>
    <n v="-0.69972194765964912"/>
    <n v="162349.4"/>
    <m/>
    <n v="-75747"/>
    <n v="-0.69972194765964912"/>
    <n v="184000"/>
    <m/>
    <n v="-75747"/>
    <n v="-0.69972194765964912"/>
    <m/>
    <m/>
    <m/>
    <m/>
    <m/>
  </r>
  <r>
    <x v="26"/>
    <s v="*"/>
    <x v="5"/>
    <s v="Salud, Educación y  Deporte para la formación de un ser humano integral "/>
    <s v="0303"/>
    <s v="Acceso universal a la educación."/>
    <n v="2"/>
    <s v="3.3.2"/>
    <n v="95"/>
    <s v="3.3.95"/>
    <s v="0303095"/>
    <s v="Se ha incrementado el número de personas que concluyen la post-alfabetización (equivalente al 6° grado del nivel primario)."/>
    <m/>
    <m/>
    <s v="Resultado"/>
    <s v="Social"/>
    <s v="Educación"/>
    <m/>
    <n v="1"/>
    <s v="RS"/>
    <m/>
    <m/>
    <m/>
    <m/>
    <n v="1"/>
    <n v="0"/>
    <s v="Etapa 1"/>
    <m/>
    <n v="4"/>
    <s v="4.6 De aquí a 2030, asegurar que todos los jóvenes y una proporción considerable de los adultos, tanto hombres como mujeres, estén alfabetizados y tengan nociones elementales de aritmética"/>
    <s v="4.6.1 Proporción de población en un grupo de edad determinado que alcanza por lo menos un nivel fijo de competencia funcional en a) alfabetización y b) aritmética elemental, desglosado por sexo "/>
    <m/>
    <x v="0"/>
    <m/>
    <n v="2"/>
    <s v="03030952"/>
    <x v="298"/>
    <s v="Impacto"/>
    <m/>
    <s v="Sexo, Urbano-Rural, Departamental"/>
    <s v="Porcentaje"/>
    <s v="Población de 15 a 24 años alfabeta"/>
    <m/>
    <s v="PA: Población alfabeta"/>
    <s v="Instituto Nacional de Estadística"/>
    <s v="PT: Población de 15 a 24 años de edad"/>
    <s v="Instituto Nacional de Estadística"/>
    <s v="2011-2017"/>
    <s v="La desagregación por edad contempla el rango de 15 a 24 años"/>
    <n v="1"/>
    <s v="030309521"/>
    <s v="EH"/>
    <s v="Encuestas Hogares"/>
    <s v="Encuesta"/>
    <s v="Anual"/>
    <s v="2011-2017"/>
    <s v="Nacional"/>
    <s v="Departamental"/>
    <s v="Alfabetismo,Matriculación, Asistencia, Empleo, Salud, Ingresos, Pobreza"/>
    <s v="Los factores de expansión  para serie 2011-2016 se actualizaron con el CNPV-2012"/>
    <s v="Instituto Nacional de Estadística (INE); "/>
    <s v="Dirección de Estadísticas e Indicadores Económicos y Sociales (DEIES)"/>
    <s v="Unidad de Estadísticas e Indicadores Sociales (UEIS)"/>
    <s v="(591) 2222333"/>
    <d v="2015-12-01T00:00:00"/>
    <n v="0.99399169537875998"/>
    <n v="1"/>
    <n v="1"/>
    <n v="0.60083046212400237"/>
    <n v="5"/>
    <n v="0.99519335630300798"/>
    <n v="0.99415921946880503"/>
    <n v="1.6752409004505697E-2"/>
    <n v="2.7882089974739416E-2"/>
    <n v="0.99639501722725599"/>
    <n v="0.99375505704619604"/>
    <n v="-2.3663833256393207E-2"/>
    <n v="-3.9385208886944467E-2"/>
    <n v="0.99759667815150399"/>
    <m/>
    <n v="-99.399169537875991"/>
    <n v="-165.43630159244739"/>
    <n v="0.998798339075752"/>
    <m/>
    <n v="-99.399169537875991"/>
    <n v="-165.43630159244739"/>
    <n v="1"/>
    <m/>
    <n v="-99.399169537875991"/>
    <n v="-165.43630159244739"/>
    <s v="Anual"/>
    <m/>
    <s v="Aprobado"/>
    <m/>
    <m/>
  </r>
  <r>
    <x v="26"/>
    <s v="*"/>
    <x v="5"/>
    <s v="Salud, Educación y  Deporte para la formación de un ser humano integral "/>
    <s v="0303"/>
    <s v="Acceso universal a la educación."/>
    <n v="2"/>
    <s v="3.3.2"/>
    <n v="95"/>
    <s v="3.3.95"/>
    <s v="0303095"/>
    <s v="Se ha incrementado el número de personas que concluyen la post-alfabetización (equivalente al 6° grado del nivel primario)."/>
    <m/>
    <m/>
    <s v="Resultado"/>
    <s v="Social"/>
    <s v="Educación"/>
    <m/>
    <n v="1"/>
    <s v="RS"/>
    <m/>
    <m/>
    <m/>
    <m/>
    <n v="1"/>
    <n v="0"/>
    <s v="Etapa 1"/>
    <m/>
    <n v="4"/>
    <s v="4.6 De aquí a 2030, asegurar que todos los jóvenes y una proporción considerable de los adultos, tanto hombres como mujeres, estén alfabetizados y tengan nociones elementales de aritmética"/>
    <s v="4.6.1 Proporción de población en un grupo de edad determinado que alcanza por lo menos un nivel fijo de competencia funcional en a) alfabetización y b) aritmética elemental, desglosado por sexo "/>
    <m/>
    <x v="0"/>
    <m/>
    <n v="3"/>
    <s v="03030953"/>
    <x v="299"/>
    <s v="Impacto"/>
    <m/>
    <s v="Sexo, Urbano-Rural, Departamental"/>
    <s v="Porcentaje"/>
    <s v="Población de 15 a 24 años alfabetas y con habilidades en aritmética (es capaz de sumar y multiplicar números ya sea en papel o mentalmente)"/>
    <m/>
    <s v="PAA: Población que sabe leer y escribir y es capaz de sumar y multiplicar números ya sea en papel o mentalmente"/>
    <s v="Instituto Nacional de Estadística"/>
    <s v="PT: Población de 15 a 24 años de edad"/>
    <s v="Instituto Nacional de Estadística"/>
    <s v="2016-2017"/>
    <s v="La pregunta sobre alfabetismo en aritmetica se incluyo a partir del año 2016._x000a_La desagregación por edad contempla el rango de 15 a 24 años"/>
    <n v="1"/>
    <s v="030309531"/>
    <s v="EH"/>
    <s v="Encuestas Hogares"/>
    <s v="Encuesta"/>
    <s v="Anual"/>
    <s v="2011-2017"/>
    <s v="Nacional"/>
    <s v="Departamental"/>
    <s v="Alfabetismo,Matriculación, Asistencia, Empleo, Salud, Ingresos, Pobreza"/>
    <s v="Los factores de expansión  para serie 2011-2016 se actualizaron con el CNPV-2012"/>
    <s v="Instituto Nacional de Estadística (INE); "/>
    <s v="Dirección de Estadísticas e Indicadores Económicos y Sociales (DEIES)"/>
    <s v="Unidad de Estadísticas e Indicadores Sociales (UEIS)"/>
    <s v="(591) 2222333"/>
    <d v="2016-12-01T00:00:00"/>
    <n v="0.98835914124096003"/>
    <n v="1"/>
    <n v="1"/>
    <n v="1.1640858759039974"/>
    <n v="5"/>
    <n v="0.99068731299276802"/>
    <n v="0.98835914124096402"/>
    <n v="3.9968028886505635E-13"/>
    <n v="3.4334261512680541E-13"/>
    <n v="0.99301548474457602"/>
    <n v="0.98686932864148103"/>
    <n v="-0.14898125994790012"/>
    <n v="-0.12798133113006405"/>
    <n v="0.99534365649638401"/>
    <m/>
    <n v="-98.835914124096007"/>
    <n v="-84.904315196971808"/>
    <n v="0.99767182824819201"/>
    <m/>
    <n v="-98.835914124096007"/>
    <n v="-84.904315196971808"/>
    <n v="1"/>
    <m/>
    <n v="-98.835914124096007"/>
    <n v="-84.904315196971808"/>
    <s v="Anual"/>
    <m/>
    <s v="Aprobado"/>
    <m/>
    <m/>
  </r>
  <r>
    <x v="26"/>
    <s v="*"/>
    <x v="5"/>
    <s v="Salud, Educación y  Deporte para la formación de un ser humano integral "/>
    <s v="0303"/>
    <s v="Acceso universal a la educación."/>
    <n v="4"/>
    <s v="3.3.4"/>
    <n v="97"/>
    <s v="3.3.97"/>
    <s v="0303097"/>
    <s v="Se incrementará en al menos 40% el porcentaje de jóvenes entre 19 y 23 años inscritos en universidades, institutos técnicos u otros del nivel superior."/>
    <s v="Salud, Educación, Deporte"/>
    <s v="Educación"/>
    <s v="Resultado"/>
    <s v="Social"/>
    <s v="Educación"/>
    <n v="1"/>
    <n v="1"/>
    <s v="RS"/>
    <m/>
    <m/>
    <s v="M.Educación"/>
    <e v="#DIV/0!"/>
    <n v="1"/>
    <n v="0"/>
    <s v="Etapa 1"/>
    <n v="1"/>
    <n v="4"/>
    <s v="4.3 De aquí a 2030, asegurar el acceso igualitario de todos los hombres y las mujeres a una formación técnica, profesional y superior de calidad, incluida la enseñanza universitaria"/>
    <s v="4.3.1 Tasa de participación de los jóvenes y adultos en la enseñanza académica y no académica, y en la capacitación en los últimos 12 meses"/>
    <m/>
    <x v="0"/>
    <m/>
    <n v="1"/>
    <s v="03030971"/>
    <x v="300"/>
    <s v="Impacto"/>
    <m/>
    <s v="Sexo, Urbano-Rural, Departamental"/>
    <s v="Porcentaje"/>
    <s v="Población de 19 a 23 años matriculada en educación superior "/>
    <m/>
    <s v="PM: Población de 19 a 23 años matriculada/inscrita en la educación superior que incluye: Normal, universidad, postgrado, técnico de universidad, técnico de instituto (duración mayor o igual a 2 años), instituto de formación militar y policial"/>
    <s v="Instituto Nacional de Estadística"/>
    <s v="PT:Población de 19 a 23 años de edad"/>
    <s v="Instituto Nacional de Estadística"/>
    <s v="2011-2017"/>
    <s v="La desagregación por edad contempla el rango de 19 a 23 años._x000a_Se incorporara las meta al 2020 de 50,1  propuesta por el ME, misma que se aclarará y justificará en el informe."/>
    <n v="1"/>
    <s v="030309711"/>
    <s v="EH"/>
    <s v="Encuestas Hogares"/>
    <s v="Encuesta"/>
    <s v="Anual"/>
    <s v="2011-2017"/>
    <s v="Nacional"/>
    <s v="Departamental"/>
    <s v="Alfabetismo,Matriculación, Asistencia, Empleo, Salud, Ingresos, Pobreza"/>
    <s v="Los factores de expansión  para serie 2011-2016 se actualizaron con el CNPV-2012"/>
    <s v="Instituto Nacional de Estadística (INE); "/>
    <s v="Dirección de Estadísticas e Indicadores Económicos y Sociales (DEIES)"/>
    <s v="Unidad de Estadísticas e Indicadores Sociales (UEIS)"/>
    <s v="(591) 2222333"/>
    <d v="2015-12-01T00:00:00"/>
    <n v="0.354121808183888"/>
    <n v="0.5"/>
    <m/>
    <n v="14.5878191816112"/>
    <n v="5"/>
    <n v="0.3832974465471104"/>
    <n v="0.40738700250980198"/>
    <n v="5.3265194325913976"/>
    <n v="0.3651347309888367"/>
    <n v="0.4124730849103328"/>
    <n v="0.42167348305798302"/>
    <n v="6.7551674874095022"/>
    <n v="0.46306904433836049"/>
    <n v="0.4416487232735552"/>
    <m/>
    <n v="-35.412180818388798"/>
    <n v="-2.4275171207926625"/>
    <n v="0.4708243616367776"/>
    <m/>
    <n v="-35.412180818388798"/>
    <n v="-2.4275171207926625"/>
    <n v="0.5"/>
    <m/>
    <n v="-35.412180818388798"/>
    <n v="-2.4275171207926625"/>
    <m/>
    <m/>
    <m/>
    <m/>
    <m/>
  </r>
  <r>
    <x v="26"/>
    <s v="*"/>
    <x v="5"/>
    <s v="Salud, Educación y  Deporte para la formación de un ser humano integral "/>
    <s v="0303"/>
    <s v="Acceso universal a la educación."/>
    <n v="4"/>
    <s v="3.3.4"/>
    <n v="97"/>
    <s v="3.3.97"/>
    <s v="0303097"/>
    <s v="Se incrementará en al menos 40% el porcentaje de jóvenes entre 19 y 23 años inscritos en universidades, institutos técnicos u otros del nivel superior."/>
    <s v="Salud, Educación, Deporte"/>
    <s v="Educación"/>
    <s v="Resultado"/>
    <s v="Social"/>
    <s v="Educación"/>
    <n v="1"/>
    <n v="1"/>
    <s v="RS"/>
    <m/>
    <m/>
    <s v="M.Educación"/>
    <e v="#DIV/0!"/>
    <n v="1"/>
    <n v="0"/>
    <s v="Etapa 1"/>
    <n v="1"/>
    <n v="4"/>
    <s v="4.3 De aquí a 2030, asegurar el acceso igualitario de todos los hombres y las mujeres a una formación técnica, profesional y superior de calidad, incluida la enseñanza universitaria"/>
    <s v="4.3.1 Tasa de participación de los jóvenes y adultos en la enseñanza académica y no académica, y en la capacitación en los últimos 12 meses"/>
    <m/>
    <x v="0"/>
    <m/>
    <n v="1"/>
    <s v="03030971"/>
    <x v="301"/>
    <s v="Impacto"/>
    <m/>
    <s v="Sexo, Urbano-Rural, Departamental"/>
    <s v="Porcentaje"/>
    <s v="Proporción de la población de 19 a 23 años con más de 12 años de estudio"/>
    <m/>
    <s v="P+12E: Es el númro de personas de 19 a 23 años con más de 12 años de estudio"/>
    <s v="Instituto Nacional de Estadística"/>
    <s v="PT: Población de 19 a 23 años de edad"/>
    <s v="Instituto Nacional de Estadística"/>
    <s v="2011-2017"/>
    <s v="La desagregación por edad contempla el rango de 19 a 23 años"/>
    <n v="1"/>
    <s v="030309711"/>
    <s v="EH"/>
    <s v="Encuestas Hogares"/>
    <s v="Encuesta"/>
    <s v="Anual"/>
    <s v="2011-2017"/>
    <s v="Nacional"/>
    <s v="Departamental"/>
    <s v="Alfabetismo,Matriculación, Asistencia, Empleo, Salud, Ingresos, Pobreza"/>
    <s v="Los factores de expansión  para serie 2011-2016 se actualizaron con el CNPV-2012"/>
    <s v="Instituto Nacional de Estadística (INE); "/>
    <s v="Dirección de Estadísticas e Indicadores Económicos y Sociales (DEIES)"/>
    <s v="Unidad de Estadísticas e Indicadores Sociales (UEIS)"/>
    <s v="(591) 2222333"/>
    <d v="2015-12-01T00:00:00"/>
    <n v="0.34547192189999998"/>
    <n v="0.437"/>
    <m/>
    <n v="9.1528078100000023"/>
    <n v="5"/>
    <n v="0.36377753751999997"/>
    <n v="0.35694720152620601"/>
    <n v="1.1475279626206036"/>
    <n v="0.12537441913364106"/>
    <n v="0.38208315313999996"/>
    <n v="0.383625658087276"/>
    <n v="3.8153736187276022"/>
    <n v="0.41685280603828184"/>
    <n v="0.40038876875999996"/>
    <m/>
    <n v="-34.547192189999997"/>
    <n v="-3.7744911624010151"/>
    <n v="0.41869438438000001"/>
    <m/>
    <n v="-3.4547192189999998E-3"/>
    <n v="-3.774491162401015E-4"/>
    <n v="0.437"/>
    <m/>
    <n v="-3.4547192189999998E-3"/>
    <n v="-3.774491162401015E-4"/>
    <m/>
    <m/>
    <m/>
    <m/>
    <m/>
  </r>
  <r>
    <x v="26"/>
    <s v="*"/>
    <x v="5"/>
    <s v="Salud, Educación y  Deporte para la formación de un ser humano integral "/>
    <s v="0303"/>
    <s v="Acceso universal a la educación."/>
    <n v="5"/>
    <s v="3.3.5"/>
    <n v="98"/>
    <s v="3.3.98"/>
    <s v="0303098"/>
    <s v="Personas con 15 años o más acceden a formación técnica tecnológica productiva en la educación alternativa."/>
    <s v="Salud, Educación, Deporte"/>
    <s v="Educación"/>
    <s v="Resultado"/>
    <s v="Social"/>
    <s v="Educación"/>
    <n v="1"/>
    <n v="1"/>
    <s v="RS"/>
    <m/>
    <m/>
    <s v="M.Educación"/>
    <e v="#DIV/0!"/>
    <n v="1"/>
    <n v="0"/>
    <s v="Etapa 1"/>
    <n v="1"/>
    <n v="4"/>
    <s v="4.3 De aquí a 2030, asegurar el acceso igualitario de todos los hombres y las mujeres a una formación técnica, profesional y superior de calidad, incluida la enseñanza universitaria"/>
    <s v="4.3.1 Tasa de participación de los jóvenes y adultos en la enseñanza académica y no académica, y en la capacitación en los últimos 12 meses"/>
    <m/>
    <x v="0"/>
    <m/>
    <n v="1"/>
    <s v="03030981"/>
    <x v="302"/>
    <s v="Producto"/>
    <m/>
    <s v="Departamental"/>
    <s v="Número"/>
    <s v="Personas con 15 o más años de edad que acceden a educación  alternativa técnica"/>
    <m/>
    <s v="EAT: Estuduantes matriculados con 15 o más años de edad en educación alternativa técnica"/>
    <s v="Ministerio de Educación"/>
    <s v="---"/>
    <s v="---"/>
    <s v="2013-2017"/>
    <m/>
    <n v="1"/>
    <s v="030309811"/>
    <s v="SIE - ME"/>
    <s v="Sistema de Información Educativa - Ministerio de Educación"/>
    <s v="Registro Administrativo"/>
    <s v="Anual"/>
    <s v="2013-2017"/>
    <s v="Nacional"/>
    <s v="Departamental"/>
    <s v="Población matriculada de 15 o más años de edad en educación alternativa"/>
    <s v="Información proveniente solo de Centros de Educación Alternativa"/>
    <s v="Ministerio de Educación -ME"/>
    <s v="Dirección General de Planificación"/>
    <s v="Sistema de Información Educatiava - SIE"/>
    <s v="(358) 2442144"/>
    <d v="2015-12-01T00:00:00"/>
    <n v="71147"/>
    <n v="90000"/>
    <m/>
    <n v="18853"/>
    <n v="5"/>
    <n v="74917.600000000006"/>
    <n v="77153"/>
    <n v="6006"/>
    <n v="0.3185699888611892"/>
    <n v="78688.2"/>
    <n v="85876"/>
    <n v="14729"/>
    <n v="0.78125497268339261"/>
    <n v="82458.8"/>
    <m/>
    <n v="-71147"/>
    <n v="-3.7737760568609771"/>
    <n v="86229.4"/>
    <m/>
    <n v="-71147"/>
    <n v="-3.7737760568609771"/>
    <n v="90000"/>
    <m/>
    <n v="-71147"/>
    <n v="-3.7737760568609771"/>
    <m/>
    <m/>
    <m/>
    <m/>
    <m/>
  </r>
  <r>
    <x v="26"/>
    <m/>
    <x v="5"/>
    <s v="Salud, Educación y  Deporte para la formación de un ser humano integral "/>
    <s v="0303"/>
    <s v="Acceso universal a la educación."/>
    <n v="6"/>
    <s v="3.3.6"/>
    <n v="99"/>
    <s v="3.3.99"/>
    <s v="0303099"/>
    <s v="Se han creado 4 nuevas Escuelas Bolivianas Interculturales (EBI) para la formación artística a nivel licenciatura (teatro, artes plásticas, danza, cine y audiovisuales)."/>
    <s v="Salud, Educación, Deporte"/>
    <s v="Educación"/>
    <s v="Producto"/>
    <s v="Social"/>
    <s v="Educación"/>
    <m/>
    <n v="1"/>
    <s v="PD"/>
    <m/>
    <m/>
    <m/>
    <e v="#DIV/0!"/>
    <n v="0"/>
    <n v="1"/>
    <s v="Etapa 1"/>
    <m/>
    <m/>
    <m/>
    <m/>
    <m/>
    <x v="1"/>
    <m/>
    <n v="1"/>
    <s v="03030991"/>
    <x v="303"/>
    <s v="Proceso"/>
    <m/>
    <s v="Nacional"/>
    <s v="Número"/>
    <s v="Es el número Escuelas Bolivianas Interculturales creadas para la formación en áreas artísticas a nivel de licenciatura."/>
    <m/>
    <s v="NEBI: Número de Escuelas Bolivianas Interculturales para formación artística"/>
    <s v="Ministerio de Educación"/>
    <s v="---"/>
    <s v="---"/>
    <s v="2011- 2017"/>
    <s v="El dato presentado es acumulado de forma anual y debe interpretarse de la misma forma"/>
    <n v="1"/>
    <s v="030309911"/>
    <s v="DGESTTLA - ME"/>
    <s v="Dirección General de Educación Superior Técnica, Tecnológica, Lingüística y Artística - Ministerio de Educación"/>
    <s v="Registro Administrativo"/>
    <s v="Anual"/>
    <s v="2011- 2017"/>
    <s v="Nacional"/>
    <s v="Nacional"/>
    <s v="Escuelas Bolivianas Interculturales creadas para formación artística"/>
    <m/>
    <s v="Ministerio de Educación - ME"/>
    <s v="Viceministerio de Educación Superior de Formación Profesional - VESFP"/>
    <s v="Dirección General de Educación Superior Técnica, Tecnológica, Lingüística y Artística - DGESTTLA"/>
    <n v="2440231"/>
    <d v="2015-12-01T00:00:00"/>
    <n v="1"/>
    <n v="4"/>
    <n v="4"/>
    <n v="3"/>
    <n v="5"/>
    <n v="1.6"/>
    <n v="2"/>
    <n v="1"/>
    <n v="0.33333333333333331"/>
    <n v="2.2000000000000002"/>
    <n v="2"/>
    <n v="1"/>
    <n v="0.33333333333333331"/>
    <n v="2.8"/>
    <m/>
    <n v="-1"/>
    <n v="-0.33333333333333331"/>
    <n v="3.4"/>
    <m/>
    <n v="-1"/>
    <n v="-0.33333333333333331"/>
    <n v="4"/>
    <m/>
    <n v="-1"/>
    <n v="-0.33333333333333331"/>
    <m/>
    <m/>
    <m/>
    <m/>
    <m/>
  </r>
  <r>
    <x v="26"/>
    <m/>
    <x v="5"/>
    <s v="Salud, Educación y  Deporte para la formación de un ser humano integral "/>
    <s v="0304"/>
    <s v="Fortalecimiento del sistema educativo."/>
    <n v="3"/>
    <s v="3.4.3"/>
    <n v="103"/>
    <s v="3.4.103"/>
    <s v="0304103"/>
    <s v="La mayoría de maestras y maestros han concluido su formación complementaria (PROFOCOM), cuentan con formación técnica para el bachillerato técnico humanístico o han concluido con la formación pos gradual en sus especialidades."/>
    <s v="Salud, Educación, Deporte"/>
    <s v="Educación"/>
    <s v="Proceso"/>
    <s v="Social"/>
    <s v="Educación"/>
    <m/>
    <n v="1"/>
    <s v="PC"/>
    <m/>
    <m/>
    <m/>
    <e v="#DIV/0!"/>
    <n v="0"/>
    <n v="1"/>
    <s v="Etapa 1"/>
    <m/>
    <n v="4"/>
    <s v="4.c De aquí a 2030, aumentar considerablemente la oferta de docentes calificados, incluso mediante la cooperación internacional para la formación de docentes en los países en desarrollo, especialmente los países menos adelantados y los pequeños Estados insulares en desarrollo"/>
    <s v="4.c.1 Porcentaje de maestros en la enseñanza: a) preescolar; b) primaria; c) secundaria inferior y d) secundaria superior que han recibido al menos el mínimo de formación docente organizada (por ejemplo, formación pedagógica); requisitos de práctica previa a la docencia o durante su ejercicio para la enseñanza a un nivel dado en un país determinado._x000a_Desglose: por sexo (y otras características, donde se disponga de datos)"/>
    <m/>
    <x v="0"/>
    <m/>
    <n v="1"/>
    <s v="03041031"/>
    <x v="304"/>
    <s v="Impacto"/>
    <m/>
    <s v="Departamento"/>
    <s v="Porcentaje"/>
    <s v="Porcentaje de maestros en ejercicio con formación Post-Gradual en la Universidad Pedagógica "/>
    <m/>
    <s v="MPG: Número de maestros de dependencia pública en ejercicio que cuentan con formación Post-Gradual , con pertinencia en el marco del  modelo educativo"/>
    <s v="Ministerio de Educación"/>
    <s v="MSEP:  Número de maestros de dependencia publica en ejercicio que forman parte del Sistema Educativo Plurinacional"/>
    <s v="Ministerio de Educación"/>
    <s v="2015 - 2017"/>
    <s v="El dato presentado es acumulado de forma anual y debe interpretarse de la misma forma"/>
    <n v="1"/>
    <s v="030410311"/>
    <s v="DGFM - ME"/>
    <s v="Dirección General de Formación de Maestros - Ministerio de Educación"/>
    <s v="Registro Administrativo"/>
    <s v="Anual"/>
    <s v="2015 - 2017"/>
    <s v="Nacional"/>
    <s v="Departamental"/>
    <s v="Maestros en Ejercicio de dependencia pública"/>
    <m/>
    <s v="Ministerio de Educación - ME"/>
    <s v="Dirección General de Formación de Maestros - DGFM"/>
    <s v="Unidad de Gestión de Personal del Sistema Educativo Plurinacional UGP - SEP"/>
    <s v="(358) 2442144"/>
    <d v="2016-12-01T00:00:00"/>
    <n v="1.9E-2"/>
    <n v="0.3"/>
    <n v="0.6"/>
    <n v="28.099999999999998"/>
    <n v="5"/>
    <n v="7.5199999999999989E-2"/>
    <n v="1.9E-2"/>
    <n v="0"/>
    <n v="0"/>
    <n v="0.13139999999999999"/>
    <n v="2.3E-2"/>
    <n v="0.4"/>
    <n v="1.4234875444839859E-2"/>
    <n v="0.18759999999999996"/>
    <m/>
    <n v="-1.9"/>
    <n v="-6.7615658362989328E-2"/>
    <n v="0.24379999999999996"/>
    <m/>
    <n v="-1.9"/>
    <n v="-6.7615658362989328E-2"/>
    <n v="0.3"/>
    <m/>
    <n v="-1.9"/>
    <n v="-6.7615658362989328E-2"/>
    <m/>
    <m/>
    <m/>
    <m/>
    <m/>
  </r>
  <r>
    <x v="26"/>
    <m/>
    <x v="5"/>
    <s v="Salud, Educación y  Deporte para la formación de un ser humano integral "/>
    <s v="0304"/>
    <s v="Fortalecimiento del sistema educativo."/>
    <n v="3"/>
    <s v="3.4.3"/>
    <n v="103"/>
    <s v="3.4.103"/>
    <s v="0304103"/>
    <s v="La mayoría de maestras y maestros han concluido su formación complementaria (PROFOCOM), cuentan con formación técnica para el bachillerato técnico humanístico o han concluido con la formación pos gradual en sus especialidades."/>
    <m/>
    <m/>
    <s v="Proceso"/>
    <s v="Social"/>
    <s v="Educación"/>
    <m/>
    <n v="1"/>
    <s v="PC"/>
    <m/>
    <m/>
    <m/>
    <e v="#DIV/0!"/>
    <n v="0"/>
    <n v="1"/>
    <s v="Etapa 1"/>
    <m/>
    <n v="4"/>
    <s v="4.c De aquí a 2030, aumentar considerablemente la oferta de docentes calificados, incluso mediante la cooperación internacional para la formación de docentes en los países en desarrollo, especialmente los países menos adelantados y los pequeños Estados insulares en desarrollo"/>
    <s v="4.c.1 Porcentaje de maestros en la enseñanza: a) preescolar; b) primaria; c) secundaria inferior y d) secundaria superior que han recibido al menos el mínimo de formación docente organizada (por ejemplo, formación pedagógica); requisitos de práctica previa a la docencia o durante su ejercicio para la enseñanza a un nivel dado en un país determinado._x000a_Desglose: por sexo (y otras características, donde se disponga de datos)"/>
    <m/>
    <x v="0"/>
    <m/>
    <n v="2"/>
    <s v="03041032"/>
    <x v="305"/>
    <s v="Impacto"/>
    <m/>
    <s v="Departamento"/>
    <s v="Porcentaje"/>
    <s v="Maestros titulados a nivel de licenciatura por el PROFOCOM en ejercicio formados para implementar el nuevo currículo (en el marco del Modelo Educativo Socio Comunitario Productivo MESCP)."/>
    <m/>
    <s v="MF: Maestros titulados a nivel licenciatura por el PROFOCOM en ejercicio formados para implementar el nuevo currículo (en el marco del MESCP)."/>
    <s v="Ministerio de Educación"/>
    <m/>
    <m/>
    <s v="2015 - 2017"/>
    <s v="El dato presentado es acumulado de forma anual y debe interpretarse de la misma forma"/>
    <n v="1"/>
    <s v="030410321"/>
    <s v="UGP - SEP - ME"/>
    <s v="Unidad de Gestión de Personal del Sistema Educativo Plurinacional - Ministerio de Educación"/>
    <s v="Registro Administrativo"/>
    <s v="Anual"/>
    <s v="2015 - 2017"/>
    <s v="Nacional"/>
    <s v="Departamental"/>
    <s v="Maestros en Ejercicio de dependencia pública"/>
    <m/>
    <s v="Ministerio de Educación - ME"/>
    <s v="Unidad de Gestión de Personal del Sistema Educativo Plurinacional "/>
    <s v="Unidad de Gestión de Personal del Sistema Educativo Plurinacional UGP - SEP"/>
    <n v="2912842"/>
    <d v="2015-12-01T00:00:00"/>
    <n v="71916"/>
    <n v="95000"/>
    <n v="123000"/>
    <n v="23084"/>
    <n v="5"/>
    <n v="76532.800000000003"/>
    <n v="77149"/>
    <n v="5233"/>
    <n v="0.22669381389707158"/>
    <n v="81149.600000000006"/>
    <n v="80041"/>
    <n v="8125"/>
    <n v="0.35197539421244151"/>
    <n v="85766.399999999994"/>
    <m/>
    <n v="-71916"/>
    <n v="-3.1154046092531624"/>
    <n v="90383.2"/>
    <m/>
    <n v="-71916"/>
    <n v="-3.1154046092531624"/>
    <n v="95000"/>
    <m/>
    <n v="-71916"/>
    <n v="-3.1154046092531624"/>
    <m/>
    <m/>
    <m/>
    <m/>
    <m/>
  </r>
  <r>
    <x v="26"/>
    <m/>
    <x v="5"/>
    <s v="Salud, Educación y  Deporte para la formación de un ser humano integral "/>
    <s v="0304"/>
    <s v="Fortalecimiento del sistema educativo."/>
    <n v="3"/>
    <s v="3.4.3"/>
    <n v="103"/>
    <s v="3.4.103"/>
    <s v="0304103"/>
    <s v="La mayoría de maestras y maestros han concluido su formación complementaria (PROFOCOM), cuentan con formación técnica para el bachillerato técnico humanístico o han concluido con la formación pos gradual en sus especialidades."/>
    <m/>
    <m/>
    <s v="Proceso"/>
    <s v="Social"/>
    <s v="Educación"/>
    <m/>
    <n v="1"/>
    <s v="PC"/>
    <m/>
    <m/>
    <m/>
    <e v="#DIV/0!"/>
    <n v="0"/>
    <n v="1"/>
    <s v="Etapa 1"/>
    <m/>
    <n v="4"/>
    <s v="4.c De aquí a 2030, aumentar considerablemente la oferta de docentes calificados, incluso mediante la cooperación internacional para la formación de docentes en los países en desarrollo, especialmente los países menos adelantados y los pequeños Estados insulares en desarrollo"/>
    <s v="4.c.1 Porcentaje de maestros en la enseñanza: a) preescolar; b) primaria; c) secundaria inferior y d) secundaria superior que han recibido al menos el mínimo de formación docente organizada (por ejemplo, formación pedagógica); requisitos de práctica previa a la docencia o durante su ejercicio para la enseñanza a un nivel dado en un país determinado._x000a_Desglose: por sexo (y otras características, donde se disponga de datos)"/>
    <m/>
    <x v="0"/>
    <m/>
    <n v="3"/>
    <s v="03041033"/>
    <x v="306"/>
    <s v="Impacto"/>
    <m/>
    <s v="Departamento"/>
    <s v="Porcentaje"/>
    <s v="Porcentaje de maestros en ejercicio con formación para el bachillerato técnico humanístico que forman parte del Sistema Educativo Plurinacional"/>
    <m/>
    <s v="MPG: Número de maestros de dependencia pública en ejercicio que cuentan con formación Post-Gradual "/>
    <s v="Ministerio de Educación"/>
    <s v="MSEP:  Número de maestros de dependencia publica en ejercicio que forman parte del Sistema Educativo Plurinacional"/>
    <s v="Ministerio de Educación"/>
    <s v="2016 - 2017"/>
    <s v="El dato presentado es acumulado de forma anual y debe interpretarse de la misma forma"/>
    <n v="1"/>
    <s v="030410331"/>
    <s v="DGFM - ME"/>
    <s v="Dirección General de Formación de Maestros - Ministerio de Educación"/>
    <s v="Registro Administrativo"/>
    <s v="Anual"/>
    <s v="2016-2017"/>
    <s v="Nacional"/>
    <s v="Departamental"/>
    <s v="Maestros en Ejercicio de dependencia pública"/>
    <m/>
    <s v="Ministerio de Educación - ME"/>
    <s v="Dirección General de Formación de Maestros-DGFM"/>
    <s v="Unidad de Gestión de Personal del Sistema Educativo Plurinacional UGP - SEP"/>
    <s v="(358) 2442144"/>
    <d v="2016-12-01T00:00:00"/>
    <n v="7.2999999999999995E-2"/>
    <n v="0.16"/>
    <n v="0.68"/>
    <n v="8.7000000000000011"/>
    <n v="5"/>
    <n v="9.0399999999999994E-2"/>
    <n v="7.2999999999999995E-2"/>
    <n v="0"/>
    <n v="0"/>
    <n v="0.10780000000000001"/>
    <n v="0.14000000000000001"/>
    <n v="6.700000000000002"/>
    <n v="0.7701149425287358"/>
    <n v="0.12520000000000001"/>
    <m/>
    <n v="-7.3"/>
    <n v="-0.83908045977011481"/>
    <n v="0.1426"/>
    <m/>
    <n v="-7.3"/>
    <n v="-0.83908045977011481"/>
    <n v="0.16"/>
    <m/>
    <n v="-7.3"/>
    <n v="-0.83908045977011481"/>
    <m/>
    <m/>
    <m/>
    <m/>
    <m/>
  </r>
  <r>
    <x v="26"/>
    <m/>
    <x v="5"/>
    <s v="Salud, Educación y  Deporte para la formación de un ser humano integral "/>
    <s v="0304"/>
    <s v="Fortalecimiento del sistema educativo."/>
    <n v="4"/>
    <s v="3.4.4"/>
    <n v="104"/>
    <s v="3.4.104"/>
    <s v="0304104"/>
    <s v="Todas las unidades educativas de secundaria participan en las olimpiadas científicas estudiantiles."/>
    <s v="Salud, Educación, Deporte"/>
    <s v="Educación"/>
    <s v="Proceso"/>
    <s v="Social"/>
    <s v="Educación"/>
    <m/>
    <m/>
    <s v="PC"/>
    <m/>
    <m/>
    <m/>
    <e v="#DIV/0!"/>
    <n v="0"/>
    <n v="1"/>
    <s v="Etapa 2"/>
    <m/>
    <m/>
    <m/>
    <m/>
    <m/>
    <x v="1"/>
    <m/>
    <n v="1"/>
    <s v="03041041"/>
    <x v="307"/>
    <s v="Proceso"/>
    <m/>
    <s v="Departamental"/>
    <s v="Porcentaje"/>
    <s v="Es el porcentaje de unidades educativas del Subsitema de Educación Regular que participan en las olimpiadas cientificas en sus diferentes disciplinas"/>
    <m/>
    <s v="UOCE: Es el número total de unidades educativas  del nivel primario y secundario del Subsistema de Eduación Regular que participan de las Olimpiadas Científicas Estudiantiles."/>
    <s v="Ministerio de Educación"/>
    <s v="UES: Es el número total de unidades educativas  del nivel  primario y secundario que forman parte del Subsistema de Educación Regular."/>
    <s v="Ministerio de Educación"/>
    <s v="2012-2017"/>
    <s v="El indicador no se puede desagregar por nivel educativo_x000a_No se ha definido una meta cuantitativa"/>
    <n v="1"/>
    <s v="030410411"/>
    <s v="DGCyT - ME"/>
    <s v="Dirección General de Ciencia y Tecnología - Ministero de Educación"/>
    <s v="Registro Administrativo"/>
    <s v="Anual"/>
    <s v="2012-2017"/>
    <s v="Nacional"/>
    <s v="Departamental"/>
    <s v="Unidades educativas pertenecientes al Subsistema de Educación Regular"/>
    <m/>
    <s v="Ministerio de Educación"/>
    <s v="Viceministerio de Ciencia y Tecnología - VCT"/>
    <s v="Dirección General de Ciencia y Tecnología -DGCyT"/>
    <n v="2900493"/>
    <d v="2015-12-01T00:00:00"/>
    <n v="0.37886514750500289"/>
    <m/>
    <m/>
    <n v="-37.886514750500289"/>
    <n v="5"/>
    <m/>
    <n v="0.45069999999999999"/>
    <n v="7.1834852494997108"/>
    <m/>
    <m/>
    <n v="0.3977"/>
    <n v="1.8834852494997112"/>
    <m/>
    <m/>
    <m/>
    <n v="-37.886514750500289"/>
    <m/>
    <m/>
    <m/>
    <n v="-37.886514750500289"/>
    <m/>
    <m/>
    <m/>
    <n v="-37.886514750500289"/>
    <m/>
    <m/>
    <m/>
    <m/>
    <m/>
    <m/>
  </r>
  <r>
    <x v="26"/>
    <m/>
    <x v="5"/>
    <s v="Salud, Educación y  Deporte para la formación de un ser humano integral "/>
    <s v="0304"/>
    <s v="Fortalecimiento del sistema educativo."/>
    <n v="5"/>
    <s v="3.4.5"/>
    <n v="105"/>
    <s v="3.4.105"/>
    <s v="0304105"/>
    <s v="Al menos el 80% de las unidades educativas cuentan con bachillerato técnico humanístico."/>
    <s v="Salud, Educación, Deporte"/>
    <s v="Educación"/>
    <s v="Producto"/>
    <s v="Social"/>
    <s v="Educación"/>
    <m/>
    <m/>
    <s v="PD"/>
    <m/>
    <m/>
    <m/>
    <e v="#DIV/0!"/>
    <n v="0"/>
    <n v="1"/>
    <s v="Etapa 1"/>
    <m/>
    <m/>
    <m/>
    <m/>
    <m/>
    <x v="1"/>
    <m/>
    <n v="1"/>
    <s v="03041051"/>
    <x v="308"/>
    <s v="Proceso"/>
    <m/>
    <s v="Departamental"/>
    <s v="Porcentaje"/>
    <s v="Es el porcentaje de unidades educativas que implementan la Educación Técnica Tecnológica para el Bachillerato Técnico Humanístico y el modelo de gestión educativa comunitaria"/>
    <m/>
    <s v="UEP: Unidades Educativas que han implementado el Bachillerato Técnico Humanístico (Unidades Educativas Plenas)"/>
    <s v="Ministerio de Educación"/>
    <s v="UE: Unidades Educativas que son parte del Subsistema de Educación Regular que cuentan con el nivel secundario"/>
    <s v="Ministerio de Educación"/>
    <s v="2014-2016"/>
    <s v="Se incorporarála meta para el 2020 de 6,42%, propuesta por el ME, misma que se aclarará y justificará en el informe."/>
    <n v="1"/>
    <s v="030410511"/>
    <s v="SIE - ME"/>
    <s v="Sistema de Información Educativa - Ministero de Educación"/>
    <s v="Registro Administrativo"/>
    <s v="Anual"/>
    <s v="2014-2016"/>
    <s v="Nacional"/>
    <s v="Departamental"/>
    <s v="Unidades Educativas plenas que implemntan el Bachillerato Técnico Humanístico (BTH) del Subsistema de Educación Regular"/>
    <m/>
    <s v="Ministerio de Educación"/>
    <s v="Dirección General de Planificación - Dirección General de Educación Secunadria"/>
    <s v="Sistema de Información Educatiava - SIE"/>
    <s v="(358) 2442144"/>
    <d v="2015-12-01T00:00:00"/>
    <n v="3.2096774193548387E-2"/>
    <n v="0.8"/>
    <n v="0.12839999999999999"/>
    <n v="76.790322580645167"/>
    <n v="5"/>
    <n v="0.18567741935483872"/>
    <n v="3.4000000000000002E-2"/>
    <n v="0.19032258064516153"/>
    <n v="2.4784709094728026E-3"/>
    <n v="0.33925806451612905"/>
    <m/>
    <n v="-3.2096774193548385"/>
    <n v="-4.1797941608905688E-2"/>
    <n v="0.49283870967741938"/>
    <m/>
    <n v="-3.2096774193548385"/>
    <n v="-4.1797941608905688E-2"/>
    <n v="0.64641935483870971"/>
    <m/>
    <n v="-3.2096774193548385"/>
    <n v="-4.1797941608905688E-2"/>
    <n v="0.8"/>
    <m/>
    <n v="-3.2096774193548385"/>
    <n v="-4.1797941608905688E-2"/>
    <m/>
    <m/>
    <m/>
    <m/>
    <m/>
  </r>
  <r>
    <x v="26"/>
    <s v="*"/>
    <x v="5"/>
    <s v="Salud, Educación y  Deporte para la formación de un ser humano integral "/>
    <s v="0304"/>
    <s v="Fortalecimiento del sistema educativo."/>
    <n v="6"/>
    <s v="3.4.6"/>
    <n v="106"/>
    <s v="3.4.106"/>
    <s v="0304106"/>
    <s v="Más de 100.000 personas han concluido el bachillerato técnico - humanístico, y han recibido sus títulos profesionales de técnico básico y técnico medio."/>
    <s v="Salud, Educación, Deporte"/>
    <s v="Educación"/>
    <s v="Producto"/>
    <s v="Social"/>
    <s v="Educación"/>
    <m/>
    <m/>
    <s v="RS"/>
    <m/>
    <m/>
    <s v="M.Educación"/>
    <e v="#DIV/0!"/>
    <n v="0"/>
    <n v="1"/>
    <s v="Etapa 1"/>
    <n v="1"/>
    <m/>
    <m/>
    <m/>
    <m/>
    <x v="1"/>
    <m/>
    <n v="1"/>
    <s v="03041061"/>
    <x v="309"/>
    <s v="Producto"/>
    <m/>
    <s v="Departamental"/>
    <s v="Número"/>
    <s v="Es el número de estudiantes que obtienen el Diploma de Bachiller Técnico Humanístico y con grado de Técnico Medio, de acuerdo a las vocaciones y potencialidades productivas de las regiones, en el subsistema de educación regular"/>
    <m/>
    <s v="BTH: Estudiantes que obtienen el Diploma de Bachiller Técnico Humanístico y con grado de Técnico Medio, de acuerdo a las vocaciones y potencialidades productivas de las regiones"/>
    <s v="Ministerio de Educación"/>
    <s v="---"/>
    <s v="---"/>
    <s v="2014-2016"/>
    <s v="El dato presentado es acumulado de forma anual y debe interpretarse de la misma forma._x000a_Se incorporará las meta para el 2020 de 70.000 propuesta por el ME, misma que se aclarará y justificará en el informe."/>
    <n v="1"/>
    <s v="030410611"/>
    <s v="SIE - ME"/>
    <s v="Sistema de Información Educativa - Ministero de Edcuación"/>
    <s v="Registro Administrativo"/>
    <s v="Anual"/>
    <s v="2014-2017"/>
    <s v="Nacional"/>
    <s v="Departamental"/>
    <s v="Población matriculada en el Subsistema de Educación Regular"/>
    <m/>
    <s v="Ministerio de Educación"/>
    <s v="Dirección General de Planificación - Dirección General de Educación Secunadria"/>
    <s v="Sistema de Información Educatiava - SIE"/>
    <s v="(358) 2442144"/>
    <d v="2015-12-01T00:00:00"/>
    <n v="18055"/>
    <n v="100000"/>
    <n v="213000"/>
    <n v="81945"/>
    <n v="5"/>
    <n v="34444"/>
    <n v="27733"/>
    <n v="9678"/>
    <n v="0.11810360607724693"/>
    <n v="50833"/>
    <n v="37700"/>
    <n v="19645"/>
    <n v="0.23973396790530233"/>
    <n v="67222"/>
    <m/>
    <n v="-18055"/>
    <n v="-0.22033070962230764"/>
    <n v="83611"/>
    <m/>
    <n v="-18055"/>
    <n v="-0.22033070962230764"/>
    <n v="100000"/>
    <m/>
    <n v="-18055"/>
    <n v="-0.22033070962230764"/>
    <m/>
    <m/>
    <m/>
    <m/>
    <m/>
  </r>
  <r>
    <x v="26"/>
    <s v="*"/>
    <x v="5"/>
    <s v="Salud, Educación y  Deporte para la formación de un ser humano integral "/>
    <s v="0304"/>
    <s v="Fortalecimiento del sistema educativo."/>
    <n v="8"/>
    <s v="3.4.8"/>
    <n v="108"/>
    <s v="3.4.108"/>
    <s v="0304108"/>
    <s v="Al menos 500 profesionales de excelencia de todo el país beneficiados con becas de postgrado (maestrías y doctorados), en las mejores universidades extranjeras."/>
    <s v="Salud, Educación, Deporte"/>
    <s v="Educación"/>
    <s v="Producto"/>
    <s v="Social"/>
    <s v="Educación"/>
    <m/>
    <m/>
    <s v="RS"/>
    <m/>
    <m/>
    <s v="M.Educación"/>
    <e v="#DIV/0!"/>
    <n v="0"/>
    <n v="1"/>
    <s v="Etapa 1"/>
    <n v="1"/>
    <m/>
    <m/>
    <m/>
    <m/>
    <x v="1"/>
    <m/>
    <n v="1"/>
    <s v="03041081"/>
    <x v="310"/>
    <s v="Producto"/>
    <m/>
    <s v="Departamental, Especialidad"/>
    <s v="Número"/>
    <s v="Es el número de profesionales, que fueron  becados en las mejores universidades del mundo en las áreas científicas vinculadas al desarrollo de sectores estratégicos del país"/>
    <m/>
    <s v="PB: Número de profesionales beneficiados con becas de Post-Grado en universidades extranjeras de excelencia"/>
    <s v="Ministerio de Educación"/>
    <s v="---"/>
    <s v="---"/>
    <s v="2014-2016"/>
    <s v="El dato presentado es acumulado de forma anual y debe interpretarse de la misma forma._x000a_Se incorporara las meta al 2020 de 300 propuesta por el ME, misma que se aclarará y justificará en el informe"/>
    <n v="1"/>
    <s v="030410811"/>
    <s v="DGESU - ME"/>
    <s v="Dirección General de Educación Superior Universitaria - Ministero de Edcuación"/>
    <s v="Registro Administrativo"/>
    <s v="Anual"/>
    <s v="2014-2016"/>
    <s v="Nacional"/>
    <s v="Departamental"/>
    <s v="Profesionales bolivianos a nivel de licenciatura o maestría en áreas cientificas tecnológicas, de salud y nuclear"/>
    <m/>
    <s v="Ministerio de Educación"/>
    <s v="Viceminsterio de Educación Superior de Formación Profesional"/>
    <s v="Dirección General de Educación Superior Universitaria - DGESU"/>
    <n v="2444814"/>
    <d v="2015-12-01T00:00:00"/>
    <n v="47"/>
    <n v="500"/>
    <n v="600"/>
    <n v="453"/>
    <n v="5"/>
    <n v="137.6"/>
    <n v="74"/>
    <n v="27"/>
    <n v="5.9602649006622516E-2"/>
    <n v="228.2"/>
    <m/>
    <n v="-47"/>
    <n v="-0.10375275938189846"/>
    <n v="318.79999999999995"/>
    <m/>
    <n v="-47"/>
    <n v="-0.10375275938189846"/>
    <n v="409.4"/>
    <m/>
    <n v="-47"/>
    <n v="-0.10375275938189846"/>
    <n v="500"/>
    <m/>
    <n v="-47"/>
    <n v="-0.10375275938189846"/>
    <m/>
    <m/>
    <m/>
    <m/>
    <m/>
  </r>
  <r>
    <x v="26"/>
    <s v="*"/>
    <x v="5"/>
    <s v="Salud, Educación y  Deporte para la formación de un ser humano integral "/>
    <s v="0304"/>
    <s v="Fortalecimiento del sistema educativo."/>
    <n v="9"/>
    <s v="3.4.9"/>
    <n v="109"/>
    <s v="3.4.109"/>
    <s v="0304109"/>
    <s v="Se ha incorporado a la mayoría de los pueblos y naciones indígena originario campesinos con su lengua, cultura, conocimientos y saberes en los procesos educativos del Sistema Educativo Plurinacional, creándose nuevos institutos de lenguas y culturas para recuperar, revitalizar, normalizar, promocionar e investigar las lenguas indígenas."/>
    <s v="Salud, Educación, Deporte"/>
    <s v="Educación"/>
    <s v="Producto"/>
    <s v="Social"/>
    <s v="Educación"/>
    <m/>
    <n v="1"/>
    <s v="RS"/>
    <m/>
    <m/>
    <s v="M.Educación"/>
    <e v="#DIV/0!"/>
    <n v="0"/>
    <n v="1"/>
    <s v="Etapa 1"/>
    <n v="1"/>
    <m/>
    <m/>
    <m/>
    <m/>
    <x v="1"/>
    <m/>
    <n v="1"/>
    <s v="03041091"/>
    <x v="311"/>
    <s v="Proceso"/>
    <m/>
    <s v="Nacional, por NPIOC"/>
    <s v="Número"/>
    <s v="Es el número de Institutos de Lenguas y Culturas creados para cada Nación y Pueblo Indigena Originarios y Afroboliviano (NPIOyA), por el Instituto Plurinacional de Estudios de Lengua y Culturas (IPELC)"/>
    <m/>
    <s v="ILC: Creación de Institutos de Lengua y Cultura por cada Nación y Pueblo Indigena Originario_x000a_"/>
    <s v="Ministerio de Educación"/>
    <s v="---"/>
    <s v="---"/>
    <s v="2015 - 2017"/>
    <s v="El dato presentado es acumulado de forma anual y debe interpretarse de la misma forma"/>
    <n v="1"/>
    <s v="030410911"/>
    <s v="UPIIP - ME"/>
    <s v="Unidad de Politicas de Intraculturalidad Interculturalidad y Plurilinguismo - Ministero de Edcuación"/>
    <s v="Registro Administrativo"/>
    <s v="Anual"/>
    <s v="2015-2017"/>
    <s v="Nacional"/>
    <s v="Nacional"/>
    <s v="Naciones y Pueblos Indígena Originarios y Afroboliviano"/>
    <m/>
    <s v="Ministerio de Educación"/>
    <s v="Unidad de Politicas de Intraculturalidad interculturalidad y Plurilinguismo"/>
    <s v="Unidad de Politicas de Intraculturalidad interculturalidad y Plurilinguismo - UPIIP"/>
    <n v="2681264"/>
    <d v="2015-12-01T00:00:00"/>
    <n v="21"/>
    <n v="36"/>
    <n v="36"/>
    <n v="15"/>
    <n v="5"/>
    <n v="24"/>
    <n v="28"/>
    <n v="7"/>
    <n v="0.46666666666666667"/>
    <n v="27"/>
    <n v="31"/>
    <n v="10"/>
    <n v="0.66666666666666663"/>
    <n v="30"/>
    <m/>
    <n v="-21"/>
    <n v="-1.4"/>
    <n v="33"/>
    <m/>
    <n v="-21"/>
    <n v="-1.4"/>
    <n v="36"/>
    <m/>
    <n v="-21"/>
    <n v="-1.4"/>
    <m/>
    <m/>
    <m/>
    <m/>
    <m/>
  </r>
  <r>
    <x v="26"/>
    <m/>
    <x v="6"/>
    <s v="Soberanía científica y tecnológica con identidad propia "/>
    <s v="0405"/>
    <s v="Formación y especialización profesional científica."/>
    <n v="2"/>
    <s v="4.5.2"/>
    <n v="134"/>
    <s v="4.5.134"/>
    <s v="0405134"/>
    <s v="Las empresas públicas y centros de innovación tecnológica nacional y de los gobiernos autónomos han incorporado profesionales con alto grado de formación científica y tecnológica."/>
    <s v="Ciencia y Tecnología"/>
    <s v="Ciencia y Tecnología"/>
    <s v="Proceso"/>
    <s v="Política e Institucional"/>
    <s v="Institucional"/>
    <m/>
    <m/>
    <s v="PC"/>
    <m/>
    <m/>
    <m/>
    <e v="#DIV/0!"/>
    <n v="0"/>
    <n v="1"/>
    <s v="Etapa 1"/>
    <m/>
    <m/>
    <m/>
    <m/>
    <m/>
    <x v="1"/>
    <m/>
    <n v="1"/>
    <s v="04051341"/>
    <x v="312"/>
    <s v="Impacto"/>
    <m/>
    <s v="Nacional"/>
    <s v="Número"/>
    <s v="Es el número de profesionales, que fueron  becados en las mejores universidades del mundo que retornan al país luego de alcanzar el el titulo de post grado, incorporados laboralmente a las empresas y entidades del estado"/>
    <m/>
    <s v="PBIL: Número de profesionales que retornan al país luego de alcanzar el titulo de post grado, incorporados laboralmente a empresas del estado"/>
    <s v="Ministerio de Educación"/>
    <s v="---"/>
    <s v="---"/>
    <n v="2015"/>
    <s v="El dato presentado es acumulado de forma anual y debe interpretarse de la misma forma"/>
    <n v="1"/>
    <s v="040513411"/>
    <s v="DGESU - ME"/>
    <s v="Dirección General de Educación Superior Universitaria - Ministero de Educación"/>
    <s v="Registro Administrativo"/>
    <s v="Anual"/>
    <n v="2015"/>
    <s v="Nacional"/>
    <s v="Nacional"/>
    <s v="Profesionales bolivianos a nivel de licenciatura o maestría en áreas cientificas tecnológicas, de salud y nuclear"/>
    <s v="El ministerio de Educación realiza las gestiones para incorporarlos en trabajo, Programa de becas y soberania tecnologica"/>
    <s v="Ministerio de Educación"/>
    <s v="Viceminsterio de Educación Superior de Formación Profesional"/>
    <s v="Dirección General de Educación Superior Universitaria - DGESU"/>
    <s v=" (327) 2442144"/>
    <d v="2015-12-01T00:00:00"/>
    <n v="20"/>
    <n v="115"/>
    <n v="230"/>
    <n v="95"/>
    <n v="5"/>
    <n v="39"/>
    <m/>
    <n v="-20"/>
    <n v="-0.21052631578947367"/>
    <n v="58"/>
    <m/>
    <n v="-20"/>
    <n v="-0.21052631578947367"/>
    <n v="77"/>
    <m/>
    <n v="-20"/>
    <n v="-0.21052631578947367"/>
    <n v="96"/>
    <m/>
    <n v="-20"/>
    <n v="-0.21052631578947367"/>
    <n v="115"/>
    <m/>
    <n v="-20"/>
    <n v="-0.21052631578947367"/>
    <m/>
    <m/>
    <m/>
    <m/>
    <m/>
  </r>
  <r>
    <x v="26"/>
    <m/>
    <x v="10"/>
    <s v="Soberanía alimentaria "/>
    <s v="0802"/>
    <s v="Acceso universal a la Alimentación Complementaria Escolar (ACE)."/>
    <n v="2"/>
    <s v="8.2.2"/>
    <n v="228"/>
    <s v="8.2.228"/>
    <s v="0802228"/>
    <s v="Se ha  logrado que  la mayoría   de estudiantes  reciban Alimentación  complementaria Escolar por más de 150 días al año.  "/>
    <s v="Alimentación y Nutrición"/>
    <s v="Nutrición"/>
    <s v="Resultado"/>
    <s v="Social"/>
    <s v="Nutrición"/>
    <m/>
    <m/>
    <s v="RS"/>
    <m/>
    <m/>
    <s v="M.Educación"/>
    <e v="#DIV/0!"/>
    <n v="1"/>
    <n v="0"/>
    <s v="Etapa 1"/>
    <n v="1"/>
    <m/>
    <m/>
    <m/>
    <s v="Reformular indicador en basea porcentaje de avance respecto a la meta (150 días al año)"/>
    <x v="1"/>
    <m/>
    <n v="1"/>
    <s v="08022281"/>
    <x v="313"/>
    <s v="Producto"/>
    <m/>
    <s v="Nacional"/>
    <s v="Porcentaje"/>
    <s v="Es el porcentaje de estudiantes matriculados en unidades educativas públicas y/o de convenio que reciben desayuno/almuerzo o merienda escolar por 8, 9 y 10 meses durante la gestión escolar"/>
    <m/>
    <s v="ErACE: Número de estudiantes matriculados en unidades educativas públicas y/o de convenio que reciben la Alimentación Complementaria Escolar (desayuno/almuerzo o merienda escolar) por  8, 9 y 10 meses durante la gestión escolar  "/>
    <s v="Instituto Nacional de Estadística"/>
    <s v="TE: Total de Estudiantes matriculados en unidades educativas públicas y/o de convenio"/>
    <s v="Instituto Nacional de Estadística"/>
    <s v="2016-2017"/>
    <s v="La pregunta sobre cuántos meses durante la gestión recibió desayuno/almuerzo o merienda escolar fue introducida a partir del año 2016"/>
    <n v="1"/>
    <s v="080222811"/>
    <s v="EH"/>
    <s v="Encuestas Hogares"/>
    <s v="Encuesta"/>
    <s v="Anual"/>
    <s v="2011-2017"/>
    <s v="Nacional"/>
    <s v="Departamental"/>
    <s v="Alfabetismo,Matriculación, Asistencia, Empleo, Salud, Ingresos, Pobreza"/>
    <s v="Cabe señalar que la distribución de la Alimentación Complementaria Escolar, depende completamente de los Gobiernos Autónomos Municipales, los cuales coordinan directamente con las juntas y organizaciones regionales en función a los recursos disponibles"/>
    <s v="Instituto Nacional de Estadística (INE); "/>
    <s v="Dirección de Estadísticas e Indicadores Económicos y Sociales (DEIES)"/>
    <s v="Unidad de Estadísticas e Indicadores Sociales (UEIS)"/>
    <s v="(591) 2222333"/>
    <d v="2016-12-01T00:00:00"/>
    <n v="0.63971836858389397"/>
    <m/>
    <m/>
    <n v="-63.971836858389395"/>
    <n v="5"/>
    <m/>
    <n v="0.63971836858389397"/>
    <n v="0"/>
    <m/>
    <m/>
    <n v="0.67034891504095195"/>
    <n v="3.0630546457057983"/>
    <m/>
    <m/>
    <m/>
    <n v="-63.971836858389395"/>
    <m/>
    <m/>
    <m/>
    <n v="-63.971836858389395"/>
    <m/>
    <m/>
    <m/>
    <n v="-63.971836858389395"/>
    <m/>
    <m/>
    <m/>
    <m/>
    <m/>
    <m/>
  </r>
  <r>
    <x v="26"/>
    <s v="ODS"/>
    <x v="3"/>
    <m/>
    <m/>
    <m/>
    <m/>
    <m/>
    <m/>
    <m/>
    <m/>
    <m/>
    <m/>
    <m/>
    <m/>
    <m/>
    <m/>
    <m/>
    <m/>
    <m/>
    <m/>
    <m/>
    <m/>
    <m/>
    <m/>
    <m/>
    <s v="Etapa 1"/>
    <m/>
    <m/>
    <s v="4.2 De aquí a 2030, asegurar que todas las niñas y todos los niños tengan acceso a servicios de atención y desarrollo en la primera infancia y educación preescolar de calidad, a fin de que estén preparados para la enseñanza primaria "/>
    <s v="Tasa de participación en la enseñanza organizada (un año antes de la edad oficial de ingreso en la enseñanza primaria)"/>
    <m/>
    <x v="7"/>
    <m/>
    <m/>
    <s v=""/>
    <x v="314"/>
    <s v="Impacto"/>
    <m/>
    <s v="Sexo, Departamental"/>
    <s v="Porcentaje"/>
    <s v="Porcentaje de niños en un rango de edad dado que participan en uno o más programas de aprendizaje, incluidos los programas que combinan educación y cuidado. El rango de edad variará por país dependiendo de la edad oficial de ingreso a la educación primaria."/>
    <s v="PROL0,AG(a-1) = E0,AG(a-1)_x000a_                              SAPAG(a-1)_x000a__x000a_donde:_x000a__x000a_PROL0,AG(a-1) = tasa de participación en programas educativos un año antes respecto a la edad normativa de ingreso a la educación primaria "/>
    <s v="E0,AG(a-1) = matrícula de educación de la primera infancia (nivel CINE 0) un año antes respecto a la edad normativa de ingreso a la educación primaria"/>
    <s v="Ministerio de Educación"/>
    <s v="SAPAG(a-1) = población en edad escolar un año antes respecto a la edad normativa de ingreso a la educación primaria"/>
    <s v="Instituto de Estadísticas de la UNESCO (UIS)"/>
    <s v="2000-2016"/>
    <s v="El denominador es provisto por la UIS y a efectos de cálculo del indicador se mantendría el dato"/>
    <m/>
    <s v=""/>
    <s v="DGP-ME"/>
    <s v="Dirección General de Planificación - Ministerio de Educación"/>
    <s v="Registro Administrativo"/>
    <s v="Anual"/>
    <s v="2000-2016"/>
    <s v="Nacional"/>
    <s v="Departamental"/>
    <s v="Matriculación, población"/>
    <m/>
    <s v="Ministerio de Educación"/>
    <s v="Instituto de Estadísticas de la UNESCO (UIS)"/>
    <m/>
    <s v="(591) 2681200"/>
    <d v="2015-12-01T00:00:00"/>
    <n v="0.86099999999999999"/>
    <n v="0.94"/>
    <n v="0.95"/>
    <n v="7.8999999999999959"/>
    <n v="5"/>
    <n v="0.87680000000000002"/>
    <n v="0.92100000000000004"/>
    <n v="6.0000000000000053"/>
    <n v="0.759493670886077"/>
    <n v="0.89259999999999995"/>
    <m/>
    <n v="-86.1"/>
    <n v="-10.898734177215195"/>
    <n v="0.90839999999999999"/>
    <m/>
    <n v="-86.1"/>
    <n v="-10.898734177215195"/>
    <n v="0.92419999999999991"/>
    <m/>
    <n v="-86.1"/>
    <n v="-10.898734177215195"/>
    <n v="0.94"/>
    <m/>
    <n v="-86.1"/>
    <n v="-10.898734177215195"/>
    <m/>
    <m/>
    <m/>
    <m/>
    <m/>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00000000-0007-0000-0100-000000000000}" name="Tabla dinámica1" cacheId="4" applyNumberFormats="0" applyBorderFormats="0" applyFontFormats="0" applyPatternFormats="0" applyAlignmentFormats="0" applyWidthHeightFormats="1" dataCaption="Valores" updatedVersion="5" minRefreshableVersion="3" useAutoFormatting="1" itemPrintTitles="1" createdVersion="5" indent="0" outline="1" outlineData="1" multipleFieldFilters="0">
  <location ref="A3:O347" firstHeaderRow="1" firstDataRow="2" firstDataCol="1"/>
  <pivotFields count="95">
    <pivotField axis="axisRow" showAll="0">
      <items count="28">
        <item x="17"/>
        <item x="18"/>
        <item x="15"/>
        <item x="16"/>
        <item x="8"/>
        <item x="9"/>
        <item x="19"/>
        <item x="26"/>
        <item x="12"/>
        <item x="25"/>
        <item x="11"/>
        <item x="5"/>
        <item x="1"/>
        <item x="0"/>
        <item x="2"/>
        <item x="4"/>
        <item x="3"/>
        <item x="10"/>
        <item x="24"/>
        <item x="7"/>
        <item x="6"/>
        <item x="22"/>
        <item x="14"/>
        <item x="20"/>
        <item x="21"/>
        <item x="23"/>
        <item x="13"/>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Col" showAll="0">
      <items count="14">
        <item x="2"/>
        <item x="9"/>
        <item x="5"/>
        <item x="8"/>
        <item x="1"/>
        <item x="11"/>
        <item x="12"/>
        <item x="0"/>
        <item x="4"/>
        <item x="3"/>
        <item x="6"/>
        <item x="10"/>
        <item x="7"/>
        <item t="default"/>
      </items>
    </pivotField>
    <pivotField showAll="0"/>
    <pivotField showAll="0"/>
    <pivotField showAll="0"/>
    <pivotField axis="axisRow" dataField="1" showAll="0">
      <items count="316">
        <item x="187"/>
        <item x="117"/>
        <item x="112"/>
        <item x="116"/>
        <item x="114"/>
        <item x="110"/>
        <item x="149"/>
        <item x="254"/>
        <item x="33"/>
        <item x="30"/>
        <item x="29"/>
        <item x="32"/>
        <item x="31"/>
        <item x="129"/>
        <item x="71"/>
        <item x="72"/>
        <item x="243"/>
        <item x="244"/>
        <item x="145"/>
        <item x="39"/>
        <item x="163"/>
        <item x="164"/>
        <item x="162"/>
        <item x="166"/>
        <item x="167"/>
        <item x="165"/>
        <item x="38"/>
        <item x="40"/>
        <item x="73"/>
        <item x="289"/>
        <item x="118"/>
        <item x="183"/>
        <item x="182"/>
        <item x="150"/>
        <item x="133"/>
        <item x="34"/>
        <item x="89"/>
        <item x="136"/>
        <item x="138"/>
        <item x="303"/>
        <item x="309"/>
        <item x="313"/>
        <item x="35"/>
        <item x="36"/>
        <item x="76"/>
        <item x="253"/>
        <item x="88"/>
        <item x="103"/>
        <item x="102"/>
        <item x="245"/>
        <item x="207"/>
        <item x="57"/>
        <item x="49"/>
        <item x="50"/>
        <item x="48"/>
        <item x="238"/>
        <item x="51"/>
        <item x="52"/>
        <item x="220"/>
        <item x="224"/>
        <item x="222"/>
        <item x="221"/>
        <item x="223"/>
        <item x="218"/>
        <item x="231"/>
        <item x="227"/>
        <item x="234"/>
        <item x="235"/>
        <item x="228"/>
        <item x="225"/>
        <item x="232"/>
        <item x="229"/>
        <item x="226"/>
        <item x="233"/>
        <item x="230"/>
        <item x="217"/>
        <item x="261"/>
        <item x="258"/>
        <item x="259"/>
        <item x="260"/>
        <item x="104"/>
        <item x="311"/>
        <item x="37"/>
        <item x="263"/>
        <item x="262"/>
        <item x="0"/>
        <item x="8"/>
        <item x="12"/>
        <item x="10"/>
        <item x="2"/>
        <item x="4"/>
        <item x="6"/>
        <item x="24"/>
        <item x="305"/>
        <item x="14"/>
        <item x="134"/>
        <item x="286"/>
        <item x="287"/>
        <item x="288"/>
        <item x="197"/>
        <item x="155"/>
        <item x="83"/>
        <item x="257"/>
        <item x="236"/>
        <item x="132"/>
        <item x="16"/>
        <item x="68"/>
        <item x="214"/>
        <item x="285"/>
        <item x="170"/>
        <item x="248"/>
        <item x="249"/>
        <item x="247"/>
        <item x="21"/>
        <item x="246"/>
        <item x="81"/>
        <item x="19"/>
        <item x="169"/>
        <item x="147"/>
        <item x="119"/>
        <item x="84"/>
        <item x="92"/>
        <item x="120"/>
        <item x="77"/>
        <item x="78"/>
        <item x="91"/>
        <item x="168"/>
        <item x="79"/>
        <item x="75"/>
        <item x="20"/>
        <item x="87"/>
        <item x="74"/>
        <item x="82"/>
        <item x="69"/>
        <item x="151"/>
        <item x="90"/>
        <item x="284"/>
        <item x="294"/>
        <item x="80"/>
        <item x="54"/>
        <item x="55"/>
        <item x="291"/>
        <item x="290"/>
        <item x="282"/>
        <item x="283"/>
        <item x="277"/>
        <item x="279"/>
        <item x="278"/>
        <item x="280"/>
        <item x="281"/>
        <item x="272"/>
        <item x="271"/>
        <item x="273"/>
        <item x="275"/>
        <item x="270"/>
        <item x="276"/>
        <item x="274"/>
        <item x="266"/>
        <item x="267"/>
        <item x="268"/>
        <item x="269"/>
        <item x="265"/>
        <item x="239"/>
        <item x="66"/>
        <item x="144"/>
        <item x="297"/>
        <item x="302"/>
        <item x="159"/>
        <item x="61"/>
        <item x="123"/>
        <item x="127"/>
        <item x="128"/>
        <item x="18"/>
        <item x="212"/>
        <item x="130"/>
        <item x="161"/>
        <item x="17"/>
        <item x="141"/>
        <item x="158"/>
        <item x="59"/>
        <item x="60"/>
        <item x="58"/>
        <item x="181"/>
        <item x="215"/>
        <item x="211"/>
        <item x="213"/>
        <item x="47"/>
        <item x="109"/>
        <item x="115"/>
        <item x="113"/>
        <item x="111"/>
        <item x="139"/>
        <item x="135"/>
        <item x="108"/>
        <item x="180"/>
        <item x="216"/>
        <item x="292"/>
        <item x="293"/>
        <item x="1"/>
        <item x="9"/>
        <item x="13"/>
        <item x="11"/>
        <item x="3"/>
        <item x="5"/>
        <item x="7"/>
        <item x="152"/>
        <item x="121"/>
        <item x="175"/>
        <item x="86"/>
        <item x="85"/>
        <item x="46"/>
        <item x="125"/>
        <item x="306"/>
        <item x="143"/>
        <item x="140"/>
        <item x="15"/>
        <item x="194"/>
        <item x="196"/>
        <item x="193"/>
        <item x="195"/>
        <item x="189"/>
        <item x="174"/>
        <item x="191"/>
        <item x="190"/>
        <item x="188"/>
        <item x="122"/>
        <item x="93"/>
        <item x="101"/>
        <item x="94"/>
        <item x="146"/>
        <item x="178"/>
        <item x="65"/>
        <item x="172"/>
        <item x="171"/>
        <item x="173"/>
        <item x="62"/>
        <item x="99"/>
        <item x="137"/>
        <item x="153"/>
        <item x="154"/>
        <item x="206"/>
        <item x="209"/>
        <item x="210"/>
        <item x="199"/>
        <item x="198"/>
        <item x="200"/>
        <item x="45"/>
        <item x="41"/>
        <item x="44"/>
        <item x="42"/>
        <item x="43"/>
        <item x="142"/>
        <item x="237"/>
        <item x="160"/>
        <item x="252"/>
        <item x="64"/>
        <item x="179"/>
        <item x="308"/>
        <item x="177"/>
        <item x="307"/>
        <item x="126"/>
        <item x="124"/>
        <item x="184"/>
        <item x="185"/>
        <item x="186"/>
        <item x="157"/>
        <item x="176"/>
        <item x="310"/>
        <item x="312"/>
        <item x="301"/>
        <item x="192"/>
        <item x="70"/>
        <item x="250"/>
        <item x="201"/>
        <item x="98"/>
        <item x="264"/>
        <item x="255"/>
        <item x="256"/>
        <item x="241"/>
        <item x="240"/>
        <item x="156"/>
        <item x="242"/>
        <item x="251"/>
        <item x="296"/>
        <item x="298"/>
        <item x="299"/>
        <item x="295"/>
        <item x="53"/>
        <item x="208"/>
        <item x="202"/>
        <item x="204"/>
        <item x="203"/>
        <item x="205"/>
        <item x="100"/>
        <item x="148"/>
        <item x="105"/>
        <item x="107"/>
        <item x="106"/>
        <item x="304"/>
        <item x="300"/>
        <item x="96"/>
        <item x="95"/>
        <item x="97"/>
        <item x="314"/>
        <item x="26"/>
        <item x="22"/>
        <item x="28"/>
        <item x="25"/>
        <item x="63"/>
        <item x="27"/>
        <item x="23"/>
        <item x="67"/>
        <item x="219"/>
        <item x="131"/>
        <item x="56"/>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2">
    <field x="0"/>
    <field x="36"/>
  </rowFields>
  <rowItems count="343">
    <i>
      <x/>
    </i>
    <i r="1">
      <x v="243"/>
    </i>
    <i r="1">
      <x v="244"/>
    </i>
    <i r="1">
      <x v="245"/>
    </i>
    <i r="1">
      <x v="273"/>
    </i>
    <i>
      <x v="1"/>
    </i>
    <i r="1">
      <x v="50"/>
    </i>
    <i r="1">
      <x v="240"/>
    </i>
    <i r="1">
      <x v="288"/>
    </i>
    <i r="1">
      <x v="289"/>
    </i>
    <i r="1">
      <x v="290"/>
    </i>
    <i r="1">
      <x v="291"/>
    </i>
    <i r="1">
      <x v="292"/>
    </i>
    <i>
      <x v="2"/>
    </i>
    <i r="1">
      <x v="31"/>
    </i>
    <i r="1">
      <x v="32"/>
    </i>
    <i r="1">
      <x v="182"/>
    </i>
    <i r="1">
      <x v="194"/>
    </i>
    <i r="1">
      <x v="230"/>
    </i>
    <i r="1">
      <x v="256"/>
    </i>
    <i r="1">
      <x v="258"/>
    </i>
    <i r="1">
      <x v="262"/>
    </i>
    <i r="1">
      <x v="263"/>
    </i>
    <i r="1">
      <x v="264"/>
    </i>
    <i>
      <x v="3"/>
    </i>
    <i r="1">
      <x/>
    </i>
    <i r="1">
      <x v="99"/>
    </i>
    <i r="1">
      <x v="216"/>
    </i>
    <i r="1">
      <x v="217"/>
    </i>
    <i r="1">
      <x v="218"/>
    </i>
    <i r="1">
      <x v="219"/>
    </i>
    <i r="1">
      <x v="220"/>
    </i>
    <i r="1">
      <x v="222"/>
    </i>
    <i r="1">
      <x v="223"/>
    </i>
    <i r="1">
      <x v="224"/>
    </i>
    <i r="1">
      <x v="270"/>
    </i>
    <i>
      <x v="4"/>
    </i>
    <i r="1">
      <x v="47"/>
    </i>
    <i r="1">
      <x v="48"/>
    </i>
    <i r="1">
      <x v="80"/>
    </i>
    <i r="1">
      <x v="169"/>
    </i>
    <i r="1">
      <x v="193"/>
    </i>
    <i r="1">
      <x v="206"/>
    </i>
    <i r="1">
      <x v="225"/>
    </i>
    <i r="1">
      <x v="226"/>
    </i>
    <i r="1">
      <x v="227"/>
    </i>
    <i r="1">
      <x v="228"/>
    </i>
    <i r="1">
      <x v="236"/>
    </i>
    <i r="1">
      <x v="274"/>
    </i>
    <i r="1">
      <x v="293"/>
    </i>
    <i r="1">
      <x v="295"/>
    </i>
    <i r="1">
      <x v="296"/>
    </i>
    <i r="1">
      <x v="297"/>
    </i>
    <i r="1">
      <x v="300"/>
    </i>
    <i r="1">
      <x v="301"/>
    </i>
    <i r="1">
      <x v="302"/>
    </i>
    <i>
      <x v="5"/>
    </i>
    <i r="1">
      <x v="1"/>
    </i>
    <i r="1">
      <x v="2"/>
    </i>
    <i r="1">
      <x v="3"/>
    </i>
    <i r="1">
      <x v="4"/>
    </i>
    <i r="1">
      <x v="5"/>
    </i>
    <i r="1">
      <x v="30"/>
    </i>
    <i r="1">
      <x v="119"/>
    </i>
    <i r="1">
      <x v="122"/>
    </i>
    <i r="1">
      <x v="187"/>
    </i>
    <i r="1">
      <x v="188"/>
    </i>
    <i r="1">
      <x v="189"/>
    </i>
    <i r="1">
      <x v="190"/>
    </i>
    <i>
      <x v="6"/>
    </i>
    <i r="1">
      <x v="107"/>
    </i>
    <i r="1">
      <x v="173"/>
    </i>
    <i r="1">
      <x v="183"/>
    </i>
    <i r="1">
      <x v="184"/>
    </i>
    <i r="1">
      <x v="185"/>
    </i>
    <i r="1">
      <x v="195"/>
    </i>
    <i r="1">
      <x v="241"/>
    </i>
    <i r="1">
      <x v="242"/>
    </i>
    <i>
      <x v="7"/>
    </i>
    <i r="1">
      <x v="39"/>
    </i>
    <i r="1">
      <x v="40"/>
    </i>
    <i r="1">
      <x v="41"/>
    </i>
    <i r="1">
      <x v="81"/>
    </i>
    <i r="1">
      <x v="93"/>
    </i>
    <i r="1">
      <x v="137"/>
    </i>
    <i r="1">
      <x v="165"/>
    </i>
    <i r="1">
      <x v="166"/>
    </i>
    <i r="1">
      <x v="212"/>
    </i>
    <i r="1">
      <x v="257"/>
    </i>
    <i r="1">
      <x v="259"/>
    </i>
    <i r="1">
      <x v="267"/>
    </i>
    <i r="1">
      <x v="268"/>
    </i>
    <i r="1">
      <x v="269"/>
    </i>
    <i r="1">
      <x v="283"/>
    </i>
    <i r="1">
      <x v="284"/>
    </i>
    <i r="1">
      <x v="285"/>
    </i>
    <i r="1">
      <x v="286"/>
    </i>
    <i r="1">
      <x v="298"/>
    </i>
    <i r="1">
      <x v="299"/>
    </i>
    <i r="1">
      <x v="303"/>
    </i>
    <i>
      <x v="8"/>
    </i>
    <i r="1">
      <x v="20"/>
    </i>
    <i r="1">
      <x v="21"/>
    </i>
    <i r="1">
      <x v="22"/>
    </i>
    <i r="1">
      <x v="23"/>
    </i>
    <i r="1">
      <x v="24"/>
    </i>
    <i r="1">
      <x v="25"/>
    </i>
    <i>
      <x v="9"/>
    </i>
    <i r="1">
      <x v="29"/>
    </i>
    <i r="1">
      <x v="141"/>
    </i>
    <i r="1">
      <x v="142"/>
    </i>
    <i r="1">
      <x v="196"/>
    </i>
    <i r="1">
      <x v="197"/>
    </i>
    <i>
      <x v="10"/>
    </i>
    <i r="1">
      <x v="6"/>
    </i>
    <i r="1">
      <x v="18"/>
    </i>
    <i r="1">
      <x v="33"/>
    </i>
    <i r="1">
      <x v="34"/>
    </i>
    <i r="1">
      <x v="37"/>
    </i>
    <i r="1">
      <x v="38"/>
    </i>
    <i r="1">
      <x v="95"/>
    </i>
    <i r="1">
      <x v="100"/>
    </i>
    <i r="1">
      <x v="118"/>
    </i>
    <i r="1">
      <x v="134"/>
    </i>
    <i r="1">
      <x v="164"/>
    </i>
    <i r="1">
      <x v="167"/>
    </i>
    <i r="1">
      <x v="175"/>
    </i>
    <i r="1">
      <x v="177"/>
    </i>
    <i r="1">
      <x v="178"/>
    </i>
    <i r="1">
      <x v="191"/>
    </i>
    <i r="1">
      <x v="192"/>
    </i>
    <i r="1">
      <x v="205"/>
    </i>
    <i r="1">
      <x v="213"/>
    </i>
    <i r="1">
      <x v="214"/>
    </i>
    <i r="1">
      <x v="229"/>
    </i>
    <i r="1">
      <x v="237"/>
    </i>
    <i r="1">
      <x v="238"/>
    </i>
    <i r="1">
      <x v="239"/>
    </i>
    <i r="1">
      <x v="251"/>
    </i>
    <i r="1">
      <x v="253"/>
    </i>
    <i r="1">
      <x v="265"/>
    </i>
    <i r="1">
      <x v="280"/>
    </i>
    <i r="1">
      <x v="294"/>
    </i>
    <i>
      <x v="11"/>
    </i>
    <i r="1">
      <x v="163"/>
    </i>
    <i r="1">
      <x v="168"/>
    </i>
    <i r="1">
      <x v="231"/>
    </i>
    <i r="1">
      <x v="235"/>
    </i>
    <i r="1">
      <x v="255"/>
    </i>
    <i r="1">
      <x v="308"/>
    </i>
    <i r="1">
      <x v="311"/>
    </i>
    <i>
      <x v="12"/>
    </i>
    <i r="1">
      <x v="35"/>
    </i>
    <i r="1">
      <x v="42"/>
    </i>
    <i r="1">
      <x v="43"/>
    </i>
    <i r="1">
      <x v="82"/>
    </i>
    <i>
      <x v="13"/>
    </i>
    <i r="1">
      <x v="8"/>
    </i>
    <i r="1">
      <x v="9"/>
    </i>
    <i r="1">
      <x v="10"/>
    </i>
    <i r="1">
      <x v="11"/>
    </i>
    <i r="1">
      <x v="12"/>
    </i>
    <i r="1">
      <x v="85"/>
    </i>
    <i r="1">
      <x v="86"/>
    </i>
    <i r="1">
      <x v="87"/>
    </i>
    <i r="1">
      <x v="88"/>
    </i>
    <i r="1">
      <x v="89"/>
    </i>
    <i r="1">
      <x v="90"/>
    </i>
    <i r="1">
      <x v="91"/>
    </i>
    <i r="1">
      <x v="92"/>
    </i>
    <i r="1">
      <x v="94"/>
    </i>
    <i r="1">
      <x v="105"/>
    </i>
    <i r="1">
      <x v="113"/>
    </i>
    <i r="1">
      <x v="116"/>
    </i>
    <i r="1">
      <x v="129"/>
    </i>
    <i r="1">
      <x v="172"/>
    </i>
    <i r="1">
      <x v="176"/>
    </i>
    <i r="1">
      <x v="198"/>
    </i>
    <i r="1">
      <x v="199"/>
    </i>
    <i r="1">
      <x v="200"/>
    </i>
    <i r="1">
      <x v="201"/>
    </i>
    <i r="1">
      <x v="202"/>
    </i>
    <i r="1">
      <x v="203"/>
    </i>
    <i r="1">
      <x v="204"/>
    </i>
    <i r="1">
      <x v="215"/>
    </i>
    <i r="1">
      <x v="304"/>
    </i>
    <i r="1">
      <x v="305"/>
    </i>
    <i r="1">
      <x v="306"/>
    </i>
    <i r="1">
      <x v="307"/>
    </i>
    <i r="1">
      <x v="309"/>
    </i>
    <i r="1">
      <x v="310"/>
    </i>
    <i>
      <x v="14"/>
    </i>
    <i r="1">
      <x v="19"/>
    </i>
    <i r="1">
      <x v="26"/>
    </i>
    <i r="1">
      <x v="27"/>
    </i>
    <i r="1">
      <x v="210"/>
    </i>
    <i r="1">
      <x v="246"/>
    </i>
    <i r="1">
      <x v="247"/>
    </i>
    <i r="1">
      <x v="248"/>
    </i>
    <i r="1">
      <x v="249"/>
    </i>
    <i r="1">
      <x v="250"/>
    </i>
    <i>
      <x v="15"/>
    </i>
    <i r="1">
      <x v="51"/>
    </i>
    <i r="1">
      <x v="139"/>
    </i>
    <i r="1">
      <x v="140"/>
    </i>
    <i r="1">
      <x v="179"/>
    </i>
    <i r="1">
      <x v="180"/>
    </i>
    <i r="1">
      <x v="181"/>
    </i>
    <i r="1">
      <x v="287"/>
    </i>
    <i r="1">
      <x v="314"/>
    </i>
    <i>
      <x v="16"/>
    </i>
    <i r="1">
      <x v="52"/>
    </i>
    <i r="1">
      <x v="53"/>
    </i>
    <i r="1">
      <x v="54"/>
    </i>
    <i r="1">
      <x v="56"/>
    </i>
    <i r="1">
      <x v="57"/>
    </i>
    <i r="1">
      <x v="186"/>
    </i>
    <i>
      <x v="17"/>
    </i>
    <i r="1">
      <x v="13"/>
    </i>
    <i r="1">
      <x v="104"/>
    </i>
    <i r="1">
      <x v="170"/>
    </i>
    <i r="1">
      <x v="171"/>
    </i>
    <i r="1">
      <x v="174"/>
    </i>
    <i r="1">
      <x v="211"/>
    </i>
    <i r="1">
      <x v="260"/>
    </i>
    <i r="1">
      <x v="261"/>
    </i>
    <i r="1">
      <x v="313"/>
    </i>
    <i>
      <x v="18"/>
    </i>
    <i r="1">
      <x v="7"/>
    </i>
    <i r="1">
      <x v="76"/>
    </i>
    <i r="1">
      <x v="77"/>
    </i>
    <i r="1">
      <x v="78"/>
    </i>
    <i r="1">
      <x v="79"/>
    </i>
    <i r="1">
      <x v="83"/>
    </i>
    <i r="1">
      <x v="84"/>
    </i>
    <i r="1">
      <x v="96"/>
    </i>
    <i r="1">
      <x v="97"/>
    </i>
    <i r="1">
      <x v="98"/>
    </i>
    <i r="1">
      <x v="102"/>
    </i>
    <i r="1">
      <x v="108"/>
    </i>
    <i r="1">
      <x v="136"/>
    </i>
    <i r="1">
      <x v="143"/>
    </i>
    <i r="1">
      <x v="144"/>
    </i>
    <i r="1">
      <x v="145"/>
    </i>
    <i r="1">
      <x v="146"/>
    </i>
    <i r="1">
      <x v="147"/>
    </i>
    <i r="1">
      <x v="148"/>
    </i>
    <i r="1">
      <x v="149"/>
    </i>
    <i r="1">
      <x v="150"/>
    </i>
    <i r="1">
      <x v="151"/>
    </i>
    <i r="1">
      <x v="152"/>
    </i>
    <i r="1">
      <x v="153"/>
    </i>
    <i r="1">
      <x v="154"/>
    </i>
    <i r="1">
      <x v="155"/>
    </i>
    <i r="1">
      <x v="156"/>
    </i>
    <i r="1">
      <x v="157"/>
    </i>
    <i r="1">
      <x v="158"/>
    </i>
    <i r="1">
      <x v="159"/>
    </i>
    <i r="1">
      <x v="160"/>
    </i>
    <i r="1">
      <x v="161"/>
    </i>
    <i r="1">
      <x v="275"/>
    </i>
    <i r="1">
      <x v="276"/>
    </i>
    <i r="1">
      <x v="277"/>
    </i>
    <i>
      <x v="19"/>
    </i>
    <i r="1">
      <x v="14"/>
    </i>
    <i r="1">
      <x v="15"/>
    </i>
    <i r="1">
      <x v="28"/>
    </i>
    <i r="1">
      <x v="44"/>
    </i>
    <i r="1">
      <x v="101"/>
    </i>
    <i r="1">
      <x v="115"/>
    </i>
    <i r="1">
      <x v="120"/>
    </i>
    <i r="1">
      <x v="123"/>
    </i>
    <i r="1">
      <x v="124"/>
    </i>
    <i r="1">
      <x v="127"/>
    </i>
    <i r="1">
      <x v="128"/>
    </i>
    <i r="1">
      <x v="131"/>
    </i>
    <i r="1">
      <x v="132"/>
    </i>
    <i r="1">
      <x v="138"/>
    </i>
    <i r="1">
      <x v="208"/>
    </i>
    <i r="1">
      <x v="209"/>
    </i>
    <i>
      <x v="20"/>
    </i>
    <i r="1">
      <x v="36"/>
    </i>
    <i r="1">
      <x v="46"/>
    </i>
    <i r="1">
      <x v="106"/>
    </i>
    <i r="1">
      <x v="121"/>
    </i>
    <i r="1">
      <x v="125"/>
    </i>
    <i r="1">
      <x v="130"/>
    </i>
    <i r="1">
      <x v="133"/>
    </i>
    <i r="1">
      <x v="135"/>
    </i>
    <i r="1">
      <x v="271"/>
    </i>
    <i>
      <x v="21"/>
    </i>
    <i r="1">
      <x v="16"/>
    </i>
    <i r="1">
      <x v="17"/>
    </i>
    <i r="1">
      <x v="49"/>
    </i>
    <i r="1">
      <x v="110"/>
    </i>
    <i r="1">
      <x v="111"/>
    </i>
    <i r="1">
      <x v="112"/>
    </i>
    <i r="1">
      <x v="114"/>
    </i>
    <i>
      <x v="22"/>
    </i>
    <i r="1">
      <x v="207"/>
    </i>
    <i r="1">
      <x v="221"/>
    </i>
    <i r="1">
      <x v="232"/>
    </i>
    <i r="1">
      <x v="233"/>
    </i>
    <i r="1">
      <x v="234"/>
    </i>
    <i r="1">
      <x v="266"/>
    </i>
    <i>
      <x v="23"/>
    </i>
    <i r="1">
      <x v="55"/>
    </i>
    <i r="1">
      <x v="58"/>
    </i>
    <i r="1">
      <x v="59"/>
    </i>
    <i r="1">
      <x v="60"/>
    </i>
    <i r="1">
      <x v="61"/>
    </i>
    <i r="1">
      <x v="62"/>
    </i>
    <i r="1">
      <x v="63"/>
    </i>
    <i r="1">
      <x v="64"/>
    </i>
    <i r="1">
      <x v="65"/>
    </i>
    <i r="1">
      <x v="66"/>
    </i>
    <i r="1">
      <x v="67"/>
    </i>
    <i r="1">
      <x v="68"/>
    </i>
    <i r="1">
      <x v="69"/>
    </i>
    <i r="1">
      <x v="70"/>
    </i>
    <i r="1">
      <x v="71"/>
    </i>
    <i r="1">
      <x v="72"/>
    </i>
    <i r="1">
      <x v="73"/>
    </i>
    <i r="1">
      <x v="74"/>
    </i>
    <i r="1">
      <x v="75"/>
    </i>
    <i r="1">
      <x v="103"/>
    </i>
    <i r="1">
      <x v="162"/>
    </i>
    <i r="1">
      <x v="252"/>
    </i>
    <i r="1">
      <x v="279"/>
    </i>
    <i r="1">
      <x v="312"/>
    </i>
    <i>
      <x v="24"/>
    </i>
    <i r="1">
      <x v="278"/>
    </i>
    <i r="1">
      <x v="281"/>
    </i>
    <i>
      <x v="25"/>
    </i>
    <i r="1">
      <x v="45"/>
    </i>
    <i r="1">
      <x v="254"/>
    </i>
    <i r="1">
      <x v="272"/>
    </i>
    <i r="1">
      <x v="282"/>
    </i>
    <i>
      <x v="26"/>
    </i>
    <i r="1">
      <x v="109"/>
    </i>
    <i r="1">
      <x v="117"/>
    </i>
    <i r="1">
      <x v="126"/>
    </i>
    <i t="grand">
      <x/>
    </i>
  </rowItems>
  <colFields count="1">
    <field x="32"/>
  </colFields>
  <colItems count="14">
    <i>
      <x/>
    </i>
    <i>
      <x v="1"/>
    </i>
    <i>
      <x v="2"/>
    </i>
    <i>
      <x v="3"/>
    </i>
    <i>
      <x v="4"/>
    </i>
    <i>
      <x v="5"/>
    </i>
    <i>
      <x v="6"/>
    </i>
    <i>
      <x v="7"/>
    </i>
    <i>
      <x v="8"/>
    </i>
    <i>
      <x v="9"/>
    </i>
    <i>
      <x v="10"/>
    </i>
    <i>
      <x v="11"/>
    </i>
    <i>
      <x v="12"/>
    </i>
    <i t="grand">
      <x/>
    </i>
  </colItems>
  <dataFields count="1">
    <dataField name="Cuenta de NOMBRE DE INDICADOR" fld="36"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00000000-0007-0000-0200-000000000000}" name="Tabla dinámica3" cacheId="4" applyNumberFormats="0" applyBorderFormats="0" applyFontFormats="0" applyPatternFormats="0" applyAlignmentFormats="0" applyWidthHeightFormats="1" dataCaption="Valores" updatedVersion="5" minRefreshableVersion="3" useAutoFormatting="1" itemPrintTitles="1" createdVersion="5" indent="0" outline="1" outlineData="1" multipleFieldFilters="0">
  <location ref="A3:B31" firstHeaderRow="1" firstDataRow="1" firstDataCol="1"/>
  <pivotFields count="95">
    <pivotField axis="axisRow" showAll="0">
      <items count="28">
        <item x="17"/>
        <item x="18"/>
        <item x="15"/>
        <item x="16"/>
        <item x="8"/>
        <item x="9"/>
        <item x="19"/>
        <item x="26"/>
        <item x="12"/>
        <item x="25"/>
        <item x="11"/>
        <item x="5"/>
        <item x="1"/>
        <item x="0"/>
        <item x="2"/>
        <item x="4"/>
        <item x="3"/>
        <item x="10"/>
        <item x="24"/>
        <item x="7"/>
        <item x="6"/>
        <item x="22"/>
        <item x="14"/>
        <item x="20"/>
        <item x="21"/>
        <item x="23"/>
        <item x="13"/>
        <item t="default"/>
      </items>
    </pivotField>
    <pivotField showAll="0"/>
    <pivotField showAll="0">
      <items count="17">
        <item x="13"/>
        <item x="4"/>
        <item x="7"/>
        <item x="9"/>
        <item x="12"/>
        <item x="0"/>
        <item x="5"/>
        <item x="6"/>
        <item x="15"/>
        <item x="1"/>
        <item x="2"/>
        <item x="10"/>
        <item x="14"/>
        <item x="8"/>
        <item x="11"/>
        <item x="3"/>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316">
        <item x="187"/>
        <item x="117"/>
        <item x="112"/>
        <item x="116"/>
        <item x="114"/>
        <item x="110"/>
        <item x="149"/>
        <item x="254"/>
        <item x="33"/>
        <item x="30"/>
        <item x="29"/>
        <item x="32"/>
        <item x="31"/>
        <item x="129"/>
        <item x="71"/>
        <item x="72"/>
        <item x="243"/>
        <item x="244"/>
        <item x="145"/>
        <item x="39"/>
        <item x="163"/>
        <item x="164"/>
        <item x="162"/>
        <item x="166"/>
        <item x="167"/>
        <item x="165"/>
        <item x="38"/>
        <item x="40"/>
        <item x="73"/>
        <item x="289"/>
        <item x="118"/>
        <item x="183"/>
        <item x="182"/>
        <item x="150"/>
        <item x="133"/>
        <item x="34"/>
        <item x="89"/>
        <item x="136"/>
        <item x="138"/>
        <item x="303"/>
        <item x="309"/>
        <item x="313"/>
        <item x="35"/>
        <item x="36"/>
        <item x="76"/>
        <item x="253"/>
        <item x="88"/>
        <item x="103"/>
        <item x="102"/>
        <item x="245"/>
        <item x="207"/>
        <item x="57"/>
        <item x="49"/>
        <item x="50"/>
        <item x="48"/>
        <item x="238"/>
        <item x="51"/>
        <item x="52"/>
        <item x="220"/>
        <item x="224"/>
        <item x="222"/>
        <item x="221"/>
        <item x="223"/>
        <item x="218"/>
        <item x="231"/>
        <item x="227"/>
        <item x="234"/>
        <item x="235"/>
        <item x="228"/>
        <item x="225"/>
        <item x="232"/>
        <item x="229"/>
        <item x="226"/>
        <item x="233"/>
        <item x="230"/>
        <item x="217"/>
        <item x="261"/>
        <item x="258"/>
        <item x="259"/>
        <item x="260"/>
        <item x="104"/>
        <item x="311"/>
        <item x="37"/>
        <item x="263"/>
        <item x="262"/>
        <item x="0"/>
        <item x="8"/>
        <item x="12"/>
        <item x="10"/>
        <item x="2"/>
        <item x="4"/>
        <item x="6"/>
        <item x="24"/>
        <item x="305"/>
        <item x="14"/>
        <item x="134"/>
        <item x="286"/>
        <item x="287"/>
        <item x="288"/>
        <item x="197"/>
        <item x="155"/>
        <item x="83"/>
        <item x="257"/>
        <item x="236"/>
        <item x="132"/>
        <item x="16"/>
        <item x="68"/>
        <item x="214"/>
        <item x="285"/>
        <item x="170"/>
        <item x="248"/>
        <item x="249"/>
        <item x="247"/>
        <item x="21"/>
        <item x="246"/>
        <item x="81"/>
        <item x="19"/>
        <item x="169"/>
        <item x="147"/>
        <item x="119"/>
        <item x="84"/>
        <item x="92"/>
        <item x="120"/>
        <item x="77"/>
        <item x="78"/>
        <item x="91"/>
        <item x="168"/>
        <item x="79"/>
        <item x="75"/>
        <item x="20"/>
        <item x="87"/>
        <item x="74"/>
        <item x="82"/>
        <item x="69"/>
        <item x="151"/>
        <item x="90"/>
        <item x="284"/>
        <item x="294"/>
        <item x="80"/>
        <item x="54"/>
        <item x="55"/>
        <item x="291"/>
        <item x="290"/>
        <item x="282"/>
        <item x="283"/>
        <item x="277"/>
        <item x="279"/>
        <item x="278"/>
        <item x="280"/>
        <item x="281"/>
        <item x="272"/>
        <item x="271"/>
        <item x="273"/>
        <item x="275"/>
        <item x="270"/>
        <item x="276"/>
        <item x="274"/>
        <item x="266"/>
        <item x="267"/>
        <item x="268"/>
        <item x="269"/>
        <item x="265"/>
        <item x="239"/>
        <item x="66"/>
        <item x="144"/>
        <item x="297"/>
        <item x="302"/>
        <item x="159"/>
        <item x="61"/>
        <item x="123"/>
        <item x="127"/>
        <item x="128"/>
        <item x="18"/>
        <item x="212"/>
        <item x="130"/>
        <item x="161"/>
        <item x="17"/>
        <item x="141"/>
        <item x="158"/>
        <item x="59"/>
        <item x="60"/>
        <item x="58"/>
        <item x="181"/>
        <item x="215"/>
        <item x="211"/>
        <item x="213"/>
        <item x="47"/>
        <item x="109"/>
        <item x="115"/>
        <item x="113"/>
        <item x="111"/>
        <item x="139"/>
        <item x="135"/>
        <item x="108"/>
        <item x="180"/>
        <item x="216"/>
        <item x="292"/>
        <item x="293"/>
        <item x="1"/>
        <item x="9"/>
        <item x="13"/>
        <item x="11"/>
        <item x="3"/>
        <item x="5"/>
        <item x="7"/>
        <item x="152"/>
        <item x="121"/>
        <item x="175"/>
        <item x="86"/>
        <item x="85"/>
        <item x="46"/>
        <item x="125"/>
        <item x="306"/>
        <item x="143"/>
        <item x="140"/>
        <item x="15"/>
        <item x="194"/>
        <item x="196"/>
        <item x="193"/>
        <item x="195"/>
        <item x="189"/>
        <item x="174"/>
        <item x="191"/>
        <item x="190"/>
        <item x="188"/>
        <item x="122"/>
        <item x="93"/>
        <item x="101"/>
        <item x="94"/>
        <item x="146"/>
        <item x="178"/>
        <item x="65"/>
        <item x="172"/>
        <item x="171"/>
        <item x="173"/>
        <item x="62"/>
        <item x="99"/>
        <item x="137"/>
        <item x="153"/>
        <item x="154"/>
        <item x="206"/>
        <item x="209"/>
        <item x="210"/>
        <item x="199"/>
        <item x="198"/>
        <item x="200"/>
        <item x="45"/>
        <item x="41"/>
        <item x="44"/>
        <item x="42"/>
        <item x="43"/>
        <item x="142"/>
        <item x="237"/>
        <item x="160"/>
        <item x="252"/>
        <item x="64"/>
        <item x="179"/>
        <item x="308"/>
        <item x="177"/>
        <item x="307"/>
        <item x="126"/>
        <item x="124"/>
        <item x="184"/>
        <item x="185"/>
        <item x="186"/>
        <item x="157"/>
        <item x="176"/>
        <item x="310"/>
        <item x="312"/>
        <item x="301"/>
        <item x="192"/>
        <item x="70"/>
        <item x="250"/>
        <item x="201"/>
        <item x="98"/>
        <item x="264"/>
        <item x="255"/>
        <item x="256"/>
        <item x="241"/>
        <item x="240"/>
        <item x="156"/>
        <item x="242"/>
        <item x="251"/>
        <item x="296"/>
        <item x="298"/>
        <item x="299"/>
        <item x="295"/>
        <item x="53"/>
        <item x="208"/>
        <item x="202"/>
        <item x="204"/>
        <item x="203"/>
        <item x="205"/>
        <item x="100"/>
        <item x="148"/>
        <item x="105"/>
        <item x="107"/>
        <item x="106"/>
        <item x="304"/>
        <item x="300"/>
        <item x="96"/>
        <item x="95"/>
        <item x="97"/>
        <item x="314"/>
        <item x="26"/>
        <item x="22"/>
        <item x="28"/>
        <item x="25"/>
        <item x="63"/>
        <item x="27"/>
        <item x="23"/>
        <item x="67"/>
        <item x="219"/>
        <item x="131"/>
        <item x="56"/>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0"/>
  </rowFields>
  <rowItems count="28">
    <i>
      <x/>
    </i>
    <i>
      <x v="1"/>
    </i>
    <i>
      <x v="2"/>
    </i>
    <i>
      <x v="3"/>
    </i>
    <i>
      <x v="4"/>
    </i>
    <i>
      <x v="5"/>
    </i>
    <i>
      <x v="6"/>
    </i>
    <i>
      <x v="7"/>
    </i>
    <i>
      <x v="8"/>
    </i>
    <i>
      <x v="9"/>
    </i>
    <i>
      <x v="10"/>
    </i>
    <i>
      <x v="11"/>
    </i>
    <i>
      <x v="12"/>
    </i>
    <i>
      <x v="13"/>
    </i>
    <i>
      <x v="14"/>
    </i>
    <i>
      <x v="15"/>
    </i>
    <i>
      <x v="16"/>
    </i>
    <i>
      <x v="17"/>
    </i>
    <i>
      <x v="18"/>
    </i>
    <i>
      <x v="19"/>
    </i>
    <i>
      <x v="20"/>
    </i>
    <i>
      <x v="21"/>
    </i>
    <i>
      <x v="22"/>
    </i>
    <i>
      <x v="23"/>
    </i>
    <i>
      <x v="24"/>
    </i>
    <i>
      <x v="25"/>
    </i>
    <i>
      <x v="26"/>
    </i>
    <i t="grand">
      <x/>
    </i>
  </rowItems>
  <colItems count="1">
    <i/>
  </colItems>
  <dataFields count="1">
    <dataField name="Cuenta de NOMBRE DE INDICADOR" fld="36"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00000000-0007-0000-0300-000000000000}" name="Tabla dinámica4" cacheId="4" applyNumberFormats="0" applyBorderFormats="0" applyFontFormats="0" applyPatternFormats="0" applyAlignmentFormats="0" applyWidthHeightFormats="1" dataCaption="Valores" updatedVersion="5" minRefreshableVersion="3" useAutoFormatting="1" itemPrintTitles="1" createdVersion="5" indent="0" outline="1" outlineData="1" multipleFieldFilters="0">
  <location ref="A3:B20" firstHeaderRow="1" firstDataRow="1" firstDataCol="1"/>
  <pivotFields count="95">
    <pivotField showAll="0"/>
    <pivotField showAll="0"/>
    <pivotField axis="axisRow" showAll="0">
      <items count="17">
        <item x="13"/>
        <item x="4"/>
        <item x="7"/>
        <item x="9"/>
        <item x="12"/>
        <item x="0"/>
        <item x="5"/>
        <item x="6"/>
        <item x="15"/>
        <item x="1"/>
        <item x="2"/>
        <item x="10"/>
        <item x="14"/>
        <item x="8"/>
        <item x="11"/>
        <item x="3"/>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316">
        <item x="187"/>
        <item x="117"/>
        <item x="112"/>
        <item x="116"/>
        <item x="114"/>
        <item x="110"/>
        <item x="149"/>
        <item x="254"/>
        <item x="33"/>
        <item x="30"/>
        <item x="29"/>
        <item x="32"/>
        <item x="31"/>
        <item x="129"/>
        <item x="71"/>
        <item x="72"/>
        <item x="243"/>
        <item x="244"/>
        <item x="145"/>
        <item x="39"/>
        <item x="163"/>
        <item x="164"/>
        <item x="162"/>
        <item x="166"/>
        <item x="167"/>
        <item x="165"/>
        <item x="38"/>
        <item x="40"/>
        <item x="73"/>
        <item x="289"/>
        <item x="118"/>
        <item x="183"/>
        <item x="182"/>
        <item x="150"/>
        <item x="133"/>
        <item x="34"/>
        <item x="89"/>
        <item x="136"/>
        <item x="138"/>
        <item x="303"/>
        <item x="309"/>
        <item x="313"/>
        <item x="35"/>
        <item x="36"/>
        <item x="76"/>
        <item x="253"/>
        <item x="88"/>
        <item x="103"/>
        <item x="102"/>
        <item x="245"/>
        <item x="207"/>
        <item x="57"/>
        <item x="49"/>
        <item x="50"/>
        <item x="48"/>
        <item x="238"/>
        <item x="51"/>
        <item x="52"/>
        <item x="220"/>
        <item x="224"/>
        <item x="222"/>
        <item x="221"/>
        <item x="223"/>
        <item x="218"/>
        <item x="231"/>
        <item x="227"/>
        <item x="234"/>
        <item x="235"/>
        <item x="228"/>
        <item x="225"/>
        <item x="232"/>
        <item x="229"/>
        <item x="226"/>
        <item x="233"/>
        <item x="230"/>
        <item x="217"/>
        <item x="261"/>
        <item x="258"/>
        <item x="259"/>
        <item x="260"/>
        <item x="104"/>
        <item x="311"/>
        <item x="37"/>
        <item x="263"/>
        <item x="262"/>
        <item x="0"/>
        <item x="8"/>
        <item x="12"/>
        <item x="10"/>
        <item x="2"/>
        <item x="4"/>
        <item x="6"/>
        <item x="24"/>
        <item x="305"/>
        <item x="14"/>
        <item x="134"/>
        <item x="286"/>
        <item x="287"/>
        <item x="288"/>
        <item x="197"/>
        <item x="155"/>
        <item x="83"/>
        <item x="257"/>
        <item x="236"/>
        <item x="132"/>
        <item x="16"/>
        <item x="68"/>
        <item x="214"/>
        <item x="285"/>
        <item x="170"/>
        <item x="248"/>
        <item x="249"/>
        <item x="247"/>
        <item x="21"/>
        <item x="246"/>
        <item x="81"/>
        <item x="19"/>
        <item x="169"/>
        <item x="147"/>
        <item x="119"/>
        <item x="84"/>
        <item x="92"/>
        <item x="120"/>
        <item x="77"/>
        <item x="78"/>
        <item x="91"/>
        <item x="168"/>
        <item x="79"/>
        <item x="75"/>
        <item x="20"/>
        <item x="87"/>
        <item x="74"/>
        <item x="82"/>
        <item x="69"/>
        <item x="151"/>
        <item x="90"/>
        <item x="284"/>
        <item x="294"/>
        <item x="80"/>
        <item x="54"/>
        <item x="55"/>
        <item x="291"/>
        <item x="290"/>
        <item x="282"/>
        <item x="283"/>
        <item x="277"/>
        <item x="279"/>
        <item x="278"/>
        <item x="280"/>
        <item x="281"/>
        <item x="272"/>
        <item x="271"/>
        <item x="273"/>
        <item x="275"/>
        <item x="270"/>
        <item x="276"/>
        <item x="274"/>
        <item x="266"/>
        <item x="267"/>
        <item x="268"/>
        <item x="269"/>
        <item x="265"/>
        <item x="239"/>
        <item x="66"/>
        <item x="144"/>
        <item x="297"/>
        <item x="302"/>
        <item x="159"/>
        <item x="61"/>
        <item x="123"/>
        <item x="127"/>
        <item x="128"/>
        <item x="18"/>
        <item x="212"/>
        <item x="130"/>
        <item x="161"/>
        <item x="17"/>
        <item x="141"/>
        <item x="158"/>
        <item x="59"/>
        <item x="60"/>
        <item x="58"/>
        <item x="181"/>
        <item x="215"/>
        <item x="211"/>
        <item x="213"/>
        <item x="47"/>
        <item x="109"/>
        <item x="115"/>
        <item x="113"/>
        <item x="111"/>
        <item x="139"/>
        <item x="135"/>
        <item x="108"/>
        <item x="180"/>
        <item x="216"/>
        <item x="292"/>
        <item x="293"/>
        <item x="1"/>
        <item x="9"/>
        <item x="13"/>
        <item x="11"/>
        <item x="3"/>
        <item x="5"/>
        <item x="7"/>
        <item x="152"/>
        <item x="121"/>
        <item x="175"/>
        <item x="86"/>
        <item x="85"/>
        <item x="46"/>
        <item x="125"/>
        <item x="306"/>
        <item x="143"/>
        <item x="140"/>
        <item x="15"/>
        <item x="194"/>
        <item x="196"/>
        <item x="193"/>
        <item x="195"/>
        <item x="189"/>
        <item x="174"/>
        <item x="191"/>
        <item x="190"/>
        <item x="188"/>
        <item x="122"/>
        <item x="93"/>
        <item x="101"/>
        <item x="94"/>
        <item x="146"/>
        <item x="178"/>
        <item x="65"/>
        <item x="172"/>
        <item x="171"/>
        <item x="173"/>
        <item x="62"/>
        <item x="99"/>
        <item x="137"/>
        <item x="153"/>
        <item x="154"/>
        <item x="206"/>
        <item x="209"/>
        <item x="210"/>
        <item x="199"/>
        <item x="198"/>
        <item x="200"/>
        <item x="45"/>
        <item x="41"/>
        <item x="44"/>
        <item x="42"/>
        <item x="43"/>
        <item x="142"/>
        <item x="237"/>
        <item x="160"/>
        <item x="252"/>
        <item x="64"/>
        <item x="179"/>
        <item x="308"/>
        <item x="177"/>
        <item x="307"/>
        <item x="126"/>
        <item x="124"/>
        <item x="184"/>
        <item x="185"/>
        <item x="186"/>
        <item x="157"/>
        <item x="176"/>
        <item x="310"/>
        <item x="312"/>
        <item x="301"/>
        <item x="192"/>
        <item x="70"/>
        <item x="250"/>
        <item x="201"/>
        <item x="98"/>
        <item x="264"/>
        <item x="255"/>
        <item x="256"/>
        <item x="241"/>
        <item x="240"/>
        <item x="156"/>
        <item x="242"/>
        <item x="251"/>
        <item x="296"/>
        <item x="298"/>
        <item x="299"/>
        <item x="295"/>
        <item x="53"/>
        <item x="208"/>
        <item x="202"/>
        <item x="204"/>
        <item x="203"/>
        <item x="205"/>
        <item x="100"/>
        <item x="148"/>
        <item x="105"/>
        <item x="107"/>
        <item x="106"/>
        <item x="304"/>
        <item x="300"/>
        <item x="96"/>
        <item x="95"/>
        <item x="97"/>
        <item x="314"/>
        <item x="26"/>
        <item x="22"/>
        <item x="28"/>
        <item x="25"/>
        <item x="63"/>
        <item x="27"/>
        <item x="23"/>
        <item x="67"/>
        <item x="219"/>
        <item x="131"/>
        <item x="56"/>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2"/>
  </rowFields>
  <rowItems count="17">
    <i>
      <x/>
    </i>
    <i>
      <x v="1"/>
    </i>
    <i>
      <x v="2"/>
    </i>
    <i>
      <x v="3"/>
    </i>
    <i>
      <x v="4"/>
    </i>
    <i>
      <x v="5"/>
    </i>
    <i>
      <x v="6"/>
    </i>
    <i>
      <x v="7"/>
    </i>
    <i>
      <x v="8"/>
    </i>
    <i>
      <x v="9"/>
    </i>
    <i>
      <x v="10"/>
    </i>
    <i>
      <x v="11"/>
    </i>
    <i>
      <x v="12"/>
    </i>
    <i>
      <x v="13"/>
    </i>
    <i>
      <x v="14"/>
    </i>
    <i>
      <x v="15"/>
    </i>
    <i t="grand">
      <x/>
    </i>
  </rowItems>
  <colItems count="1">
    <i/>
  </colItems>
  <dataFields count="1">
    <dataField name="Cuenta de NOMBRE DE INDICADOR" fld="36"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00000000-0007-0000-0500-000000000000}" name="Tabla dinámica1" cacheId="3" applyNumberFormats="0" applyBorderFormats="0" applyFontFormats="0" applyPatternFormats="0" applyAlignmentFormats="0" applyWidthHeightFormats="1" dataCaption="Valores" updatedVersion="4" minRefreshableVersion="3" useAutoFormatting="1" itemPrintTitles="1" createdVersion="4" indent="0" outline="1" outlineData="1" multipleFieldFilters="0">
  <location ref="A13:N1043" firstHeaderRow="0" firstDataRow="1" firstDataCol="1" rowPageCount="11" colPageCount="1"/>
  <pivotFields count="100">
    <pivotField axis="axisPage" multipleItemSelectionAllowed="1" showAll="0">
      <items count="16">
        <item x="0"/>
        <item x="1"/>
        <item x="2"/>
        <item x="3"/>
        <item x="4"/>
        <item x="5"/>
        <item x="6"/>
        <item x="7"/>
        <item x="8"/>
        <item x="9"/>
        <item x="10"/>
        <item x="11"/>
        <item x="12"/>
        <item x="13"/>
        <item x="14"/>
        <item t="default"/>
      </items>
    </pivotField>
    <pivotField multipleItemSelectionAllowed="1" showAll="0">
      <items count="16">
        <item h="1" x="13"/>
        <item x="11"/>
        <item x="0"/>
        <item x="9"/>
        <item x="12"/>
        <item x="2"/>
        <item x="7"/>
        <item x="8"/>
        <item x="3"/>
        <item x="4"/>
        <item x="5"/>
        <item x="6"/>
        <item x="10"/>
        <item x="1"/>
        <item h="1" x="14"/>
        <item t="default"/>
      </items>
    </pivotField>
    <pivotField axis="axisPage" multipleItemSelectionAllowed="1" showAll="0">
      <items count="15">
        <item x="0"/>
        <item x="1"/>
        <item x="2"/>
        <item x="3"/>
        <item x="4"/>
        <item x="5"/>
        <item x="7"/>
        <item x="8"/>
        <item x="9"/>
        <item x="10"/>
        <item x="11"/>
        <item x="12"/>
        <item x="13"/>
        <item x="6"/>
        <item t="default"/>
      </items>
    </pivotField>
    <pivotField showAll="0">
      <items count="72">
        <item h="1" x="69"/>
        <item x="43"/>
        <item x="14"/>
        <item x="17"/>
        <item x="12"/>
        <item x="55"/>
        <item x="53"/>
        <item x="54"/>
        <item x="39"/>
        <item x="60"/>
        <item x="46"/>
        <item x="3"/>
        <item x="4"/>
        <item x="1"/>
        <item x="28"/>
        <item x="56"/>
        <item x="57"/>
        <item x="5"/>
        <item x="64"/>
        <item x="36"/>
        <item x="51"/>
        <item x="49"/>
        <item x="38"/>
        <item x="10"/>
        <item x="8"/>
        <item x="6"/>
        <item x="7"/>
        <item x="9"/>
        <item x="42"/>
        <item x="37"/>
        <item x="45"/>
        <item x="2"/>
        <item x="0"/>
        <item x="22"/>
        <item x="41"/>
        <item x="58"/>
        <item x="15"/>
        <item x="16"/>
        <item x="61"/>
        <item x="65"/>
        <item x="52"/>
        <item x="23"/>
        <item x="19"/>
        <item x="13"/>
        <item x="25"/>
        <item x="18"/>
        <item x="11"/>
        <item x="32"/>
        <item x="40"/>
        <item x="21"/>
        <item x="27"/>
        <item x="29"/>
        <item x="67"/>
        <item x="30"/>
        <item x="59"/>
        <item x="66"/>
        <item x="48"/>
        <item x="47"/>
        <item x="68"/>
        <item x="35"/>
        <item x="63"/>
        <item x="24"/>
        <item x="62"/>
        <item x="50"/>
        <item x="33"/>
        <item x="31"/>
        <item x="34"/>
        <item x="44"/>
        <item x="20"/>
        <item x="26"/>
        <item h="1" x="70"/>
        <item t="default"/>
      </items>
    </pivotField>
    <pivotField showAll="0">
      <items count="29">
        <item x="0"/>
        <item x="1"/>
        <item x="2"/>
        <item x="3"/>
        <item x="4"/>
        <item x="5"/>
        <item x="6"/>
        <item x="7"/>
        <item x="8"/>
        <item x="9"/>
        <item x="10"/>
        <item x="11"/>
        <item x="13"/>
        <item x="14"/>
        <item x="15"/>
        <item x="16"/>
        <item x="17"/>
        <item x="18"/>
        <item x="19"/>
        <item x="20"/>
        <item x="21"/>
        <item x="22"/>
        <item x="23"/>
        <item x="24"/>
        <item x="25"/>
        <item x="26"/>
        <item x="12"/>
        <item x="27"/>
        <item t="default"/>
      </items>
    </pivotField>
    <pivotField showAll="0">
      <items count="346">
        <item x="343"/>
        <item x="0"/>
        <item x="9"/>
        <item x="10"/>
        <item x="11"/>
        <item x="1"/>
        <item x="2"/>
        <item x="3"/>
        <item x="4"/>
        <item x="5"/>
        <item x="6"/>
        <item x="7"/>
        <item x="8"/>
        <item x="12"/>
        <item x="13"/>
        <item x="14"/>
        <item x="15"/>
        <item x="16"/>
        <item x="17"/>
        <item x="18"/>
        <item x="19"/>
        <item x="20"/>
        <item x="21"/>
        <item x="22"/>
        <item x="23"/>
        <item x="24"/>
        <item x="25"/>
        <item x="26"/>
        <item x="27"/>
        <item x="28"/>
        <item x="29"/>
        <item x="30"/>
        <item x="31"/>
        <item x="32"/>
        <item x="33"/>
        <item x="34"/>
        <item x="35"/>
        <item x="36"/>
        <item x="37"/>
        <item x="278"/>
        <item x="279"/>
        <item x="280"/>
        <item x="282"/>
        <item x="281"/>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8"/>
        <item x="39"/>
        <item x="40"/>
        <item x="41"/>
        <item x="42"/>
        <item x="43"/>
        <item x="44"/>
        <item x="45"/>
        <item x="46"/>
        <item x="48"/>
        <item x="56"/>
        <item x="57"/>
        <item x="58"/>
        <item x="59"/>
        <item x="60"/>
        <item x="61"/>
        <item x="62"/>
        <item x="63"/>
        <item x="64"/>
        <item x="65"/>
        <item x="47"/>
        <item x="49"/>
        <item x="66"/>
        <item x="67"/>
        <item x="68"/>
        <item x="69"/>
        <item x="50"/>
        <item x="51"/>
        <item x="52"/>
        <item x="53"/>
        <item x="54"/>
        <item x="55"/>
        <item x="70"/>
        <item x="71"/>
        <item x="72"/>
        <item x="73"/>
        <item x="74"/>
        <item x="75"/>
        <item x="76"/>
        <item x="85"/>
        <item x="86"/>
        <item x="87"/>
        <item x="77"/>
        <item x="78"/>
        <item x="79"/>
        <item x="80"/>
        <item x="81"/>
        <item x="82"/>
        <item x="83"/>
        <item x="84"/>
        <item x="88"/>
        <item x="89"/>
        <item x="90"/>
        <item x="91"/>
        <item x="92"/>
        <item x="93"/>
        <item x="94"/>
        <item x="95"/>
        <item x="96"/>
        <item x="97"/>
        <item x="98"/>
        <item x="99"/>
        <item x="100"/>
        <item x="101"/>
        <item x="110"/>
        <item x="102"/>
        <item x="103"/>
        <item x="104"/>
        <item x="105"/>
        <item x="106"/>
        <item x="107"/>
        <item x="108"/>
        <item x="109"/>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85"/>
        <item x="186"/>
        <item x="187"/>
        <item x="188"/>
        <item x="189"/>
        <item x="190"/>
        <item x="191"/>
        <item x="160"/>
        <item x="161"/>
        <item x="162"/>
        <item x="163"/>
        <item x="164"/>
        <item x="165"/>
        <item x="166"/>
        <item x="167"/>
        <item x="168"/>
        <item x="169"/>
        <item x="170"/>
        <item x="171"/>
        <item x="172"/>
        <item x="173"/>
        <item x="174"/>
        <item x="175"/>
        <item x="176"/>
        <item x="177"/>
        <item x="178"/>
        <item x="179"/>
        <item x="180"/>
        <item x="181"/>
        <item x="182"/>
        <item x="183"/>
        <item x="184"/>
        <item x="192"/>
        <item x="193"/>
        <item x="194"/>
        <item x="195"/>
        <item x="196"/>
        <item x="205"/>
        <item x="206"/>
        <item x="207"/>
        <item x="208"/>
        <item x="209"/>
        <item x="210"/>
        <item x="211"/>
        <item x="212"/>
        <item x="213"/>
        <item x="214"/>
        <item x="197"/>
        <item x="215"/>
        <item x="216"/>
        <item x="217"/>
        <item x="218"/>
        <item x="219"/>
        <item x="220"/>
        <item x="198"/>
        <item x="199"/>
        <item x="200"/>
        <item x="201"/>
        <item x="202"/>
        <item x="203"/>
        <item x="204"/>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344"/>
        <item t="default"/>
      </items>
    </pivotField>
    <pivotField showAll="0">
      <items count="346">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281"/>
        <item x="47"/>
        <item x="344"/>
        <item t="default"/>
      </items>
    </pivotField>
    <pivotField showAll="0">
      <items count="346">
        <item x="343"/>
        <item x="0"/>
        <item x="9"/>
        <item x="10"/>
        <item x="11"/>
        <item x="1"/>
        <item x="2"/>
        <item x="3"/>
        <item x="4"/>
        <item x="5"/>
        <item x="6"/>
        <item x="7"/>
        <item x="8"/>
        <item x="12"/>
        <item x="13"/>
        <item x="14"/>
        <item x="15"/>
        <item x="16"/>
        <item x="17"/>
        <item x="18"/>
        <item x="19"/>
        <item x="20"/>
        <item x="21"/>
        <item x="22"/>
        <item x="23"/>
        <item x="24"/>
        <item x="25"/>
        <item x="26"/>
        <item x="27"/>
        <item x="28"/>
        <item x="29"/>
        <item x="30"/>
        <item x="31"/>
        <item x="32"/>
        <item x="33"/>
        <item x="34"/>
        <item x="35"/>
        <item x="36"/>
        <item x="37"/>
        <item x="278"/>
        <item x="279"/>
        <item x="280"/>
        <item x="282"/>
        <item x="281"/>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8"/>
        <item x="39"/>
        <item x="40"/>
        <item x="41"/>
        <item x="42"/>
        <item x="43"/>
        <item x="44"/>
        <item x="45"/>
        <item x="46"/>
        <item x="48"/>
        <item x="47"/>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100"/>
        <item x="94"/>
        <item x="95"/>
        <item x="96"/>
        <item x="97"/>
        <item x="98"/>
        <item x="99"/>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85"/>
        <item x="186"/>
        <item x="187"/>
        <item x="188"/>
        <item x="189"/>
        <item x="190"/>
        <item x="191"/>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344"/>
        <item t="default"/>
      </items>
    </pivotField>
    <pivotField name="ID_Resultado_PDES" axis="axisRow" multipleItemSelectionAllowed="1" showAll="0">
      <items count="346">
        <item h="1" x="343"/>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47"/>
        <item x="38"/>
        <item x="39"/>
        <item x="40"/>
        <item x="41"/>
        <item x="42"/>
        <item x="43"/>
        <item x="44"/>
        <item x="45"/>
        <item x="46"/>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85"/>
        <item x="186"/>
        <item x="187"/>
        <item x="188"/>
        <item x="146"/>
        <item x="147"/>
        <item x="189"/>
        <item x="190"/>
        <item x="191"/>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h="1" x="344"/>
        <item t="default"/>
      </items>
    </pivotField>
    <pivotField axis="axisRow" showAll="0">
      <items count="346">
        <item x="343"/>
        <item x="74"/>
        <item x="75"/>
        <item x="39"/>
        <item x="265"/>
        <item x="266"/>
        <item x="270"/>
        <item x="107"/>
        <item x="112"/>
        <item x="139"/>
        <item x="108"/>
        <item x="276"/>
        <item x="87"/>
        <item x="247"/>
        <item x="268"/>
        <item x="105"/>
        <item x="267"/>
        <item x="16"/>
        <item x="53"/>
        <item x="49"/>
        <item x="50"/>
        <item x="51"/>
        <item x="52"/>
        <item x="48"/>
        <item x="41"/>
        <item x="40"/>
        <item x="38"/>
        <item x="246"/>
        <item x="125"/>
        <item x="120"/>
        <item x="96"/>
        <item x="25"/>
        <item x="24"/>
        <item x="54"/>
        <item x="202"/>
        <item x="124"/>
        <item x="73"/>
        <item x="77"/>
        <item x="101"/>
        <item x="84"/>
        <item x="79"/>
        <item x="78"/>
        <item x="317"/>
        <item x="271"/>
        <item x="269"/>
        <item x="103"/>
        <item x="172"/>
        <item x="111"/>
        <item x="329"/>
        <item x="130"/>
        <item x="15"/>
        <item x="193"/>
        <item x="134"/>
        <item x="328"/>
        <item x="102"/>
        <item x="119"/>
        <item x="14"/>
        <item x="26"/>
        <item x="248"/>
        <item x="131"/>
        <item x="106"/>
        <item x="19"/>
        <item x="98"/>
        <item x="55"/>
        <item x="336"/>
        <item x="339"/>
        <item x="334"/>
        <item x="341"/>
        <item x="338"/>
        <item x="335"/>
        <item x="333"/>
        <item x="340"/>
        <item x="337"/>
        <item x="192"/>
        <item x="205"/>
        <item x="206"/>
        <item x="204"/>
        <item x="207"/>
        <item x="212"/>
        <item x="223"/>
        <item x="234"/>
        <item x="217"/>
        <item x="239"/>
        <item x="240"/>
        <item x="218"/>
        <item x="235"/>
        <item x="216"/>
        <item x="201"/>
        <item x="232"/>
        <item x="200"/>
        <item x="233"/>
        <item x="196"/>
        <item x="227"/>
        <item x="229"/>
        <item x="222"/>
        <item x="225"/>
        <item x="211"/>
        <item x="237"/>
        <item x="213"/>
        <item x="210"/>
        <item x="197"/>
        <item x="198"/>
        <item x="236"/>
        <item x="226"/>
        <item x="35"/>
        <item x="36"/>
        <item x="311"/>
        <item x="121"/>
        <item x="325"/>
        <item x="321"/>
        <item x="316"/>
        <item x="231"/>
        <item x="228"/>
        <item x="219"/>
        <item x="160"/>
        <item x="163"/>
        <item x="180"/>
        <item x="174"/>
        <item x="46"/>
        <item x="138"/>
        <item x="164"/>
        <item x="155"/>
        <item x="157"/>
        <item x="141"/>
        <item x="44"/>
        <item x="215"/>
        <item x="5"/>
        <item x="43"/>
        <item x="42"/>
        <item x="263"/>
        <item x="295"/>
        <item x="209"/>
        <item x="242"/>
        <item x="243"/>
        <item x="58"/>
        <item x="342"/>
        <item x="147"/>
        <item x="56"/>
        <item x="22"/>
        <item x="21"/>
        <item x="148"/>
        <item x="37"/>
        <item x="252"/>
        <item x="23"/>
        <item x="117"/>
        <item x="230"/>
        <item x="176"/>
        <item x="122"/>
        <item x="126"/>
        <item x="47"/>
        <item x="279"/>
        <item x="137"/>
        <item x="324"/>
        <item x="251"/>
        <item x="281"/>
        <item x="294"/>
        <item x="283"/>
        <item x="59"/>
        <item x="57"/>
        <item x="305"/>
        <item x="4"/>
        <item x="260"/>
        <item x="62"/>
        <item x="221"/>
        <item x="1"/>
        <item x="262"/>
        <item x="238"/>
        <item x="144"/>
        <item x="310"/>
        <item x="284"/>
        <item x="11"/>
        <item x="330"/>
        <item x="320"/>
        <item x="296"/>
        <item x="13"/>
        <item x="286"/>
        <item x="68"/>
        <item x="323"/>
        <item x="322"/>
        <item x="292"/>
        <item x="299"/>
        <item x="109"/>
        <item x="285"/>
        <item x="179"/>
        <item x="169"/>
        <item x="190"/>
        <item x="189"/>
        <item x="142"/>
        <item x="162"/>
        <item x="115"/>
        <item x="95"/>
        <item x="152"/>
        <item x="203"/>
        <item x="29"/>
        <item x="184"/>
        <item x="183"/>
        <item x="315"/>
        <item x="258"/>
        <item x="214"/>
        <item x="82"/>
        <item x="7"/>
        <item x="159"/>
        <item x="156"/>
        <item x="199"/>
        <item x="177"/>
        <item x="158"/>
        <item x="273"/>
        <item x="65"/>
        <item x="301"/>
        <item x="127"/>
        <item x="94"/>
        <item x="220"/>
        <item x="123"/>
        <item x="302"/>
        <item x="88"/>
        <item x="297"/>
        <item x="45"/>
        <item x="167"/>
        <item x="313"/>
        <item x="151"/>
        <item x="186"/>
        <item x="17"/>
        <item x="166"/>
        <item x="173"/>
        <item x="168"/>
        <item x="149"/>
        <item x="171"/>
        <item x="307"/>
        <item x="306"/>
        <item x="308"/>
        <item x="140"/>
        <item x="187"/>
        <item x="188"/>
        <item x="153"/>
        <item x="154"/>
        <item x="287"/>
        <item x="280"/>
        <item x="136"/>
        <item x="135"/>
        <item x="278"/>
        <item x="9"/>
        <item x="8"/>
        <item x="245"/>
        <item x="27"/>
        <item x="291"/>
        <item x="290"/>
        <item x="31"/>
        <item x="250"/>
        <item x="261"/>
        <item x="6"/>
        <item x="93"/>
        <item x="63"/>
        <item x="293"/>
        <item x="331"/>
        <item x="298"/>
        <item x="12"/>
        <item x="224"/>
        <item x="185"/>
        <item x="0"/>
        <item x="70"/>
        <item x="30"/>
        <item x="314"/>
        <item x="80"/>
        <item x="81"/>
        <item x="3"/>
        <item x="2"/>
        <item x="86"/>
        <item x="85"/>
        <item x="83"/>
        <item x="312"/>
        <item x="303"/>
        <item x="255"/>
        <item x="143"/>
        <item x="195"/>
        <item x="272"/>
        <item x="304"/>
        <item x="309"/>
        <item x="161"/>
        <item x="191"/>
        <item x="178"/>
        <item x="289"/>
        <item x="327"/>
        <item x="100"/>
        <item x="118"/>
        <item x="254"/>
        <item x="275"/>
        <item x="129"/>
        <item x="32"/>
        <item x="318"/>
        <item x="69"/>
        <item x="61"/>
        <item x="89"/>
        <item x="71"/>
        <item x="64"/>
        <item x="277"/>
        <item x="110"/>
        <item x="67"/>
        <item x="90"/>
        <item x="66"/>
        <item x="99"/>
        <item x="91"/>
        <item x="175"/>
        <item x="132"/>
        <item x="116"/>
        <item x="128"/>
        <item x="20"/>
        <item x="241"/>
        <item x="319"/>
        <item x="182"/>
        <item x="332"/>
        <item x="165"/>
        <item x="282"/>
        <item x="256"/>
        <item x="194"/>
        <item x="264"/>
        <item x="326"/>
        <item x="34"/>
        <item x="10"/>
        <item x="288"/>
        <item x="170"/>
        <item x="92"/>
        <item x="181"/>
        <item x="72"/>
        <item x="259"/>
        <item x="145"/>
        <item x="150"/>
        <item x="208"/>
        <item x="146"/>
        <item x="244"/>
        <item x="274"/>
        <item x="60"/>
        <item x="257"/>
        <item x="249"/>
        <item x="253"/>
        <item x="300"/>
        <item x="76"/>
        <item x="97"/>
        <item x="18"/>
        <item x="133"/>
        <item x="33"/>
        <item x="28"/>
        <item x="104"/>
        <item x="113"/>
        <item x="114"/>
        <item x="344"/>
        <item t="default"/>
      </items>
    </pivotField>
    <pivotField name="Macro Sector (PDES) - Clasificación por Pilares del PDES" axis="axisPage" multipleItemSelectionAllowed="1" showAll="0">
      <items count="18">
        <item h="1" x="15"/>
        <item x="10"/>
        <item x="5"/>
        <item x="7"/>
        <item x="6"/>
        <item x="14"/>
        <item x="13"/>
        <item x="12"/>
        <item x="11"/>
        <item x="2"/>
        <item x="0"/>
        <item x="1"/>
        <item x="8"/>
        <item x="9"/>
        <item x="4"/>
        <item x="3"/>
        <item h="1" x="16"/>
        <item t="default"/>
      </items>
    </pivotField>
    <pivotField name="Subsector (PDES) - Clasificación por Pilares del PDES" axis="axisPage" multipleItemSelectionAllowed="1" showAll="0">
      <items count="46">
        <item h="1" x="43"/>
        <item x="34"/>
        <item x="42"/>
        <item x="21"/>
        <item x="3"/>
        <item x="30"/>
        <item x="40"/>
        <item x="35"/>
        <item x="12"/>
        <item x="41"/>
        <item x="39"/>
        <item x="11"/>
        <item x="10"/>
        <item x="5"/>
        <item x="23"/>
        <item x="26"/>
        <item x="1"/>
        <item x="14"/>
        <item x="13"/>
        <item x="22"/>
        <item x="8"/>
        <item x="33"/>
        <item x="32"/>
        <item x="24"/>
        <item x="18"/>
        <item x="15"/>
        <item x="37"/>
        <item x="28"/>
        <item x="17"/>
        <item x="25"/>
        <item x="27"/>
        <item x="0"/>
        <item x="29"/>
        <item x="31"/>
        <item x="16"/>
        <item x="9"/>
        <item x="38"/>
        <item x="2"/>
        <item x="4"/>
        <item x="19"/>
        <item x="36"/>
        <item x="6"/>
        <item x="20"/>
        <item x="7"/>
        <item h="1" x="44"/>
        <item t="default"/>
      </items>
    </pivotField>
    <pivotField name="Clasificación de Resultado/Producto/Proceso" axis="axisPage" multipleItemSelectionAllowed="1" showAll="0">
      <items count="6">
        <item h="1" x="3"/>
        <item x="1"/>
        <item x="2"/>
        <item x="0"/>
        <item h="1" x="4"/>
        <item t="default"/>
      </items>
    </pivotField>
    <pivotField name="Dimensiones SPIE" axis="axisPage" multipleItemSelectionAllowed="1" showAll="0">
      <items count="8">
        <item h="1" x="5"/>
        <item x="1"/>
        <item x="4"/>
        <item x="3"/>
        <item x="2"/>
        <item x="0"/>
        <item h="1" x="6"/>
        <item t="default"/>
      </items>
    </pivotField>
    <pivotField name="Subdimensiones SPIE" axis="axisPage" multipleItemSelectionAllowed="1" showAll="0">
      <items count="37">
        <item h="1" x="34"/>
        <item x="30"/>
        <item x="17"/>
        <item x="31"/>
        <item x="11"/>
        <item x="13"/>
        <item x="1"/>
        <item x="10"/>
        <item x="9"/>
        <item x="19"/>
        <item x="20"/>
        <item x="23"/>
        <item x="4"/>
        <item x="33"/>
        <item x="18"/>
        <item x="29"/>
        <item x="28"/>
        <item x="21"/>
        <item x="14"/>
        <item x="2"/>
        <item x="12"/>
        <item x="3"/>
        <item x="25"/>
        <item x="16"/>
        <item x="22"/>
        <item x="24"/>
        <item x="0"/>
        <item x="32"/>
        <item x="26"/>
        <item x="27"/>
        <item x="15"/>
        <item x="8"/>
        <item x="5"/>
        <item x="6"/>
        <item x="7"/>
        <item h="1" x="35"/>
        <item t="default"/>
      </items>
    </pivotField>
    <pivotField name="RESULTADOS PRIORIZADOS Propuesta DG-SPIE" axis="axisPage" multipleItemSelectionAllowed="1" showAll="0">
      <items count="4">
        <item x="0"/>
        <item h="1" x="2"/>
        <item x="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axis="axisPage" multipleItemSelectionAllowed="1" showAll="0">
      <items count="4">
        <item x="1"/>
        <item h="1" x="2"/>
        <item x="0"/>
        <item t="default"/>
      </items>
    </pivotField>
    <pivotField axis="axisPage" multipleItemSelectionAllowed="1" showAll="0">
      <items count="4">
        <item x="0"/>
        <item h="1" x="2"/>
        <item x="1"/>
        <item t="default"/>
      </items>
    </pivotField>
    <pivotField axis="axisPage" multipleItemSelectionAllowed="1" showAll="0">
      <items count="31">
        <item h="1" x="29"/>
        <item h="1" x="28"/>
        <item x="7"/>
        <item x="27"/>
        <item x="3"/>
        <item x="26"/>
        <item x="24"/>
        <item x="23"/>
        <item x="13"/>
        <item x="17"/>
        <item x="12"/>
        <item x="0"/>
        <item x="1"/>
        <item x="5"/>
        <item x="25"/>
        <item x="8"/>
        <item x="4"/>
        <item x="11"/>
        <item x="6"/>
        <item x="18"/>
        <item x="14"/>
        <item x="20"/>
        <item x="19"/>
        <item x="21"/>
        <item x="16"/>
        <item x="15"/>
        <item x="9"/>
        <item x="22"/>
        <item x="10"/>
        <item x="2"/>
        <item t="default"/>
      </items>
    </pivotField>
    <pivotField showAll="0"/>
    <pivotField showAll="0"/>
    <pivotField showAll="0"/>
    <pivotField showAll="0"/>
    <pivotField showAll="0"/>
    <pivotField showAll="0"/>
    <pivotField showAll="0"/>
    <pivotField showAll="0"/>
    <pivotField showAll="0"/>
    <pivotField dataField="1" multipleItemSelectionAllowed="1" showAll="0">
      <items count="7">
        <item x="1"/>
        <item x="0"/>
        <item h="1" x="3"/>
        <item h="1" x="2"/>
        <item h="1" x="4"/>
        <item h="1" x="5"/>
        <item t="default"/>
      </items>
    </pivotField>
    <pivotField dataField="1" multipleItemSelectionAllowed="1" showAll="0">
      <items count="7">
        <item x="0"/>
        <item x="1"/>
        <item h="1" x="3"/>
        <item h="1" x="2"/>
        <item h="1" x="4"/>
        <item h="1" x="5"/>
        <item t="default"/>
      </items>
    </pivotField>
    <pivotField name="1er ORDEN - 1ra ETAPA" dataField="1" showAll="0">
      <items count="8">
        <item x="4"/>
        <item x="5"/>
        <item x="0"/>
        <item x="2"/>
        <item x="3"/>
        <item x="6"/>
        <item x="1"/>
        <item t="default"/>
      </items>
    </pivotField>
    <pivotField name="2do ORDEN - 1ra ETAPA" dataField="1" showAll="0">
      <items count="5">
        <item x="3"/>
        <item x="1"/>
        <item x="2"/>
        <item x="0"/>
        <item t="default"/>
      </items>
    </pivotField>
    <pivotField name="1er ORDEN - 2da ETAPA" dataField="1" showAll="0">
      <items count="8">
        <item x="4"/>
        <item x="5"/>
        <item x="1"/>
        <item x="2"/>
        <item x="3"/>
        <item x="6"/>
        <item x="0"/>
        <item t="default"/>
      </items>
    </pivotField>
    <pivotField name="2do ORDEN - 2da ETAPA" dataField="1" showAll="0">
      <items count="5">
        <item x="3"/>
        <item x="1"/>
        <item x="2"/>
        <item x="0"/>
        <item t="default"/>
      </items>
    </pivotField>
    <pivotField name="2do ORDEN - 3ra ETAPA" dataField="1" showAll="0">
      <items count="6">
        <item x="3"/>
        <item x="1"/>
        <item x="2"/>
        <item x="4"/>
        <item x="0"/>
        <item t="default"/>
      </items>
    </pivotField>
    <pivotField dataField="1" showAll="0">
      <items count="3">
        <item x="1"/>
        <item x="0"/>
        <item t="default"/>
      </items>
    </pivotField>
    <pivotField dataField="1" showAll="0">
      <items count="5">
        <item x="3"/>
        <item x="1"/>
        <item x="2"/>
        <item x="0"/>
        <item t="default"/>
      </items>
    </pivotField>
    <pivotField dataField="1" showAll="0">
      <items count="5">
        <item x="3"/>
        <item x="1"/>
        <item x="2"/>
        <item x="0"/>
        <item t="default"/>
      </items>
    </pivotField>
    <pivotField dataField="1" showAll="0">
      <items count="5">
        <item x="3"/>
        <item x="0"/>
        <item x="2"/>
        <item x="1"/>
        <item t="default"/>
      </items>
    </pivotField>
    <pivotField dataField="1" showAll="0">
      <items count="5">
        <item x="3"/>
        <item x="0"/>
        <item x="2"/>
        <item x="1"/>
        <item t="default"/>
      </items>
    </pivotField>
    <pivotField dataField="1" showAll="0">
      <items count="5">
        <item x="3"/>
        <item x="0"/>
        <item x="2"/>
        <item x="1"/>
        <item t="default"/>
      </items>
    </pivotField>
    <pivotField showAll="0">
      <items count="4">
        <item x="0"/>
        <item x="2"/>
        <item x="1"/>
        <item t="default"/>
      </items>
    </pivotField>
    <pivotField showAll="0">
      <items count="346">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47"/>
        <item x="38"/>
        <item x="39"/>
        <item x="40"/>
        <item x="41"/>
        <item x="42"/>
        <item x="43"/>
        <item x="44"/>
        <item x="45"/>
        <item x="46"/>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85"/>
        <item x="186"/>
        <item x="187"/>
        <item x="188"/>
        <item x="146"/>
        <item x="147"/>
        <item x="189"/>
        <item x="190"/>
        <item x="191"/>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t="default"/>
      </items>
    </pivotField>
    <pivotField axis="axisRow" showAll="0">
      <items count="7">
        <item x="5"/>
        <item x="2"/>
        <item x="0"/>
        <item x="1"/>
        <item x="3"/>
        <item x="4"/>
        <item t="default"/>
      </items>
    </pivotField>
    <pivotField showAll="0">
      <items count="6">
        <item x="4"/>
        <item x="1"/>
        <item x="0"/>
        <item x="2"/>
        <item x="3"/>
        <item t="default"/>
      </items>
    </pivotField>
    <pivotField showAll="0">
      <items count="6">
        <item x="4"/>
        <item x="1"/>
        <item x="0"/>
        <item x="2"/>
        <item x="3"/>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3">
    <field x="8"/>
    <field x="9"/>
    <field x="55"/>
  </rowFields>
  <rowItems count="1030">
    <i>
      <x v="1"/>
    </i>
    <i r="1">
      <x v="258"/>
    </i>
    <i r="2">
      <x v="2"/>
    </i>
    <i>
      <x v="2"/>
    </i>
    <i r="1">
      <x v="164"/>
    </i>
    <i r="2">
      <x v="3"/>
    </i>
    <i>
      <x v="3"/>
    </i>
    <i r="1">
      <x v="265"/>
    </i>
    <i r="2">
      <x v="1"/>
    </i>
    <i>
      <x v="4"/>
    </i>
    <i r="1">
      <x v="264"/>
    </i>
    <i r="2">
      <x v="4"/>
    </i>
    <i>
      <x v="5"/>
    </i>
    <i r="1">
      <x v="160"/>
    </i>
    <i r="2">
      <x v="5"/>
    </i>
    <i>
      <x v="6"/>
    </i>
    <i r="1">
      <x v="126"/>
    </i>
    <i r="2">
      <x v="5"/>
    </i>
    <i>
      <x v="7"/>
    </i>
    <i r="1">
      <x v="249"/>
    </i>
    <i r="2">
      <x v="5"/>
    </i>
    <i>
      <x v="8"/>
    </i>
    <i r="1">
      <x v="200"/>
    </i>
    <i r="2">
      <x v="5"/>
    </i>
    <i>
      <x v="9"/>
    </i>
    <i r="1">
      <x v="241"/>
    </i>
    <i r="2">
      <x v="5"/>
    </i>
    <i>
      <x v="10"/>
    </i>
    <i r="1">
      <x v="240"/>
    </i>
    <i r="2">
      <x v="5"/>
    </i>
    <i>
      <x v="11"/>
    </i>
    <i r="1">
      <x v="317"/>
    </i>
    <i r="2">
      <x v="5"/>
    </i>
    <i>
      <x v="12"/>
    </i>
    <i r="1">
      <x v="170"/>
    </i>
    <i r="2">
      <x v="5"/>
    </i>
    <i>
      <x v="13"/>
    </i>
    <i r="1">
      <x v="255"/>
    </i>
    <i r="2">
      <x v="5"/>
    </i>
    <i>
      <x v="14"/>
    </i>
    <i r="1">
      <x v="174"/>
    </i>
    <i r="2">
      <x v="5"/>
    </i>
    <i>
      <x v="15"/>
    </i>
    <i r="1">
      <x v="56"/>
    </i>
    <i r="2">
      <x v="5"/>
    </i>
    <i>
      <x v="16"/>
    </i>
    <i r="1">
      <x v="50"/>
    </i>
    <i r="2">
      <x v="5"/>
    </i>
    <i>
      <x v="17"/>
    </i>
    <i r="1">
      <x v="17"/>
    </i>
    <i r="2">
      <x v="5"/>
    </i>
    <i>
      <x v="18"/>
    </i>
    <i r="1">
      <x v="221"/>
    </i>
    <i r="2">
      <x v="5"/>
    </i>
    <i>
      <x v="19"/>
    </i>
    <i r="1">
      <x v="337"/>
    </i>
    <i r="2">
      <x v="5"/>
    </i>
    <i>
      <x v="20"/>
    </i>
    <i r="1">
      <x v="61"/>
    </i>
    <i r="2">
      <x v="5"/>
    </i>
    <i>
      <x v="21"/>
    </i>
    <i r="1">
      <x v="305"/>
    </i>
    <i r="2">
      <x v="5"/>
    </i>
    <i>
      <x v="22"/>
    </i>
    <i r="1">
      <x v="139"/>
    </i>
    <i r="2">
      <x v="5"/>
    </i>
    <i>
      <x v="23"/>
    </i>
    <i r="1">
      <x v="138"/>
    </i>
    <i r="2">
      <x v="5"/>
    </i>
    <i>
      <x v="24"/>
    </i>
    <i r="1">
      <x v="143"/>
    </i>
    <i r="2">
      <x v="5"/>
    </i>
    <i>
      <x v="25"/>
    </i>
    <i r="1">
      <x v="32"/>
    </i>
    <i r="2">
      <x v="5"/>
    </i>
    <i>
      <x v="26"/>
    </i>
    <i r="1">
      <x v="31"/>
    </i>
    <i r="2">
      <x v="5"/>
    </i>
    <i>
      <x v="27"/>
    </i>
    <i r="1">
      <x v="57"/>
    </i>
    <i r="2">
      <x v="5"/>
    </i>
    <i>
      <x v="28"/>
    </i>
    <i r="1">
      <x v="243"/>
    </i>
    <i r="2">
      <x v="5"/>
    </i>
    <i>
      <x v="29"/>
    </i>
    <i r="1">
      <x v="340"/>
    </i>
    <i r="2">
      <x v="5"/>
    </i>
    <i>
      <x v="30"/>
    </i>
    <i r="1">
      <x v="193"/>
    </i>
    <i r="2">
      <x v="5"/>
    </i>
    <i>
      <x v="31"/>
    </i>
    <i r="1">
      <x v="260"/>
    </i>
    <i r="2">
      <x v="5"/>
    </i>
    <i>
      <x v="32"/>
    </i>
    <i r="1">
      <x v="246"/>
    </i>
    <i r="2">
      <x v="5"/>
    </i>
    <i>
      <x v="33"/>
    </i>
    <i r="1">
      <x v="287"/>
    </i>
    <i r="2">
      <x v="5"/>
    </i>
    <i>
      <x v="34"/>
    </i>
    <i r="1">
      <x v="339"/>
    </i>
    <i r="2">
      <x v="5"/>
    </i>
    <i>
      <x v="35"/>
    </i>
    <i r="1">
      <x v="316"/>
    </i>
    <i r="2">
      <x v="5"/>
    </i>
    <i>
      <x v="36"/>
    </i>
    <i r="1">
      <x v="104"/>
    </i>
    <i r="2">
      <x v="5"/>
    </i>
    <i>
      <x v="37"/>
    </i>
    <i r="1">
      <x v="105"/>
    </i>
    <i r="2">
      <x v="5"/>
    </i>
    <i>
      <x v="38"/>
    </i>
    <i r="1">
      <x v="141"/>
    </i>
    <i r="2">
      <x v="5"/>
    </i>
    <i>
      <x v="39"/>
    </i>
    <i r="1">
      <x v="149"/>
    </i>
    <i r="2">
      <x v="5"/>
    </i>
    <i>
      <x v="40"/>
    </i>
    <i r="1">
      <x v="26"/>
    </i>
    <i r="2">
      <x v="5"/>
    </i>
    <i>
      <x v="41"/>
    </i>
    <i r="1">
      <x v="3"/>
    </i>
    <i r="2">
      <x v="5"/>
    </i>
    <i>
      <x v="42"/>
    </i>
    <i r="1">
      <x v="25"/>
    </i>
    <i r="2">
      <x v="5"/>
    </i>
    <i>
      <x v="43"/>
    </i>
    <i r="1">
      <x v="24"/>
    </i>
    <i r="2">
      <x v="5"/>
    </i>
    <i>
      <x v="44"/>
    </i>
    <i r="1">
      <x v="128"/>
    </i>
    <i r="2">
      <x v="5"/>
    </i>
    <i>
      <x v="45"/>
    </i>
    <i r="1">
      <x v="127"/>
    </i>
    <i r="2">
      <x v="5"/>
    </i>
    <i>
      <x v="46"/>
    </i>
    <i r="1">
      <x v="124"/>
    </i>
    <i r="2">
      <x v="5"/>
    </i>
    <i>
      <x v="47"/>
    </i>
    <i r="1">
      <x v="216"/>
    </i>
    <i r="2">
      <x v="5"/>
    </i>
    <i>
      <x v="48"/>
    </i>
    <i r="1">
      <x v="118"/>
    </i>
    <i r="2">
      <x v="5"/>
    </i>
    <i>
      <x v="49"/>
    </i>
    <i r="1">
      <x v="23"/>
    </i>
    <i r="2">
      <x v="5"/>
    </i>
    <i>
      <x v="50"/>
    </i>
    <i r="1">
      <x v="19"/>
    </i>
    <i r="2">
      <x v="5"/>
    </i>
    <i>
      <x v="51"/>
    </i>
    <i r="1">
      <x v="20"/>
    </i>
    <i r="2">
      <x v="5"/>
    </i>
    <i>
      <x v="52"/>
    </i>
    <i r="1">
      <x v="21"/>
    </i>
    <i r="2">
      <x v="5"/>
    </i>
    <i>
      <x v="53"/>
    </i>
    <i r="1">
      <x v="22"/>
    </i>
    <i r="2">
      <x v="5"/>
    </i>
    <i>
      <x v="54"/>
    </i>
    <i r="1">
      <x v="18"/>
    </i>
    <i r="2">
      <x v="5"/>
    </i>
    <i>
      <x v="55"/>
    </i>
    <i r="1">
      <x v="33"/>
    </i>
    <i r="2">
      <x v="5"/>
    </i>
    <i>
      <x v="56"/>
    </i>
    <i r="1">
      <x v="63"/>
    </i>
    <i r="2">
      <x v="5"/>
    </i>
    <i>
      <x v="57"/>
    </i>
    <i r="1">
      <x v="137"/>
    </i>
    <i r="2">
      <x v="5"/>
    </i>
    <i>
      <x v="58"/>
    </i>
    <i r="1">
      <x v="158"/>
    </i>
    <i r="2">
      <x v="5"/>
    </i>
    <i>
      <x v="59"/>
    </i>
    <i r="1">
      <x v="134"/>
    </i>
    <i r="2">
      <x v="5"/>
    </i>
    <i>
      <x v="60"/>
    </i>
    <i r="1">
      <x v="157"/>
    </i>
    <i r="2">
      <x v="5"/>
    </i>
    <i>
      <x v="61"/>
    </i>
    <i r="1">
      <x v="330"/>
    </i>
    <i r="2">
      <x v="5"/>
    </i>
    <i>
      <x v="62"/>
    </i>
    <i r="1">
      <x v="290"/>
    </i>
    <i r="2">
      <x v="5"/>
    </i>
    <i>
      <x v="63"/>
    </i>
    <i r="1">
      <x v="162"/>
    </i>
    <i r="2">
      <x v="5"/>
    </i>
    <i>
      <x v="64"/>
    </i>
    <i r="1">
      <x v="251"/>
    </i>
    <i r="2">
      <x v="5"/>
    </i>
    <i>
      <x v="65"/>
    </i>
    <i r="1">
      <x v="293"/>
    </i>
    <i r="2">
      <x v="5"/>
    </i>
    <i>
      <x v="66"/>
    </i>
    <i r="1">
      <x v="207"/>
    </i>
    <i r="2">
      <x v="5"/>
    </i>
    <i>
      <x v="67"/>
    </i>
    <i r="1">
      <x v="298"/>
    </i>
    <i r="2">
      <x v="5"/>
    </i>
    <i>
      <x v="68"/>
    </i>
    <i r="1">
      <x v="296"/>
    </i>
    <i r="2">
      <x v="5"/>
    </i>
    <i>
      <x v="69"/>
    </i>
    <i r="1">
      <x v="176"/>
    </i>
    <i r="2">
      <x v="5"/>
    </i>
    <i>
      <x v="70"/>
    </i>
    <i r="1">
      <x v="289"/>
    </i>
    <i r="2">
      <x v="5"/>
    </i>
    <i>
      <x v="71"/>
    </i>
    <i r="1">
      <x v="259"/>
    </i>
    <i r="2">
      <x v="5"/>
    </i>
    <i>
      <x v="72"/>
    </i>
    <i r="1">
      <x v="292"/>
    </i>
    <i r="2">
      <x v="5"/>
    </i>
    <i>
      <x v="73"/>
    </i>
    <i r="1">
      <x v="322"/>
    </i>
    <i r="2">
      <x v="5"/>
    </i>
    <i>
      <x v="74"/>
    </i>
    <i r="1">
      <x v="36"/>
    </i>
    <i r="2">
      <x v="5"/>
    </i>
    <i>
      <x v="75"/>
    </i>
    <i r="1">
      <x v="1"/>
    </i>
    <i r="2">
      <x v="5"/>
    </i>
    <i>
      <x v="76"/>
    </i>
    <i r="1">
      <x v="2"/>
    </i>
    <i r="2">
      <x v="5"/>
    </i>
    <i>
      <x v="77"/>
    </i>
    <i r="1">
      <x v="335"/>
    </i>
    <i r="2">
      <x v="5"/>
    </i>
    <i>
      <x v="78"/>
    </i>
    <i r="1">
      <x v="37"/>
    </i>
    <i r="2">
      <x v="5"/>
    </i>
    <i>
      <x v="79"/>
    </i>
    <i r="1">
      <x v="41"/>
    </i>
    <i r="2">
      <x v="5"/>
    </i>
    <i>
      <x v="80"/>
    </i>
    <i r="1">
      <x v="40"/>
    </i>
    <i r="2">
      <x v="5"/>
    </i>
    <i>
      <x v="81"/>
    </i>
    <i r="1">
      <x v="262"/>
    </i>
    <i r="2">
      <x v="5"/>
    </i>
    <i>
      <x v="82"/>
    </i>
    <i r="1">
      <x v="263"/>
    </i>
    <i r="2">
      <x v="5"/>
    </i>
    <i>
      <x v="83"/>
    </i>
    <i r="1">
      <x v="199"/>
    </i>
    <i r="2">
      <x v="5"/>
    </i>
    <i>
      <x v="84"/>
    </i>
    <i r="1">
      <x v="268"/>
    </i>
    <i r="2">
      <x v="5"/>
    </i>
    <i>
      <x v="85"/>
    </i>
    <i r="1">
      <x v="39"/>
    </i>
    <i r="2">
      <x v="5"/>
    </i>
    <i>
      <x v="86"/>
    </i>
    <i r="1">
      <x v="267"/>
    </i>
    <i r="2">
      <x v="5"/>
    </i>
    <i>
      <x v="87"/>
    </i>
    <i r="1">
      <x v="266"/>
    </i>
    <i r="2">
      <x v="5"/>
    </i>
    <i>
      <x v="88"/>
    </i>
    <i r="1">
      <x v="12"/>
    </i>
    <i r="2">
      <x v="5"/>
    </i>
    <i>
      <x v="89"/>
    </i>
    <i r="1">
      <x v="214"/>
    </i>
    <i r="2">
      <x v="5"/>
    </i>
    <i>
      <x v="90"/>
    </i>
    <i r="1">
      <x v="291"/>
    </i>
    <i r="2">
      <x v="5"/>
    </i>
    <i>
      <x v="91"/>
    </i>
    <i r="1">
      <x v="297"/>
    </i>
    <i r="2">
      <x v="5"/>
    </i>
    <i>
      <x v="92"/>
    </i>
    <i r="1">
      <x v="300"/>
    </i>
    <i r="2">
      <x v="5"/>
    </i>
    <i>
      <x v="93"/>
    </i>
    <i r="1">
      <x v="320"/>
    </i>
    <i r="2">
      <x v="5"/>
    </i>
    <i>
      <x v="94"/>
    </i>
    <i r="1">
      <x v="250"/>
    </i>
    <i r="2">
      <x v="5"/>
    </i>
    <i>
      <x v="95"/>
    </i>
    <i r="1">
      <x v="210"/>
    </i>
    <i r="2">
      <x v="5"/>
    </i>
    <i>
      <x v="96"/>
    </i>
    <i r="1">
      <x v="190"/>
    </i>
    <i r="2">
      <x v="5"/>
    </i>
    <i>
      <x v="97"/>
    </i>
    <i r="1">
      <x v="30"/>
    </i>
    <i r="2">
      <x v="5"/>
    </i>
    <i>
      <x v="98"/>
    </i>
    <i r="1">
      <x v="336"/>
    </i>
    <i r="2">
      <x v="5"/>
    </i>
    <i>
      <x v="99"/>
    </i>
    <i r="1">
      <x v="62"/>
    </i>
    <i r="2">
      <x v="5"/>
    </i>
    <i>
      <x v="100"/>
    </i>
    <i r="1">
      <x v="299"/>
    </i>
    <i r="2">
      <x v="5"/>
    </i>
    <i>
      <x v="101"/>
    </i>
    <i r="1">
      <x v="282"/>
    </i>
    <i r="2">
      <x v="5"/>
    </i>
    <i>
      <x v="102"/>
    </i>
    <i r="1">
      <x v="38"/>
    </i>
    <i r="2">
      <x v="5"/>
    </i>
    <i>
      <x v="103"/>
    </i>
    <i r="1">
      <x v="54"/>
    </i>
    <i r="2">
      <x v="5"/>
    </i>
    <i>
      <x v="104"/>
    </i>
    <i r="1">
      <x v="45"/>
    </i>
    <i r="2">
      <x v="5"/>
    </i>
    <i>
      <x v="105"/>
    </i>
    <i r="1">
      <x v="341"/>
    </i>
    <i r="2">
      <x v="5"/>
    </i>
    <i>
      <x v="106"/>
    </i>
    <i r="1">
      <x v="15"/>
    </i>
    <i r="2">
      <x v="5"/>
    </i>
    <i>
      <x v="107"/>
    </i>
    <i r="1">
      <x v="60"/>
    </i>
    <i r="2">
      <x v="5"/>
    </i>
    <i>
      <x v="108"/>
    </i>
    <i r="1">
      <x v="7"/>
    </i>
    <i r="2">
      <x v="5"/>
    </i>
    <i>
      <x v="109"/>
    </i>
    <i r="1">
      <x v="10"/>
    </i>
    <i r="2">
      <x v="5"/>
    </i>
    <i>
      <x v="110"/>
    </i>
    <i r="1">
      <x v="181"/>
    </i>
    <i r="2">
      <x v="5"/>
    </i>
    <i>
      <x v="111"/>
    </i>
    <i r="1">
      <x v="295"/>
    </i>
    <i r="2">
      <x v="5"/>
    </i>
    <i>
      <x v="112"/>
    </i>
    <i r="1">
      <x v="47"/>
    </i>
    <i r="2">
      <x v="5"/>
    </i>
    <i>
      <x v="113"/>
    </i>
    <i r="1">
      <x v="8"/>
    </i>
    <i r="2">
      <x v="5"/>
    </i>
    <i>
      <x v="114"/>
    </i>
    <i r="1">
      <x v="342"/>
    </i>
    <i r="2">
      <x v="5"/>
    </i>
    <i>
      <x v="115"/>
    </i>
    <i r="1">
      <x v="343"/>
    </i>
    <i r="2">
      <x v="5"/>
    </i>
    <i>
      <x v="116"/>
    </i>
    <i r="1">
      <x v="189"/>
    </i>
    <i r="2">
      <x v="5"/>
    </i>
    <i>
      <x v="117"/>
    </i>
    <i r="1">
      <x v="303"/>
    </i>
    <i r="2">
      <x v="5"/>
    </i>
    <i>
      <x v="118"/>
    </i>
    <i r="1">
      <x v="144"/>
    </i>
    <i r="2">
      <x v="5"/>
    </i>
    <i>
      <x v="119"/>
    </i>
    <i r="1">
      <x v="283"/>
    </i>
    <i r="2">
      <x v="5"/>
    </i>
    <i>
      <x v="120"/>
    </i>
    <i r="1">
      <x v="55"/>
    </i>
    <i r="2">
      <x v="5"/>
    </i>
    <i>
      <x v="121"/>
    </i>
    <i r="1">
      <x v="29"/>
    </i>
    <i r="2">
      <x v="5"/>
    </i>
    <i>
      <x v="122"/>
    </i>
    <i r="1">
      <x v="107"/>
    </i>
    <i r="2">
      <x v="5"/>
    </i>
    <i>
      <x v="123"/>
    </i>
    <i r="1">
      <x v="147"/>
    </i>
    <i r="2">
      <x v="5"/>
    </i>
    <i>
      <x v="124"/>
    </i>
    <i r="1">
      <x v="212"/>
    </i>
    <i r="2">
      <x v="5"/>
    </i>
    <i>
      <x v="125"/>
    </i>
    <i r="1">
      <x v="35"/>
    </i>
    <i r="2">
      <x v="5"/>
    </i>
    <i>
      <x v="126"/>
    </i>
    <i r="1">
      <x v="28"/>
    </i>
    <i r="2">
      <x v="5"/>
    </i>
    <i>
      <x v="127"/>
    </i>
    <i r="1">
      <x v="148"/>
    </i>
    <i r="2">
      <x v="5"/>
    </i>
    <i>
      <x v="128"/>
    </i>
    <i r="1">
      <x v="209"/>
    </i>
    <i r="2">
      <x v="5"/>
    </i>
    <i>
      <x v="129"/>
    </i>
    <i r="1">
      <x v="304"/>
    </i>
    <i r="2">
      <x v="5"/>
    </i>
    <i>
      <x v="130"/>
    </i>
    <i r="1">
      <x v="286"/>
    </i>
    <i r="2">
      <x v="5"/>
    </i>
    <i>
      <x v="131"/>
    </i>
    <i r="1">
      <x v="49"/>
    </i>
    <i r="2">
      <x v="5"/>
    </i>
    <i>
      <x v="132"/>
    </i>
    <i r="1">
      <x v="59"/>
    </i>
    <i r="2">
      <x v="5"/>
    </i>
    <i>
      <x v="133"/>
    </i>
    <i r="1">
      <x v="302"/>
    </i>
    <i r="2">
      <x v="5"/>
    </i>
    <i>
      <x v="134"/>
    </i>
    <i r="1">
      <x v="338"/>
    </i>
    <i r="2">
      <x v="5"/>
    </i>
    <i>
      <x v="135"/>
    </i>
    <i r="1">
      <x v="52"/>
    </i>
    <i r="2">
      <x v="5"/>
    </i>
    <i>
      <x v="136"/>
    </i>
    <i r="1">
      <x v="238"/>
    </i>
    <i r="2">
      <x v="5"/>
    </i>
    <i>
      <x v="137"/>
    </i>
    <i r="1">
      <x v="237"/>
    </i>
    <i r="2">
      <x v="5"/>
    </i>
    <i>
      <x v="138"/>
    </i>
    <i r="1">
      <x v="151"/>
    </i>
    <i r="2">
      <x v="5"/>
    </i>
    <i>
      <x v="139"/>
    </i>
    <i r="1">
      <x v="119"/>
    </i>
    <i r="2">
      <x v="5"/>
    </i>
    <i>
      <x v="140"/>
    </i>
    <i r="1">
      <x v="9"/>
    </i>
    <i r="2">
      <x v="5"/>
    </i>
    <i>
      <x v="141"/>
    </i>
    <i r="1">
      <x v="230"/>
    </i>
    <i r="2">
      <x v="5"/>
    </i>
    <i>
      <x v="142"/>
    </i>
    <i r="1">
      <x v="123"/>
    </i>
    <i r="2">
      <x v="5"/>
    </i>
    <i>
      <x v="143"/>
    </i>
    <i r="1">
      <x v="187"/>
    </i>
    <i r="2">
      <x v="5"/>
    </i>
    <i>
      <x v="144"/>
    </i>
    <i r="1">
      <x v="272"/>
    </i>
    <i r="2">
      <x v="5"/>
    </i>
    <i>
      <x v="145"/>
    </i>
    <i r="1">
      <x v="167"/>
    </i>
    <i r="2">
      <x v="5"/>
    </i>
    <i>
      <x v="146"/>
    </i>
    <i r="1">
      <x v="324"/>
    </i>
    <i r="2">
      <x v="5"/>
    </i>
    <i>
      <x v="147"/>
    </i>
    <i r="1">
      <x v="257"/>
    </i>
    <i r="2">
      <x v="5"/>
    </i>
    <i>
      <x v="148"/>
    </i>
    <i r="1">
      <x v="220"/>
    </i>
    <i r="2">
      <x v="5"/>
    </i>
    <i>
      <x v="149"/>
    </i>
    <i r="1">
      <x v="231"/>
    </i>
    <i r="2">
      <x v="5"/>
    </i>
    <i>
      <x v="150"/>
    </i>
    <i r="1">
      <x v="232"/>
    </i>
    <i r="2">
      <x v="5"/>
    </i>
    <i>
      <x v="151"/>
    </i>
    <i r="1">
      <x v="327"/>
    </i>
    <i r="2">
      <x v="5"/>
    </i>
    <i>
      <x v="152"/>
    </i>
    <i r="1">
      <x v="136"/>
    </i>
    <i r="2">
      <x v="5"/>
    </i>
    <i>
      <x v="153"/>
    </i>
    <i r="1">
      <x v="186"/>
    </i>
    <i r="2">
      <x v="5"/>
    </i>
    <i>
      <x v="154"/>
    </i>
    <i r="1">
      <x v="185"/>
    </i>
    <i r="2">
      <x v="5"/>
    </i>
    <i>
      <x v="155"/>
    </i>
    <i r="1">
      <x v="278"/>
    </i>
    <i r="2">
      <x v="5"/>
    </i>
    <i>
      <x v="156"/>
    </i>
    <i r="1">
      <x v="140"/>
    </i>
    <i r="2">
      <x v="5"/>
    </i>
    <i>
      <x v="157"/>
    </i>
    <i r="1">
      <x v="225"/>
    </i>
    <i r="2">
      <x v="5"/>
    </i>
    <i>
      <x v="158"/>
    </i>
    <i r="1">
      <x v="325"/>
    </i>
    <i r="2">
      <x v="5"/>
    </i>
    <i>
      <x v="159"/>
    </i>
    <i r="1">
      <x v="219"/>
    </i>
    <i r="2">
      <x v="5"/>
    </i>
    <i>
      <x v="160"/>
    </i>
    <i r="1">
      <x v="191"/>
    </i>
    <i r="2">
      <x v="5"/>
    </i>
    <i>
      <x v="161"/>
    </i>
    <i r="1">
      <x v="233"/>
    </i>
    <i r="2">
      <x v="5"/>
    </i>
    <i>
      <x v="162"/>
    </i>
    <i r="1">
      <x v="234"/>
    </i>
    <i r="2">
      <x v="5"/>
    </i>
    <i>
      <x v="163"/>
    </i>
    <i r="1">
      <x v="121"/>
    </i>
    <i r="2">
      <x v="5"/>
    </i>
    <i>
      <x v="164"/>
    </i>
    <i r="1">
      <x v="202"/>
    </i>
    <i r="2">
      <x v="5"/>
    </i>
    <i>
      <x v="165"/>
    </i>
    <i r="1">
      <x v="122"/>
    </i>
    <i r="2">
      <x v="5"/>
    </i>
    <i>
      <x v="166"/>
    </i>
    <i r="1">
      <x v="205"/>
    </i>
    <i r="2">
      <x v="5"/>
    </i>
    <i>
      <x v="167"/>
    </i>
    <i r="1">
      <x v="201"/>
    </i>
    <i r="2">
      <x v="5"/>
    </i>
    <i>
      <x v="168"/>
    </i>
    <i r="1">
      <x v="114"/>
    </i>
    <i r="2">
      <x v="5"/>
    </i>
    <i>
      <x v="169"/>
    </i>
    <i r="1">
      <x v="277"/>
    </i>
    <i r="2">
      <x v="5"/>
    </i>
    <i>
      <x v="170"/>
    </i>
    <i r="1">
      <x v="188"/>
    </i>
    <i r="2">
      <x v="5"/>
    </i>
    <i>
      <x v="171"/>
    </i>
    <i r="1">
      <x v="115"/>
    </i>
    <i r="2">
      <x v="5"/>
    </i>
    <i>
      <x v="172"/>
    </i>
    <i r="1">
      <x v="120"/>
    </i>
    <i r="2">
      <x v="5"/>
    </i>
    <i>
      <x v="173"/>
    </i>
    <i r="1">
      <x v="310"/>
    </i>
    <i r="2">
      <x v="5"/>
    </i>
    <i>
      <x v="174"/>
    </i>
    <i r="1">
      <x v="222"/>
    </i>
    <i r="2">
      <x v="5"/>
    </i>
    <i>
      <x v="175"/>
    </i>
    <i r="1">
      <x v="217"/>
    </i>
    <i r="2">
      <x v="5"/>
    </i>
    <i>
      <x v="176"/>
    </i>
    <i r="1">
      <x v="224"/>
    </i>
    <i r="2">
      <x v="5"/>
    </i>
    <i>
      <x v="177"/>
    </i>
    <i r="1">
      <x v="184"/>
    </i>
    <i r="2">
      <x v="5"/>
    </i>
    <i>
      <x v="178"/>
    </i>
    <i r="1">
      <x v="319"/>
    </i>
    <i r="2">
      <x v="5"/>
    </i>
    <i>
      <x v="179"/>
    </i>
    <i r="1">
      <x v="226"/>
    </i>
    <i r="2">
      <x v="5"/>
    </i>
    <i>
      <x v="180"/>
    </i>
    <i r="1">
      <x v="46"/>
    </i>
    <i r="2">
      <x v="5"/>
    </i>
    <i>
      <x v="181"/>
    </i>
    <i r="1">
      <x v="223"/>
    </i>
    <i r="2">
      <x v="5"/>
    </i>
    <i>
      <x v="182"/>
    </i>
    <i r="1">
      <x v="117"/>
    </i>
    <i r="2">
      <x v="5"/>
    </i>
    <i>
      <x v="183"/>
    </i>
    <i r="1">
      <x v="301"/>
    </i>
    <i r="2">
      <x v="5"/>
    </i>
    <i>
      <x v="184"/>
    </i>
    <i r="1">
      <x v="146"/>
    </i>
    <i r="2">
      <x v="5"/>
    </i>
    <i>
      <x v="185"/>
    </i>
    <i r="1">
      <x v="204"/>
    </i>
    <i r="2">
      <x v="5"/>
    </i>
    <i>
      <x v="186"/>
    </i>
    <i r="1">
      <x v="279"/>
    </i>
    <i r="2">
      <x v="5"/>
    </i>
    <i>
      <x v="187"/>
    </i>
    <i r="1">
      <x v="183"/>
    </i>
    <i r="2">
      <x v="5"/>
    </i>
    <i>
      <x v="188"/>
    </i>
    <i r="1">
      <x v="116"/>
    </i>
    <i r="2">
      <x v="5"/>
    </i>
    <i>
      <x v="189"/>
    </i>
    <i r="1">
      <x v="321"/>
    </i>
    <i r="2">
      <x v="5"/>
    </i>
    <i>
      <x v="190"/>
    </i>
    <i r="1">
      <x v="308"/>
    </i>
    <i r="2">
      <x v="5"/>
    </i>
    <i>
      <x v="191"/>
    </i>
    <i r="1">
      <x v="195"/>
    </i>
    <i r="2">
      <x v="5"/>
    </i>
    <i>
      <x v="192"/>
    </i>
    <i r="1">
      <x v="194"/>
    </i>
    <i r="2">
      <x v="5"/>
    </i>
    <i>
      <x v="193"/>
    </i>
    <i r="1">
      <x v="73"/>
    </i>
    <i r="2">
      <x v="5"/>
    </i>
    <i>
      <x v="194"/>
    </i>
    <i r="1">
      <x v="51"/>
    </i>
    <i r="2">
      <x v="5"/>
    </i>
    <i>
      <x v="195"/>
    </i>
    <i r="1">
      <x v="313"/>
    </i>
    <i r="2">
      <x v="5"/>
    </i>
    <i>
      <x v="196"/>
    </i>
    <i r="1">
      <x v="273"/>
    </i>
    <i r="2">
      <x v="5"/>
    </i>
    <i>
      <x v="197"/>
    </i>
    <i r="1">
      <x v="91"/>
    </i>
    <i r="2">
      <x v="5"/>
    </i>
    <i>
      <x v="198"/>
    </i>
    <i r="1">
      <x v="100"/>
    </i>
    <i r="2">
      <x v="5"/>
    </i>
    <i>
      <x v="199"/>
    </i>
    <i r="1">
      <x v="101"/>
    </i>
    <i r="2">
      <x v="5"/>
    </i>
    <i>
      <x v="200"/>
    </i>
    <i r="1">
      <x v="203"/>
    </i>
    <i r="2">
      <x v="5"/>
    </i>
    <i>
      <x v="201"/>
    </i>
    <i r="1">
      <x v="89"/>
    </i>
    <i r="2">
      <x v="5"/>
    </i>
    <i>
      <x v="202"/>
    </i>
    <i r="1">
      <x v="87"/>
    </i>
    <i r="2">
      <x v="5"/>
    </i>
    <i>
      <x v="203"/>
    </i>
    <i r="1">
      <x v="34"/>
    </i>
    <i r="2">
      <x v="5"/>
    </i>
    <i>
      <x v="204"/>
    </i>
    <i r="1">
      <x v="192"/>
    </i>
    <i r="2">
      <x v="5"/>
    </i>
    <i>
      <x v="205"/>
    </i>
    <i r="1">
      <x v="76"/>
    </i>
    <i r="2">
      <x v="5"/>
    </i>
    <i>
      <x v="206"/>
    </i>
    <i r="1">
      <x v="74"/>
    </i>
    <i r="2">
      <x v="5"/>
    </i>
    <i>
      <x v="207"/>
    </i>
    <i r="1">
      <x v="75"/>
    </i>
    <i r="2">
      <x v="5"/>
    </i>
    <i>
      <x v="208"/>
    </i>
    <i r="1">
      <x v="77"/>
    </i>
    <i r="2">
      <x v="5"/>
    </i>
    <i>
      <x v="209"/>
    </i>
    <i r="1">
      <x v="326"/>
    </i>
    <i r="2">
      <x v="5"/>
    </i>
    <i>
      <x v="210"/>
    </i>
    <i r="1">
      <x v="131"/>
    </i>
    <i r="2">
      <x v="5"/>
    </i>
    <i>
      <x v="211"/>
    </i>
    <i r="1">
      <x v="99"/>
    </i>
    <i r="2">
      <x v="5"/>
    </i>
    <i>
      <x v="212"/>
    </i>
    <i r="1">
      <x v="96"/>
    </i>
    <i r="2">
      <x v="5"/>
    </i>
    <i>
      <x v="213"/>
    </i>
    <i r="1">
      <x v="78"/>
    </i>
    <i r="2">
      <x v="5"/>
    </i>
    <i>
      <x v="214"/>
    </i>
    <i r="1">
      <x v="98"/>
    </i>
    <i r="2">
      <x v="5"/>
    </i>
    <i>
      <x v="215"/>
    </i>
    <i r="1">
      <x v="198"/>
    </i>
    <i r="2">
      <x v="5"/>
    </i>
    <i>
      <x v="216"/>
    </i>
    <i r="1">
      <x v="125"/>
    </i>
    <i r="2">
      <x v="5"/>
    </i>
    <i>
      <x v="217"/>
    </i>
    <i r="1">
      <x v="86"/>
    </i>
    <i r="2">
      <x v="5"/>
    </i>
    <i>
      <x v="218"/>
    </i>
    <i r="1">
      <x v="81"/>
    </i>
    <i r="2">
      <x v="5"/>
    </i>
    <i>
      <x v="219"/>
    </i>
    <i r="1">
      <x v="84"/>
    </i>
    <i r="2">
      <x v="5"/>
    </i>
    <i>
      <x v="220"/>
    </i>
    <i r="1">
      <x v="113"/>
    </i>
    <i r="2">
      <x v="5"/>
    </i>
    <i>
      <x v="221"/>
    </i>
    <i r="1">
      <x v="211"/>
    </i>
    <i r="2">
      <x v="5"/>
    </i>
    <i>
      <x v="222"/>
    </i>
    <i r="1">
      <x v="163"/>
    </i>
    <i r="2">
      <x v="5"/>
    </i>
    <i>
      <x v="223"/>
    </i>
    <i r="1">
      <x v="94"/>
    </i>
    <i r="2">
      <x v="5"/>
    </i>
    <i>
      <x v="224"/>
    </i>
    <i r="1">
      <x v="79"/>
    </i>
    <i r="2">
      <x v="5"/>
    </i>
    <i>
      <x v="225"/>
    </i>
    <i r="1">
      <x v="256"/>
    </i>
    <i r="2">
      <x v="5"/>
    </i>
    <i>
      <x v="226"/>
    </i>
    <i r="1">
      <x v="95"/>
    </i>
    <i r="2">
      <x v="5"/>
    </i>
    <i>
      <x v="227"/>
    </i>
    <i r="1">
      <x v="103"/>
    </i>
    <i r="2">
      <x v="5"/>
    </i>
    <i>
      <x v="228"/>
    </i>
    <i r="1">
      <x v="92"/>
    </i>
    <i r="2">
      <x v="5"/>
    </i>
    <i>
      <x v="229"/>
    </i>
    <i r="1">
      <x v="112"/>
    </i>
    <i r="2">
      <x v="5"/>
    </i>
    <i>
      <x v="230"/>
    </i>
    <i r="1">
      <x v="93"/>
    </i>
    <i r="2">
      <x v="5"/>
    </i>
    <i>
      <x v="231"/>
    </i>
    <i r="1">
      <x v="145"/>
    </i>
    <i r="2">
      <x v="5"/>
    </i>
    <i>
      <x v="232"/>
    </i>
    <i r="1">
      <x v="111"/>
    </i>
    <i r="2">
      <x v="5"/>
    </i>
    <i>
      <x v="233"/>
    </i>
    <i r="1">
      <x v="88"/>
    </i>
    <i r="2">
      <x v="5"/>
    </i>
    <i>
      <x v="234"/>
    </i>
    <i r="1">
      <x v="90"/>
    </i>
    <i r="2">
      <x v="5"/>
    </i>
    <i>
      <x v="235"/>
    </i>
    <i r="1">
      <x v="80"/>
    </i>
    <i r="2">
      <x v="5"/>
    </i>
    <i>
      <x v="236"/>
    </i>
    <i r="1">
      <x v="85"/>
    </i>
    <i r="2">
      <x v="5"/>
    </i>
    <i>
      <x v="237"/>
    </i>
    <i r="1">
      <x v="102"/>
    </i>
    <i r="2">
      <x v="5"/>
    </i>
    <i>
      <x v="238"/>
    </i>
    <i r="1">
      <x v="97"/>
    </i>
    <i r="2">
      <x v="5"/>
    </i>
    <i>
      <x v="239"/>
    </i>
    <i r="1">
      <x v="166"/>
    </i>
    <i r="2">
      <x v="5"/>
    </i>
    <i>
      <x v="240"/>
    </i>
    <i r="1">
      <x v="82"/>
    </i>
    <i r="2">
      <x v="5"/>
    </i>
    <i>
      <x v="241"/>
    </i>
    <i r="1">
      <x v="83"/>
    </i>
    <i r="2">
      <x v="5"/>
    </i>
    <i>
      <x v="242"/>
    </i>
    <i r="1">
      <x v="306"/>
    </i>
    <i r="2">
      <x v="5"/>
    </i>
    <i>
      <x v="243"/>
    </i>
    <i r="1">
      <x v="132"/>
    </i>
    <i r="2">
      <x v="5"/>
    </i>
    <i>
      <x v="244"/>
    </i>
    <i r="1">
      <x v="133"/>
    </i>
    <i r="2">
      <x v="5"/>
    </i>
    <i>
      <x v="245"/>
    </i>
    <i r="1">
      <x v="328"/>
    </i>
    <i r="2">
      <x v="5"/>
    </i>
    <i>
      <x v="246"/>
    </i>
    <i r="1">
      <x v="242"/>
    </i>
    <i r="2">
      <x v="5"/>
    </i>
    <i>
      <x v="247"/>
    </i>
    <i r="1">
      <x v="27"/>
    </i>
    <i r="2">
      <x v="5"/>
    </i>
    <i>
      <x v="248"/>
    </i>
    <i r="1">
      <x v="13"/>
    </i>
    <i r="2">
      <x v="5"/>
    </i>
    <i>
      <x v="249"/>
    </i>
    <i r="1">
      <x v="58"/>
    </i>
    <i r="2">
      <x v="5"/>
    </i>
    <i>
      <x v="250"/>
    </i>
    <i r="1">
      <x v="332"/>
    </i>
    <i r="2">
      <x v="5"/>
    </i>
    <i>
      <x v="251"/>
    </i>
    <i r="1">
      <x v="247"/>
    </i>
    <i r="2">
      <x v="5"/>
    </i>
    <i>
      <x v="252"/>
    </i>
    <i r="1">
      <x v="153"/>
    </i>
    <i r="2">
      <x v="5"/>
    </i>
    <i>
      <x v="253"/>
    </i>
    <i r="1">
      <x v="142"/>
    </i>
    <i r="2">
      <x v="5"/>
    </i>
    <i>
      <x v="254"/>
    </i>
    <i r="1">
      <x v="333"/>
    </i>
    <i r="2">
      <x v="5"/>
    </i>
    <i>
      <x v="255"/>
    </i>
    <i r="1">
      <x v="284"/>
    </i>
    <i r="2">
      <x v="5"/>
    </i>
    <i>
      <x v="256"/>
    </i>
    <i r="1">
      <x v="271"/>
    </i>
    <i r="2">
      <x v="5"/>
    </i>
    <i>
      <x v="257"/>
    </i>
    <i r="1">
      <x v="312"/>
    </i>
    <i r="2">
      <x v="5"/>
    </i>
    <i>
      <x v="258"/>
    </i>
    <i r="1">
      <x v="331"/>
    </i>
    <i r="2">
      <x v="5"/>
    </i>
    <i>
      <x v="259"/>
    </i>
    <i r="1">
      <x v="197"/>
    </i>
    <i r="2">
      <x v="5"/>
    </i>
    <i>
      <x v="260"/>
    </i>
    <i r="1">
      <x v="323"/>
    </i>
    <i r="2">
      <x v="5"/>
    </i>
    <i>
      <x v="261"/>
    </i>
    <i r="1">
      <x v="161"/>
    </i>
    <i r="2">
      <x v="5"/>
    </i>
    <i>
      <x v="262"/>
    </i>
    <i r="1">
      <x v="248"/>
    </i>
    <i r="2">
      <x v="5"/>
    </i>
    <i>
      <x v="263"/>
    </i>
    <i r="1">
      <x v="165"/>
    </i>
    <i r="2">
      <x v="5"/>
    </i>
    <i>
      <x v="264"/>
    </i>
    <i r="1">
      <x v="129"/>
    </i>
    <i r="2">
      <x v="5"/>
    </i>
    <i>
      <x v="265"/>
    </i>
    <i r="1">
      <x v="314"/>
    </i>
    <i r="2">
      <x v="5"/>
    </i>
    <i>
      <x v="266"/>
    </i>
    <i r="1">
      <x v="4"/>
    </i>
    <i r="2">
      <x v="5"/>
    </i>
    <i>
      <x v="267"/>
    </i>
    <i r="1">
      <x v="5"/>
    </i>
    <i r="2">
      <x v="5"/>
    </i>
    <i>
      <x v="268"/>
    </i>
    <i r="1">
      <x v="16"/>
    </i>
    <i r="2">
      <x v="5"/>
    </i>
    <i>
      <x v="269"/>
    </i>
    <i r="1">
      <x v="14"/>
    </i>
    <i r="2">
      <x v="5"/>
    </i>
    <i>
      <x v="270"/>
    </i>
    <i r="1">
      <x v="44"/>
    </i>
    <i r="2">
      <x v="5"/>
    </i>
    <i>
      <x v="271"/>
    </i>
    <i r="1">
      <x v="6"/>
    </i>
    <i r="2">
      <x v="5"/>
    </i>
    <i>
      <x v="272"/>
    </i>
    <i r="1">
      <x v="43"/>
    </i>
    <i r="2">
      <x v="5"/>
    </i>
    <i>
      <x v="273"/>
    </i>
    <i r="1">
      <x v="274"/>
    </i>
    <i r="2">
      <x v="5"/>
    </i>
    <i>
      <x v="274"/>
    </i>
    <i r="1">
      <x v="206"/>
    </i>
    <i r="2">
      <x v="5"/>
    </i>
    <i>
      <x v="275"/>
    </i>
    <i r="1">
      <x v="329"/>
    </i>
    <i r="2">
      <x v="5"/>
    </i>
    <i>
      <x v="276"/>
    </i>
    <i r="1">
      <x v="285"/>
    </i>
    <i r="2">
      <x v="5"/>
    </i>
    <i>
      <x v="277"/>
    </i>
    <i r="1">
      <x v="11"/>
    </i>
    <i r="2">
      <x v="5"/>
    </i>
    <i>
      <x v="278"/>
    </i>
    <i r="1">
      <x v="294"/>
    </i>
    <i r="2">
      <x v="5"/>
    </i>
    <i>
      <x v="279"/>
    </i>
    <i r="1">
      <x v="239"/>
    </i>
    <i r="2">
      <x v="5"/>
    </i>
    <i>
      <x v="280"/>
    </i>
    <i r="1">
      <x v="150"/>
    </i>
    <i r="2">
      <x v="5"/>
    </i>
    <i>
      <x v="281"/>
    </i>
    <i r="1">
      <x v="236"/>
    </i>
    <i r="2">
      <x v="5"/>
    </i>
    <i>
      <x v="282"/>
    </i>
    <i r="1">
      <x v="154"/>
    </i>
    <i r="2">
      <x v="5"/>
    </i>
    <i>
      <x v="283"/>
    </i>
    <i r="1">
      <x v="311"/>
    </i>
    <i r="2">
      <x v="5"/>
    </i>
    <i>
      <x v="284"/>
    </i>
    <i r="1">
      <x v="156"/>
    </i>
    <i r="2">
      <x v="5"/>
    </i>
    <i>
      <x v="285"/>
    </i>
    <i r="1">
      <x v="169"/>
    </i>
    <i r="2">
      <x v="5"/>
    </i>
    <i>
      <x v="286"/>
    </i>
    <i r="1">
      <x v="182"/>
    </i>
    <i r="2">
      <x v="5"/>
    </i>
    <i>
      <x v="287"/>
    </i>
    <i r="1">
      <x v="175"/>
    </i>
    <i r="2">
      <x v="5"/>
    </i>
    <i>
      <x v="288"/>
    </i>
    <i r="1">
      <x v="235"/>
    </i>
    <i r="2">
      <x v="5"/>
    </i>
    <i>
      <x v="289"/>
    </i>
    <i r="1">
      <x v="318"/>
    </i>
    <i r="2">
      <x v="5"/>
    </i>
    <i>
      <x v="290"/>
    </i>
    <i r="1">
      <x v="280"/>
    </i>
    <i r="2">
      <x v="5"/>
    </i>
    <i>
      <x v="291"/>
    </i>
    <i r="1">
      <x v="245"/>
    </i>
    <i r="2">
      <x v="5"/>
    </i>
    <i>
      <x v="292"/>
    </i>
    <i r="1">
      <x v="244"/>
    </i>
    <i r="2">
      <x v="5"/>
    </i>
    <i>
      <x v="293"/>
    </i>
    <i r="1">
      <x v="179"/>
    </i>
    <i r="2">
      <x v="5"/>
    </i>
    <i>
      <x v="294"/>
    </i>
    <i r="1">
      <x v="252"/>
    </i>
    <i r="2">
      <x v="5"/>
    </i>
    <i>
      <x v="295"/>
    </i>
    <i r="1">
      <x v="155"/>
    </i>
    <i r="2">
      <x v="5"/>
    </i>
    <i>
      <x v="296"/>
    </i>
    <i r="1">
      <x v="130"/>
    </i>
    <i r="2">
      <x v="5"/>
    </i>
    <i>
      <x v="297"/>
    </i>
    <i r="1">
      <x v="173"/>
    </i>
    <i r="2">
      <x v="5"/>
    </i>
    <i>
      <x v="298"/>
    </i>
    <i r="1">
      <x v="215"/>
    </i>
    <i r="2">
      <x v="5"/>
    </i>
    <i>
      <x v="299"/>
    </i>
    <i r="1">
      <x v="254"/>
    </i>
    <i r="2">
      <x v="5"/>
    </i>
    <i>
      <x v="300"/>
    </i>
    <i r="1">
      <x v="180"/>
    </i>
    <i r="2">
      <x v="5"/>
    </i>
    <i>
      <x v="301"/>
    </i>
    <i r="1">
      <x v="334"/>
    </i>
    <i r="2">
      <x v="5"/>
    </i>
    <i>
      <x v="302"/>
    </i>
    <i r="1">
      <x v="208"/>
    </i>
    <i r="2">
      <x v="5"/>
    </i>
    <i>
      <x v="303"/>
    </i>
    <i r="1">
      <x v="213"/>
    </i>
    <i r="2">
      <x v="5"/>
    </i>
    <i>
      <x v="304"/>
    </i>
    <i r="1">
      <x v="270"/>
    </i>
    <i r="2">
      <x v="5"/>
    </i>
    <i>
      <x v="305"/>
    </i>
    <i r="1">
      <x v="275"/>
    </i>
    <i r="2">
      <x v="5"/>
    </i>
    <i>
      <x v="306"/>
    </i>
    <i r="1">
      <x v="159"/>
    </i>
    <i r="2">
      <x v="5"/>
    </i>
    <i>
      <x v="307"/>
    </i>
    <i r="1">
      <x v="228"/>
    </i>
    <i r="2">
      <x v="5"/>
    </i>
    <i>
      <x v="308"/>
    </i>
    <i r="1">
      <x v="227"/>
    </i>
    <i r="2">
      <x v="5"/>
    </i>
    <i>
      <x v="309"/>
    </i>
    <i r="1">
      <x v="229"/>
    </i>
    <i r="2">
      <x v="5"/>
    </i>
    <i>
      <x v="310"/>
    </i>
    <i r="1">
      <x v="276"/>
    </i>
    <i r="2">
      <x v="5"/>
    </i>
    <i>
      <x v="311"/>
    </i>
    <i r="1">
      <x v="168"/>
    </i>
    <i r="2">
      <x v="5"/>
    </i>
    <i>
      <x v="312"/>
    </i>
    <i r="1">
      <x v="106"/>
    </i>
    <i r="2">
      <x v="5"/>
    </i>
    <i>
      <x v="313"/>
    </i>
    <i r="1">
      <x v="269"/>
    </i>
    <i r="2">
      <x v="5"/>
    </i>
    <i>
      <x v="314"/>
    </i>
    <i r="1">
      <x v="218"/>
    </i>
    <i r="2">
      <x v="5"/>
    </i>
    <i>
      <x v="315"/>
    </i>
    <i r="1">
      <x v="261"/>
    </i>
    <i r="2">
      <x v="5"/>
    </i>
    <i>
      <x v="316"/>
    </i>
    <i r="1">
      <x v="196"/>
    </i>
    <i r="2">
      <x v="5"/>
    </i>
    <i>
      <x v="317"/>
    </i>
    <i r="1">
      <x v="110"/>
    </i>
    <i r="2">
      <x v="5"/>
    </i>
    <i>
      <x v="318"/>
    </i>
    <i r="1">
      <x v="42"/>
    </i>
    <i r="2">
      <x v="5"/>
    </i>
    <i>
      <x v="319"/>
    </i>
    <i r="1">
      <x v="288"/>
    </i>
    <i r="2">
      <x v="5"/>
    </i>
    <i>
      <x v="320"/>
    </i>
    <i r="1">
      <x v="307"/>
    </i>
    <i r="2">
      <x v="5"/>
    </i>
    <i>
      <x v="321"/>
    </i>
    <i r="1">
      <x v="172"/>
    </i>
    <i r="2">
      <x v="5"/>
    </i>
    <i>
      <x v="322"/>
    </i>
    <i r="1">
      <x v="109"/>
    </i>
    <i r="2">
      <x v="5"/>
    </i>
    <i>
      <x v="323"/>
    </i>
    <i r="1">
      <x v="178"/>
    </i>
    <i r="2">
      <x v="5"/>
    </i>
    <i>
      <x v="324"/>
    </i>
    <i r="1">
      <x v="177"/>
    </i>
    <i r="2">
      <x v="5"/>
    </i>
    <i>
      <x v="325"/>
    </i>
    <i r="1">
      <x v="152"/>
    </i>
    <i r="2">
      <x v="5"/>
    </i>
    <i>
      <x v="326"/>
    </i>
    <i r="1">
      <x v="108"/>
    </i>
    <i r="2">
      <x v="5"/>
    </i>
    <i>
      <x v="327"/>
    </i>
    <i r="1">
      <x v="315"/>
    </i>
    <i r="2">
      <x v="5"/>
    </i>
    <i>
      <x v="328"/>
    </i>
    <i r="1">
      <x v="281"/>
    </i>
    <i r="2">
      <x v="5"/>
    </i>
    <i>
      <x v="329"/>
    </i>
    <i r="1">
      <x v="53"/>
    </i>
    <i r="2">
      <x v="5"/>
    </i>
    <i>
      <x v="330"/>
    </i>
    <i r="1">
      <x v="48"/>
    </i>
    <i r="2">
      <x v="5"/>
    </i>
    <i>
      <x v="331"/>
    </i>
    <i r="1">
      <x v="171"/>
    </i>
    <i r="2">
      <x v="5"/>
    </i>
    <i>
      <x v="332"/>
    </i>
    <i r="1">
      <x v="253"/>
    </i>
    <i r="2">
      <x v="5"/>
    </i>
    <i>
      <x v="333"/>
    </i>
    <i r="1">
      <x v="309"/>
    </i>
    <i r="2">
      <x v="5"/>
    </i>
    <i>
      <x v="334"/>
    </i>
    <i r="1">
      <x v="70"/>
    </i>
    <i r="2">
      <x v="5"/>
    </i>
    <i>
      <x v="335"/>
    </i>
    <i r="1">
      <x v="66"/>
    </i>
    <i r="2">
      <x v="5"/>
    </i>
    <i>
      <x v="336"/>
    </i>
    <i r="1">
      <x v="69"/>
    </i>
    <i r="2">
      <x v="5"/>
    </i>
    <i>
      <x v="337"/>
    </i>
    <i r="1">
      <x v="64"/>
    </i>
    <i r="2">
      <x v="5"/>
    </i>
    <i>
      <x v="338"/>
    </i>
    <i r="1">
      <x v="72"/>
    </i>
    <i r="2">
      <x v="5"/>
    </i>
    <i>
      <x v="339"/>
    </i>
    <i r="1">
      <x v="68"/>
    </i>
    <i r="2">
      <x v="5"/>
    </i>
    <i>
      <x v="340"/>
    </i>
    <i r="1">
      <x v="65"/>
    </i>
    <i r="2">
      <x v="5"/>
    </i>
    <i>
      <x v="341"/>
    </i>
    <i r="1">
      <x v="71"/>
    </i>
    <i r="2">
      <x v="5"/>
    </i>
    <i>
      <x v="342"/>
    </i>
    <i r="1">
      <x v="67"/>
    </i>
    <i r="2">
      <x v="5"/>
    </i>
    <i>
      <x v="343"/>
    </i>
    <i r="1">
      <x v="135"/>
    </i>
    <i r="2">
      <x v="5"/>
    </i>
    <i t="grand">
      <x/>
    </i>
  </rowItems>
  <colFields count="1">
    <field x="-2"/>
  </colFields>
  <colItems count="13">
    <i>
      <x/>
    </i>
    <i i="1">
      <x v="1"/>
    </i>
    <i i="2">
      <x v="2"/>
    </i>
    <i i="3">
      <x v="3"/>
    </i>
    <i i="4">
      <x v="4"/>
    </i>
    <i i="5">
      <x v="5"/>
    </i>
    <i i="6">
      <x v="6"/>
    </i>
    <i i="7">
      <x v="7"/>
    </i>
    <i i="8">
      <x v="8"/>
    </i>
    <i i="9">
      <x v="9"/>
    </i>
    <i i="10">
      <x v="10"/>
    </i>
    <i i="11">
      <x v="11"/>
    </i>
    <i i="12">
      <x v="12"/>
    </i>
  </colItems>
  <pageFields count="11">
    <pageField fld="0" hier="-1"/>
    <pageField fld="2" hier="-1"/>
    <pageField fld="10" hier="-1"/>
    <pageField fld="11" hier="-1"/>
    <pageField fld="13" hier="-1"/>
    <pageField fld="14" hier="-1"/>
    <pageField fld="12" hier="-1"/>
    <pageField fld="15" hier="-1"/>
    <pageField fld="28" hier="-1"/>
    <pageField fld="29" hier="-1"/>
    <pageField fld="30" hier="-1"/>
  </pageFields>
  <dataFields count="13">
    <dataField name="Cuenta de Resultados de 1er Orden" fld="40" subtotal="count" baseField="0" baseItem="0"/>
    <dataField name="Cuenta de Resultados de 2do Orden" fld="41" subtotal="count" baseField="0" baseItem="0"/>
    <dataField name="Cuenta de Existe Ficha de Cadenas de Indicadores" fld="52" subtotal="count" baseField="0" baseItem="0"/>
    <dataField name="Cuenta de Existe indicador calculado para reportar" fld="51" subtotal="count" baseField="0" baseItem="0"/>
    <dataField name="Cuenta de Se pudo reportar en el  2017 " fld="50" subtotal="count" baseField="0" baseItem="0"/>
    <dataField name="Cuenta de Se puede reportar a medio término (Mayo 2018)" fld="49" subtotal="count" baseField="0" baseItem="0"/>
    <dataField name="Cuenta de Sólo LB - No se puede reportar con frecuencia " fld="48" subtotal="count" baseField="0" baseItem="0"/>
    <dataField name="Cuenta de No existe línea base" fld="47" subtotal="count" baseField="0" baseItem="0"/>
    <dataField name="Cuenta de 1er ORDEN - 1ra ETAPA" fld="42" subtotal="count" baseField="0" baseItem="0"/>
    <dataField name="Cuenta de 2do ORDEN - 1ra ETAPA" fld="43" subtotal="count" baseField="0" baseItem="0"/>
    <dataField name="Cuenta de 1er ORDEN - 2da ETAPA" fld="44" subtotal="count" baseField="0" baseItem="0"/>
    <dataField name="Cuenta de 2do ORDEN - 2da ETAPA" fld="45" subtotal="count" baseField="0" baseItem="0"/>
    <dataField name="Cuenta de 2do ORDEN - 3ra ETAPA" fld="46" subtotal="count" baseField="0" baseItem="0"/>
  </dataFields>
  <formats count="57">
    <format dxfId="56">
      <pivotArea type="all" dataOnly="0" outline="0" fieldPosition="0"/>
    </format>
    <format dxfId="55">
      <pivotArea field="12" type="button" dataOnly="0" labelOnly="1" outline="0" axis="axisPage" fieldPosition="6"/>
    </format>
    <format dxfId="54">
      <pivotArea field="0" type="button" dataOnly="0" labelOnly="1" outline="0" axis="axisPage" fieldPosition="0"/>
    </format>
    <format dxfId="53">
      <pivotArea field="2" type="button" dataOnly="0" labelOnly="1" outline="0" axis="axisPage" fieldPosition="1"/>
    </format>
    <format dxfId="52">
      <pivotArea field="10" type="button" dataOnly="0" labelOnly="1" outline="0" axis="axisPage" fieldPosition="2"/>
    </format>
    <format dxfId="51">
      <pivotArea field="11" type="button" dataOnly="0" labelOnly="1" outline="0" axis="axisPage" fieldPosition="3"/>
    </format>
    <format dxfId="50">
      <pivotArea field="13" type="button" dataOnly="0" labelOnly="1" outline="0" axis="axisPage" fieldPosition="4"/>
    </format>
    <format dxfId="49">
      <pivotArea field="14" type="button" dataOnly="0" labelOnly="1" outline="0" axis="axisPage" fieldPosition="5"/>
    </format>
    <format dxfId="48">
      <pivotArea field="15" type="button" dataOnly="0" labelOnly="1" outline="0" axis="axisPage" fieldPosition="7"/>
    </format>
    <format dxfId="47">
      <pivotArea type="all" dataOnly="0" outline="0" fieldPosition="0"/>
    </format>
    <format dxfId="46">
      <pivotArea type="all" dataOnly="0" outline="0" fieldPosition="0"/>
    </format>
    <format dxfId="45">
      <pivotArea field="12" type="button" dataOnly="0" labelOnly="1" outline="0" axis="axisPage" fieldPosition="6"/>
    </format>
    <format dxfId="44">
      <pivotArea field="28" type="button" dataOnly="0" labelOnly="1" outline="0" axis="axisPage" fieldPosition="8"/>
    </format>
    <format dxfId="43">
      <pivotArea field="29" type="button" dataOnly="0" labelOnly="1" outline="0" axis="axisPage" fieldPosition="9"/>
    </format>
    <format dxfId="42">
      <pivotArea field="30" type="button" dataOnly="0" labelOnly="1" outline="0" axis="axisPage" fieldPosition="10"/>
    </format>
    <format dxfId="41">
      <pivotArea field="40" type="button" dataOnly="0" labelOnly="1" outline="0"/>
    </format>
    <format dxfId="40">
      <pivotArea field="41" type="button" dataOnly="0" labelOnly="1" outline="0"/>
    </format>
    <format dxfId="39">
      <pivotArea field="52" type="button" dataOnly="0" labelOnly="1" outline="0"/>
    </format>
    <format dxfId="38">
      <pivotArea field="50" type="button" dataOnly="0" labelOnly="1" outline="0"/>
    </format>
    <format dxfId="37">
      <pivotArea field="47" type="button" dataOnly="0" labelOnly="1" outline="0"/>
    </format>
    <format dxfId="36">
      <pivotArea field="48" type="button" dataOnly="0" labelOnly="1" outline="0"/>
    </format>
    <format dxfId="35">
      <pivotArea field="49" type="button" dataOnly="0" labelOnly="1" outline="0"/>
    </format>
    <format dxfId="34">
      <pivotArea field="51" type="button" dataOnly="0" labelOnly="1" outline="0"/>
    </format>
    <format dxfId="33">
      <pivotArea field="0" type="button" dataOnly="0" labelOnly="1" outline="0" axis="axisPage" fieldPosition="0"/>
    </format>
    <format dxfId="32">
      <pivotArea field="2" type="button" dataOnly="0" labelOnly="1" outline="0" axis="axisPage" fieldPosition="1"/>
    </format>
    <format dxfId="31">
      <pivotArea field="10" type="button" dataOnly="0" labelOnly="1" outline="0" axis="axisPage" fieldPosition="2"/>
    </format>
    <format dxfId="30">
      <pivotArea field="11" type="button" dataOnly="0" labelOnly="1" outline="0" axis="axisPage" fieldPosition="3"/>
    </format>
    <format dxfId="29">
      <pivotArea field="13" type="button" dataOnly="0" labelOnly="1" outline="0" axis="axisPage" fieldPosition="4"/>
    </format>
    <format dxfId="28">
      <pivotArea field="14" type="button" dataOnly="0" labelOnly="1" outline="0" axis="axisPage" fieldPosition="5"/>
    </format>
    <format dxfId="27">
      <pivotArea field="12" type="button" dataOnly="0" labelOnly="1" outline="0" axis="axisPage" fieldPosition="6"/>
    </format>
    <format dxfId="26">
      <pivotArea field="15" type="button" dataOnly="0" labelOnly="1" outline="0" axis="axisPage" fieldPosition="7"/>
    </format>
    <format dxfId="25">
      <pivotArea field="28" type="button" dataOnly="0" labelOnly="1" outline="0" axis="axisPage" fieldPosition="8"/>
    </format>
    <format dxfId="24">
      <pivotArea field="29" type="button" dataOnly="0" labelOnly="1" outline="0" axis="axisPage" fieldPosition="9"/>
    </format>
    <format dxfId="23">
      <pivotArea field="30" type="button" dataOnly="0" labelOnly="1" outline="0" axis="axisPage" fieldPosition="10"/>
    </format>
    <format dxfId="22">
      <pivotArea field="8" type="button" dataOnly="0" labelOnly="1" outline="0" axis="axisRow" fieldPosition="0"/>
    </format>
    <format dxfId="21">
      <pivotArea dataOnly="0" labelOnly="1" fieldPosition="0">
        <references count="1">
          <reference field="8" count="50">
            <x v="1"/>
            <x v="2"/>
            <x v="3"/>
            <x v="4"/>
            <x v="5"/>
            <x v="6"/>
            <x v="7"/>
            <x v="8"/>
            <x v="9"/>
            <x v="10"/>
            <x v="11"/>
            <x v="12"/>
            <x v="13"/>
            <x v="14"/>
            <x v="15"/>
            <x v="16"/>
            <x v="17"/>
            <x v="18"/>
            <x v="19"/>
            <x v="20"/>
            <x v="21"/>
            <x v="22"/>
            <x v="23"/>
            <x v="24"/>
            <x v="25"/>
            <x v="26"/>
            <x v="27"/>
            <x v="28"/>
            <x v="29"/>
            <x v="30"/>
            <x v="31"/>
            <x v="32"/>
            <x v="33"/>
            <x v="34"/>
            <x v="35"/>
            <x v="36"/>
            <x v="37"/>
            <x v="38"/>
            <x v="40"/>
            <x v="41"/>
            <x v="42"/>
            <x v="43"/>
            <x v="44"/>
            <x v="45"/>
            <x v="46"/>
            <x v="47"/>
            <x v="48"/>
            <x v="49"/>
            <x v="50"/>
            <x v="51"/>
          </reference>
        </references>
      </pivotArea>
    </format>
    <format dxfId="20">
      <pivotArea dataOnly="0" labelOnly="1" fieldPosition="0">
        <references count="1">
          <reference field="8" count="50">
            <x v="52"/>
            <x v="53"/>
            <x v="54"/>
            <x v="55"/>
            <x v="56"/>
            <x v="57"/>
            <x v="58"/>
            <x v="59"/>
            <x v="60"/>
            <x v="61"/>
            <x v="62"/>
            <x v="63"/>
            <x v="64"/>
            <x v="65"/>
            <x v="66"/>
            <x v="67"/>
            <x v="68"/>
            <x v="69"/>
            <x v="70"/>
            <x v="71"/>
            <x v="72"/>
            <x v="73"/>
            <x v="74"/>
            <x v="75"/>
            <x v="76"/>
            <x v="77"/>
            <x v="78"/>
            <x v="79"/>
            <x v="80"/>
            <x v="81"/>
            <x v="82"/>
            <x v="83"/>
            <x v="84"/>
            <x v="85"/>
            <x v="86"/>
            <x v="87"/>
            <x v="88"/>
            <x v="89"/>
            <x v="90"/>
            <x v="91"/>
            <x v="92"/>
            <x v="93"/>
            <x v="94"/>
            <x v="95"/>
            <x v="96"/>
            <x v="97"/>
            <x v="98"/>
            <x v="99"/>
            <x v="100"/>
            <x v="101"/>
          </reference>
        </references>
      </pivotArea>
    </format>
    <format dxfId="19">
      <pivotArea dataOnly="0" labelOnly="1" fieldPosition="0">
        <references count="1">
          <reference field="8" count="50">
            <x v="102"/>
            <x v="103"/>
            <x v="104"/>
            <x v="105"/>
            <x v="106"/>
            <x v="107"/>
            <x v="108"/>
            <x v="109"/>
            <x v="110"/>
            <x v="111"/>
            <x v="112"/>
            <x v="113"/>
            <x v="114"/>
            <x v="115"/>
            <x v="116"/>
            <x v="117"/>
            <x v="118"/>
            <x v="119"/>
            <x v="120"/>
            <x v="121"/>
            <x v="122"/>
            <x v="123"/>
            <x v="124"/>
            <x v="125"/>
            <x v="126"/>
            <x v="127"/>
            <x v="128"/>
            <x v="129"/>
            <x v="130"/>
            <x v="131"/>
            <x v="132"/>
            <x v="133"/>
            <x v="134"/>
            <x v="135"/>
            <x v="136"/>
            <x v="137"/>
            <x v="138"/>
            <x v="139"/>
            <x v="140"/>
            <x v="141"/>
            <x v="142"/>
            <x v="143"/>
            <x v="144"/>
            <x v="145"/>
            <x v="146"/>
            <x v="147"/>
            <x v="148"/>
            <x v="149"/>
            <x v="150"/>
            <x v="151"/>
          </reference>
        </references>
      </pivotArea>
    </format>
    <format dxfId="18">
      <pivotArea dataOnly="0" labelOnly="1" fieldPosition="0">
        <references count="1">
          <reference field="8" count="50">
            <x v="152"/>
            <x v="153"/>
            <x v="154"/>
            <x v="155"/>
            <x v="156"/>
            <x v="157"/>
            <x v="158"/>
            <x v="159"/>
            <x v="160"/>
            <x v="161"/>
            <x v="162"/>
            <x v="163"/>
            <x v="164"/>
            <x v="165"/>
            <x v="166"/>
            <x v="167"/>
            <x v="168"/>
            <x v="169"/>
            <x v="170"/>
            <x v="171"/>
            <x v="172"/>
            <x v="173"/>
            <x v="174"/>
            <x v="175"/>
            <x v="176"/>
            <x v="177"/>
            <x v="178"/>
            <x v="179"/>
            <x v="180"/>
            <x v="181"/>
            <x v="182"/>
            <x v="183"/>
            <x v="184"/>
            <x v="185"/>
            <x v="186"/>
            <x v="187"/>
            <x v="188"/>
            <x v="189"/>
            <x v="190"/>
            <x v="191"/>
            <x v="192"/>
            <x v="193"/>
            <x v="194"/>
            <x v="195"/>
            <x v="196"/>
            <x v="197"/>
            <x v="198"/>
            <x v="199"/>
            <x v="200"/>
            <x v="201"/>
          </reference>
        </references>
      </pivotArea>
    </format>
    <format dxfId="17">
      <pivotArea dataOnly="0" labelOnly="1" fieldPosition="0">
        <references count="1">
          <reference field="8" count="50">
            <x v="202"/>
            <x v="203"/>
            <x v="204"/>
            <x v="205"/>
            <x v="206"/>
            <x v="207"/>
            <x v="208"/>
            <x v="209"/>
            <x v="210"/>
            <x v="211"/>
            <x v="212"/>
            <x v="213"/>
            <x v="214"/>
            <x v="215"/>
            <x v="216"/>
            <x v="217"/>
            <x v="218"/>
            <x v="219"/>
            <x v="220"/>
            <x v="221"/>
            <x v="222"/>
            <x v="223"/>
            <x v="224"/>
            <x v="225"/>
            <x v="226"/>
            <x v="227"/>
            <x v="228"/>
            <x v="229"/>
            <x v="230"/>
            <x v="231"/>
            <x v="232"/>
            <x v="233"/>
            <x v="234"/>
            <x v="235"/>
            <x v="236"/>
            <x v="237"/>
            <x v="238"/>
            <x v="239"/>
            <x v="240"/>
            <x v="241"/>
            <x v="242"/>
            <x v="243"/>
            <x v="244"/>
            <x v="245"/>
            <x v="246"/>
            <x v="247"/>
            <x v="248"/>
            <x v="249"/>
            <x v="250"/>
            <x v="251"/>
          </reference>
        </references>
      </pivotArea>
    </format>
    <format dxfId="16">
      <pivotArea dataOnly="0" labelOnly="1" fieldPosition="0">
        <references count="1">
          <reference field="8" count="50">
            <x v="252"/>
            <x v="253"/>
            <x v="254"/>
            <x v="255"/>
            <x v="256"/>
            <x v="257"/>
            <x v="258"/>
            <x v="259"/>
            <x v="260"/>
            <x v="261"/>
            <x v="262"/>
            <x v="263"/>
            <x v="264"/>
            <x v="265"/>
            <x v="266"/>
            <x v="267"/>
            <x v="268"/>
            <x v="269"/>
            <x v="270"/>
            <x v="271"/>
            <x v="272"/>
            <x v="273"/>
            <x v="274"/>
            <x v="275"/>
            <x v="276"/>
            <x v="277"/>
            <x v="278"/>
            <x v="279"/>
            <x v="280"/>
            <x v="281"/>
            <x v="283"/>
            <x v="284"/>
            <x v="285"/>
            <x v="286"/>
            <x v="287"/>
            <x v="288"/>
            <x v="289"/>
            <x v="290"/>
            <x v="291"/>
            <x v="292"/>
            <x v="293"/>
            <x v="294"/>
            <x v="295"/>
            <x v="296"/>
            <x v="297"/>
            <x v="298"/>
            <x v="299"/>
            <x v="300"/>
            <x v="301"/>
            <x v="302"/>
          </reference>
        </references>
      </pivotArea>
    </format>
    <format dxfId="15">
      <pivotArea dataOnly="0" labelOnly="1" fieldPosition="0">
        <references count="1">
          <reference field="8" count="41">
            <x v="303"/>
            <x v="304"/>
            <x v="305"/>
            <x v="306"/>
            <x v="307"/>
            <x v="308"/>
            <x v="309"/>
            <x v="310"/>
            <x v="311"/>
            <x v="312"/>
            <x v="313"/>
            <x v="314"/>
            <x v="315"/>
            <x v="316"/>
            <x v="317"/>
            <x v="318"/>
            <x v="319"/>
            <x v="320"/>
            <x v="321"/>
            <x v="322"/>
            <x v="323"/>
            <x v="324"/>
            <x v="325"/>
            <x v="326"/>
            <x v="327"/>
            <x v="328"/>
            <x v="329"/>
            <x v="330"/>
            <x v="331"/>
            <x v="332"/>
            <x v="333"/>
            <x v="334"/>
            <x v="335"/>
            <x v="336"/>
            <x v="337"/>
            <x v="338"/>
            <x v="339"/>
            <x v="340"/>
            <x v="341"/>
            <x v="342"/>
            <x v="343"/>
          </reference>
        </references>
      </pivotArea>
    </format>
    <format dxfId="14">
      <pivotArea dataOnly="0" labelOnly="1" grandRow="1" outline="0" fieldPosition="0"/>
    </format>
    <format dxfId="13">
      <pivotArea dataOnly="0" labelOnly="1" fieldPosition="0">
        <references count="2">
          <reference field="8" count="1" selected="0">
            <x v="1"/>
          </reference>
          <reference field="9" count="50">
            <x v="3"/>
            <x v="17"/>
            <x v="19"/>
            <x v="20"/>
            <x v="23"/>
            <x v="24"/>
            <x v="25"/>
            <x v="26"/>
            <x v="31"/>
            <x v="32"/>
            <x v="50"/>
            <x v="56"/>
            <x v="57"/>
            <x v="61"/>
            <x v="104"/>
            <x v="105"/>
            <x v="118"/>
            <x v="124"/>
            <x v="126"/>
            <x v="127"/>
            <x v="128"/>
            <x v="138"/>
            <x v="139"/>
            <x v="141"/>
            <x v="143"/>
            <x v="160"/>
            <x v="164"/>
            <x v="170"/>
            <x v="174"/>
            <x v="193"/>
            <x v="200"/>
            <x v="216"/>
            <x v="221"/>
            <x v="240"/>
            <x v="241"/>
            <x v="243"/>
            <x v="246"/>
            <x v="249"/>
            <x v="255"/>
            <x v="258"/>
            <x v="260"/>
            <x v="264"/>
            <x v="265"/>
            <x v="287"/>
            <x v="305"/>
            <x v="316"/>
            <x v="317"/>
            <x v="337"/>
            <x v="339"/>
            <x v="340"/>
          </reference>
        </references>
      </pivotArea>
    </format>
    <format dxfId="12">
      <pivotArea dataOnly="0" labelOnly="1" fieldPosition="0">
        <references count="2">
          <reference field="8" count="1" selected="0">
            <x v="52"/>
          </reference>
          <reference field="9" count="50">
            <x v="1"/>
            <x v="2"/>
            <x v="12"/>
            <x v="18"/>
            <x v="21"/>
            <x v="22"/>
            <x v="30"/>
            <x v="33"/>
            <x v="36"/>
            <x v="37"/>
            <x v="39"/>
            <x v="40"/>
            <x v="41"/>
            <x v="62"/>
            <x v="63"/>
            <x v="134"/>
            <x v="137"/>
            <x v="157"/>
            <x v="158"/>
            <x v="162"/>
            <x v="176"/>
            <x v="190"/>
            <x v="199"/>
            <x v="207"/>
            <x v="210"/>
            <x v="214"/>
            <x v="250"/>
            <x v="251"/>
            <x v="259"/>
            <x v="262"/>
            <x v="263"/>
            <x v="266"/>
            <x v="267"/>
            <x v="268"/>
            <x v="282"/>
            <x v="289"/>
            <x v="290"/>
            <x v="291"/>
            <x v="292"/>
            <x v="293"/>
            <x v="296"/>
            <x v="297"/>
            <x v="298"/>
            <x v="299"/>
            <x v="300"/>
            <x v="320"/>
            <x v="322"/>
            <x v="330"/>
            <x v="335"/>
            <x v="336"/>
          </reference>
        </references>
      </pivotArea>
    </format>
    <format dxfId="11">
      <pivotArea dataOnly="0" labelOnly="1" fieldPosition="0">
        <references count="2">
          <reference field="8" count="1" selected="0">
            <x v="102"/>
          </reference>
          <reference field="9" count="50">
            <x v="7"/>
            <x v="8"/>
            <x v="9"/>
            <x v="10"/>
            <x v="15"/>
            <x v="28"/>
            <x v="29"/>
            <x v="35"/>
            <x v="38"/>
            <x v="45"/>
            <x v="47"/>
            <x v="49"/>
            <x v="52"/>
            <x v="54"/>
            <x v="55"/>
            <x v="59"/>
            <x v="60"/>
            <x v="107"/>
            <x v="119"/>
            <x v="123"/>
            <x v="144"/>
            <x v="147"/>
            <x v="148"/>
            <x v="151"/>
            <x v="167"/>
            <x v="181"/>
            <x v="187"/>
            <x v="189"/>
            <x v="209"/>
            <x v="212"/>
            <x v="220"/>
            <x v="230"/>
            <x v="231"/>
            <x v="232"/>
            <x v="237"/>
            <x v="238"/>
            <x v="257"/>
            <x v="272"/>
            <x v="283"/>
            <x v="286"/>
            <x v="295"/>
            <x v="302"/>
            <x v="303"/>
            <x v="304"/>
            <x v="324"/>
            <x v="327"/>
            <x v="338"/>
            <x v="341"/>
            <x v="342"/>
            <x v="343"/>
          </reference>
        </references>
      </pivotArea>
    </format>
    <format dxfId="10">
      <pivotArea dataOnly="0" labelOnly="1" fieldPosition="0">
        <references count="2">
          <reference field="8" count="1" selected="0">
            <x v="152"/>
          </reference>
          <reference field="9" count="50">
            <x v="46"/>
            <x v="51"/>
            <x v="73"/>
            <x v="89"/>
            <x v="91"/>
            <x v="100"/>
            <x v="101"/>
            <x v="114"/>
            <x v="115"/>
            <x v="116"/>
            <x v="117"/>
            <x v="120"/>
            <x v="121"/>
            <x v="122"/>
            <x v="136"/>
            <x v="140"/>
            <x v="146"/>
            <x v="183"/>
            <x v="184"/>
            <x v="185"/>
            <x v="186"/>
            <x v="188"/>
            <x v="191"/>
            <x v="194"/>
            <x v="195"/>
            <x v="201"/>
            <x v="202"/>
            <x v="203"/>
            <x v="204"/>
            <x v="205"/>
            <x v="217"/>
            <x v="219"/>
            <x v="222"/>
            <x v="223"/>
            <x v="224"/>
            <x v="225"/>
            <x v="226"/>
            <x v="233"/>
            <x v="234"/>
            <x v="273"/>
            <x v="277"/>
            <x v="278"/>
            <x v="279"/>
            <x v="301"/>
            <x v="308"/>
            <x v="310"/>
            <x v="313"/>
            <x v="319"/>
            <x v="321"/>
            <x v="325"/>
          </reference>
        </references>
      </pivotArea>
    </format>
    <format dxfId="9">
      <pivotArea dataOnly="0" labelOnly="1" fieldPosition="0">
        <references count="2">
          <reference field="8" count="1" selected="0">
            <x v="202"/>
          </reference>
          <reference field="9" count="50">
            <x v="13"/>
            <x v="27"/>
            <x v="34"/>
            <x v="58"/>
            <x v="74"/>
            <x v="75"/>
            <x v="76"/>
            <x v="77"/>
            <x v="78"/>
            <x v="79"/>
            <x v="80"/>
            <x v="81"/>
            <x v="82"/>
            <x v="83"/>
            <x v="84"/>
            <x v="85"/>
            <x v="86"/>
            <x v="87"/>
            <x v="88"/>
            <x v="90"/>
            <x v="92"/>
            <x v="93"/>
            <x v="94"/>
            <x v="95"/>
            <x v="96"/>
            <x v="97"/>
            <x v="98"/>
            <x v="99"/>
            <x v="102"/>
            <x v="103"/>
            <x v="111"/>
            <x v="112"/>
            <x v="113"/>
            <x v="125"/>
            <x v="131"/>
            <x v="132"/>
            <x v="133"/>
            <x v="145"/>
            <x v="163"/>
            <x v="166"/>
            <x v="192"/>
            <x v="198"/>
            <x v="211"/>
            <x v="242"/>
            <x v="247"/>
            <x v="256"/>
            <x v="306"/>
            <x v="326"/>
            <x v="328"/>
            <x v="332"/>
          </reference>
        </references>
      </pivotArea>
    </format>
    <format dxfId="8">
      <pivotArea dataOnly="0" labelOnly="1" fieldPosition="0">
        <references count="2">
          <reference field="8" count="1" selected="0">
            <x v="252"/>
          </reference>
          <reference field="9" count="50">
            <x v="4"/>
            <x v="5"/>
            <x v="6"/>
            <x v="11"/>
            <x v="14"/>
            <x v="16"/>
            <x v="43"/>
            <x v="44"/>
            <x v="129"/>
            <x v="130"/>
            <x v="142"/>
            <x v="150"/>
            <x v="153"/>
            <x v="155"/>
            <x v="156"/>
            <x v="161"/>
            <x v="165"/>
            <x v="169"/>
            <x v="173"/>
            <x v="175"/>
            <x v="179"/>
            <x v="180"/>
            <x v="182"/>
            <x v="197"/>
            <x v="206"/>
            <x v="208"/>
            <x v="215"/>
            <x v="235"/>
            <x v="236"/>
            <x v="239"/>
            <x v="244"/>
            <x v="245"/>
            <x v="248"/>
            <x v="252"/>
            <x v="254"/>
            <x v="271"/>
            <x v="274"/>
            <x v="280"/>
            <x v="284"/>
            <x v="285"/>
            <x v="294"/>
            <x v="311"/>
            <x v="312"/>
            <x v="314"/>
            <x v="318"/>
            <x v="323"/>
            <x v="329"/>
            <x v="331"/>
            <x v="333"/>
            <x v="334"/>
          </reference>
        </references>
      </pivotArea>
    </format>
    <format dxfId="7">
      <pivotArea dataOnly="0" labelOnly="1" fieldPosition="0">
        <references count="2">
          <reference field="8" count="1" selected="0">
            <x v="303"/>
          </reference>
          <reference field="9" count="41">
            <x v="42"/>
            <x v="48"/>
            <x v="53"/>
            <x v="64"/>
            <x v="65"/>
            <x v="66"/>
            <x v="67"/>
            <x v="68"/>
            <x v="69"/>
            <x v="70"/>
            <x v="71"/>
            <x v="72"/>
            <x v="106"/>
            <x v="108"/>
            <x v="109"/>
            <x v="110"/>
            <x v="135"/>
            <x v="152"/>
            <x v="159"/>
            <x v="168"/>
            <x v="171"/>
            <x v="172"/>
            <x v="177"/>
            <x v="178"/>
            <x v="196"/>
            <x v="213"/>
            <x v="218"/>
            <x v="227"/>
            <x v="228"/>
            <x v="229"/>
            <x v="253"/>
            <x v="261"/>
            <x v="269"/>
            <x v="270"/>
            <x v="275"/>
            <x v="276"/>
            <x v="281"/>
            <x v="288"/>
            <x v="307"/>
            <x v="309"/>
            <x v="315"/>
          </reference>
        </references>
      </pivotArea>
    </format>
    <format dxfId="6">
      <pivotArea dataOnly="0" labelOnly="1" fieldPosition="0">
        <references count="3">
          <reference field="8" count="1" selected="0">
            <x v="1"/>
          </reference>
          <reference field="9" count="1" selected="0">
            <x v="258"/>
          </reference>
          <reference field="55" count="5">
            <x v="1"/>
            <x v="2"/>
            <x v="3"/>
            <x v="4"/>
            <x v="5"/>
          </reference>
        </references>
      </pivotArea>
    </format>
    <format dxfId="5">
      <pivotArea dataOnly="0" labelOnly="1" fieldPosition="0">
        <references count="3">
          <reference field="8" count="1" selected="0">
            <x v="52"/>
          </reference>
          <reference field="9" count="1" selected="0">
            <x v="21"/>
          </reference>
          <reference field="55" count="1">
            <x v="5"/>
          </reference>
        </references>
      </pivotArea>
    </format>
    <format dxfId="4">
      <pivotArea dataOnly="0" labelOnly="1" fieldPosition="0">
        <references count="3">
          <reference field="8" count="1" selected="0">
            <x v="102"/>
          </reference>
          <reference field="9" count="1" selected="0">
            <x v="38"/>
          </reference>
          <reference field="55" count="1">
            <x v="5"/>
          </reference>
        </references>
      </pivotArea>
    </format>
    <format dxfId="3">
      <pivotArea dataOnly="0" labelOnly="1" fieldPosition="0">
        <references count="3">
          <reference field="8" count="1" selected="0">
            <x v="152"/>
          </reference>
          <reference field="9" count="1" selected="0">
            <x v="136"/>
          </reference>
          <reference field="55" count="1">
            <x v="5"/>
          </reference>
        </references>
      </pivotArea>
    </format>
    <format dxfId="2">
      <pivotArea dataOnly="0" labelOnly="1" fieldPosition="0">
        <references count="3">
          <reference field="8" count="1" selected="0">
            <x v="202"/>
          </reference>
          <reference field="9" count="1" selected="0">
            <x v="87"/>
          </reference>
          <reference field="55" count="1">
            <x v="5"/>
          </reference>
        </references>
      </pivotArea>
    </format>
    <format dxfId="1">
      <pivotArea dataOnly="0" labelOnly="1" fieldPosition="0">
        <references count="3">
          <reference field="8" count="1" selected="0">
            <x v="252"/>
          </reference>
          <reference field="9" count="1" selected="0">
            <x v="153"/>
          </reference>
          <reference field="55" count="1">
            <x v="5"/>
          </reference>
        </references>
      </pivotArea>
    </format>
    <format dxfId="0">
      <pivotArea dataOnly="0" labelOnly="1" fieldPosition="0">
        <references count="3">
          <reference field="8" count="1" selected="0">
            <x v="303"/>
          </reference>
          <reference field="9" count="1" selected="0">
            <x v="213"/>
          </reference>
          <reference field="55" count="1">
            <x v="5"/>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Tema de Offic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1" Type="http://schemas.openxmlformats.org/officeDocument/2006/relationships/pivotTable" Target="../pivotTables/pivotTable2.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3.xml"/></Relationships>
</file>

<file path=xl/worksheets/_rels/sheet5.xml.rels><?xml version="1.0" encoding="UTF-8" standalone="yes"?>
<Relationships xmlns="http://schemas.openxmlformats.org/package/2006/relationships"><Relationship Id="rId13" Type="http://schemas.openxmlformats.org/officeDocument/2006/relationships/oleObject" Target="../embeddings/oleObject5.bin"/><Relationship Id="rId18" Type="http://schemas.openxmlformats.org/officeDocument/2006/relationships/image" Target="../media/image7.emf"/><Relationship Id="rId26" Type="http://schemas.openxmlformats.org/officeDocument/2006/relationships/image" Target="../media/image11.emf"/><Relationship Id="rId39" Type="http://schemas.openxmlformats.org/officeDocument/2006/relationships/oleObject" Target="../embeddings/oleObject21.bin"/><Relationship Id="rId21" Type="http://schemas.openxmlformats.org/officeDocument/2006/relationships/oleObject" Target="../embeddings/oleObject9.bin"/><Relationship Id="rId34" Type="http://schemas.openxmlformats.org/officeDocument/2006/relationships/image" Target="../media/image13.emf"/><Relationship Id="rId42" Type="http://schemas.openxmlformats.org/officeDocument/2006/relationships/image" Target="../media/image16.emf"/><Relationship Id="rId47" Type="http://schemas.openxmlformats.org/officeDocument/2006/relationships/oleObject" Target="../embeddings/oleObject27.bin"/><Relationship Id="rId50" Type="http://schemas.openxmlformats.org/officeDocument/2006/relationships/image" Target="../media/image18.wmf"/><Relationship Id="rId55" Type="http://schemas.openxmlformats.org/officeDocument/2006/relationships/oleObject" Target="../embeddings/oleObject31.bin"/><Relationship Id="rId63" Type="http://schemas.openxmlformats.org/officeDocument/2006/relationships/comments" Target="../comments1.xml"/><Relationship Id="rId7" Type="http://schemas.openxmlformats.org/officeDocument/2006/relationships/oleObject" Target="../embeddings/oleObject2.bin"/><Relationship Id="rId2" Type="http://schemas.openxmlformats.org/officeDocument/2006/relationships/printerSettings" Target="../printerSettings/printerSettings2.bin"/><Relationship Id="rId16" Type="http://schemas.openxmlformats.org/officeDocument/2006/relationships/image" Target="../media/image6.emf"/><Relationship Id="rId29" Type="http://schemas.openxmlformats.org/officeDocument/2006/relationships/oleObject" Target="../embeddings/oleObject13.bin"/><Relationship Id="rId11" Type="http://schemas.openxmlformats.org/officeDocument/2006/relationships/oleObject" Target="../embeddings/oleObject4.bin"/><Relationship Id="rId24" Type="http://schemas.openxmlformats.org/officeDocument/2006/relationships/image" Target="../media/image10.emf"/><Relationship Id="rId32" Type="http://schemas.openxmlformats.org/officeDocument/2006/relationships/oleObject" Target="../embeddings/oleObject16.bin"/><Relationship Id="rId37" Type="http://schemas.openxmlformats.org/officeDocument/2006/relationships/oleObject" Target="../embeddings/oleObject20.bin"/><Relationship Id="rId40" Type="http://schemas.openxmlformats.org/officeDocument/2006/relationships/image" Target="../media/image15.emf"/><Relationship Id="rId45" Type="http://schemas.openxmlformats.org/officeDocument/2006/relationships/oleObject" Target="../embeddings/oleObject25.bin"/><Relationship Id="rId53" Type="http://schemas.openxmlformats.org/officeDocument/2006/relationships/oleObject" Target="../embeddings/oleObject30.bin"/><Relationship Id="rId58" Type="http://schemas.openxmlformats.org/officeDocument/2006/relationships/image" Target="../media/image22.emf"/><Relationship Id="rId5" Type="http://schemas.openxmlformats.org/officeDocument/2006/relationships/oleObject" Target="../embeddings/oleObject1.bin"/><Relationship Id="rId61" Type="http://schemas.openxmlformats.org/officeDocument/2006/relationships/oleObject" Target="../embeddings/oleObject34.bin"/><Relationship Id="rId19" Type="http://schemas.openxmlformats.org/officeDocument/2006/relationships/oleObject" Target="../embeddings/oleObject8.bin"/><Relationship Id="rId14" Type="http://schemas.openxmlformats.org/officeDocument/2006/relationships/image" Target="../media/image5.emf"/><Relationship Id="rId22" Type="http://schemas.openxmlformats.org/officeDocument/2006/relationships/image" Target="../media/image9.emf"/><Relationship Id="rId27" Type="http://schemas.openxmlformats.org/officeDocument/2006/relationships/oleObject" Target="../embeddings/oleObject12.bin"/><Relationship Id="rId30" Type="http://schemas.openxmlformats.org/officeDocument/2006/relationships/oleObject" Target="../embeddings/oleObject14.bin"/><Relationship Id="rId35" Type="http://schemas.openxmlformats.org/officeDocument/2006/relationships/oleObject" Target="../embeddings/oleObject18.bin"/><Relationship Id="rId43" Type="http://schemas.openxmlformats.org/officeDocument/2006/relationships/oleObject" Target="../embeddings/oleObject23.bin"/><Relationship Id="rId48" Type="http://schemas.openxmlformats.org/officeDocument/2006/relationships/image" Target="../media/image17.wmf"/><Relationship Id="rId56" Type="http://schemas.openxmlformats.org/officeDocument/2006/relationships/image" Target="../media/image21.wmf"/><Relationship Id="rId8" Type="http://schemas.openxmlformats.org/officeDocument/2006/relationships/image" Target="../media/image2.emf"/><Relationship Id="rId51" Type="http://schemas.openxmlformats.org/officeDocument/2006/relationships/oleObject" Target="../embeddings/oleObject29.bin"/><Relationship Id="rId3" Type="http://schemas.openxmlformats.org/officeDocument/2006/relationships/drawing" Target="../drawings/drawing2.xml"/><Relationship Id="rId12" Type="http://schemas.openxmlformats.org/officeDocument/2006/relationships/image" Target="../media/image4.emf"/><Relationship Id="rId17" Type="http://schemas.openxmlformats.org/officeDocument/2006/relationships/oleObject" Target="../embeddings/oleObject7.bin"/><Relationship Id="rId25" Type="http://schemas.openxmlformats.org/officeDocument/2006/relationships/oleObject" Target="../embeddings/oleObject11.bin"/><Relationship Id="rId33" Type="http://schemas.openxmlformats.org/officeDocument/2006/relationships/oleObject" Target="../embeddings/oleObject17.bin"/><Relationship Id="rId38" Type="http://schemas.openxmlformats.org/officeDocument/2006/relationships/image" Target="../media/image14.emf"/><Relationship Id="rId46" Type="http://schemas.openxmlformats.org/officeDocument/2006/relationships/oleObject" Target="../embeddings/oleObject26.bin"/><Relationship Id="rId59" Type="http://schemas.openxmlformats.org/officeDocument/2006/relationships/oleObject" Target="../embeddings/oleObject33.bin"/><Relationship Id="rId20" Type="http://schemas.openxmlformats.org/officeDocument/2006/relationships/image" Target="../media/image8.emf"/><Relationship Id="rId41" Type="http://schemas.openxmlformats.org/officeDocument/2006/relationships/oleObject" Target="../embeddings/oleObject22.bin"/><Relationship Id="rId54" Type="http://schemas.openxmlformats.org/officeDocument/2006/relationships/image" Target="../media/image20.emf"/><Relationship Id="rId62" Type="http://schemas.openxmlformats.org/officeDocument/2006/relationships/image" Target="../media/image24.emf"/><Relationship Id="rId1" Type="http://schemas.openxmlformats.org/officeDocument/2006/relationships/hyperlink" Target="http://www.ilo.org/ilostat" TargetMode="External"/><Relationship Id="rId6" Type="http://schemas.openxmlformats.org/officeDocument/2006/relationships/image" Target="../media/image1.emf"/><Relationship Id="rId15" Type="http://schemas.openxmlformats.org/officeDocument/2006/relationships/oleObject" Target="../embeddings/oleObject6.bin"/><Relationship Id="rId23" Type="http://schemas.openxmlformats.org/officeDocument/2006/relationships/oleObject" Target="../embeddings/oleObject10.bin"/><Relationship Id="rId28" Type="http://schemas.openxmlformats.org/officeDocument/2006/relationships/image" Target="../media/image12.emf"/><Relationship Id="rId36" Type="http://schemas.openxmlformats.org/officeDocument/2006/relationships/oleObject" Target="../embeddings/oleObject19.bin"/><Relationship Id="rId49" Type="http://schemas.openxmlformats.org/officeDocument/2006/relationships/oleObject" Target="../embeddings/oleObject28.bin"/><Relationship Id="rId57" Type="http://schemas.openxmlformats.org/officeDocument/2006/relationships/oleObject" Target="../embeddings/oleObject32.bin"/><Relationship Id="rId10" Type="http://schemas.openxmlformats.org/officeDocument/2006/relationships/image" Target="../media/image3.wmf"/><Relationship Id="rId31" Type="http://schemas.openxmlformats.org/officeDocument/2006/relationships/oleObject" Target="../embeddings/oleObject15.bin"/><Relationship Id="rId44" Type="http://schemas.openxmlformats.org/officeDocument/2006/relationships/oleObject" Target="../embeddings/oleObject24.bin"/><Relationship Id="rId52" Type="http://schemas.openxmlformats.org/officeDocument/2006/relationships/image" Target="../media/image19.wmf"/><Relationship Id="rId60" Type="http://schemas.openxmlformats.org/officeDocument/2006/relationships/image" Target="../media/image23.emf"/><Relationship Id="rId4" Type="http://schemas.openxmlformats.org/officeDocument/2006/relationships/vmlDrawing" Target="../drawings/vmlDrawing1.vml"/><Relationship Id="rId9" Type="http://schemas.openxmlformats.org/officeDocument/2006/relationships/oleObject" Target="../embeddings/oleObject3.bin"/></Relationships>
</file>

<file path=xl/worksheets/_rels/sheet6.xml.rels><?xml version="1.0" encoding="UTF-8" standalone="yes"?>
<Relationships xmlns="http://schemas.openxmlformats.org/package/2006/relationships"><Relationship Id="rId1" Type="http://schemas.openxmlformats.org/officeDocument/2006/relationships/pivotTable" Target="../pivotTables/pivotTable4.xml"/></Relationships>
</file>

<file path=xl/worksheets/_rels/sheet7.xml.rels><?xml version="1.0" encoding="UTF-8" standalone="yes"?>
<Relationships xmlns="http://schemas.openxmlformats.org/package/2006/relationships"><Relationship Id="rId8" Type="http://schemas.openxmlformats.org/officeDocument/2006/relationships/control" Target="../activeX/activeX3.xml"/><Relationship Id="rId3" Type="http://schemas.openxmlformats.org/officeDocument/2006/relationships/vmlDrawing" Target="../drawings/vmlDrawing2.vml"/><Relationship Id="rId7" Type="http://schemas.openxmlformats.org/officeDocument/2006/relationships/image" Target="../media/image40.emf"/><Relationship Id="rId12" Type="http://schemas.openxmlformats.org/officeDocument/2006/relationships/control" Target="../activeX/activeX7.xml"/><Relationship Id="rId2" Type="http://schemas.openxmlformats.org/officeDocument/2006/relationships/drawing" Target="../drawings/drawing3.xml"/><Relationship Id="rId1" Type="http://schemas.openxmlformats.org/officeDocument/2006/relationships/printerSettings" Target="../printerSettings/printerSettings3.bin"/><Relationship Id="rId6" Type="http://schemas.openxmlformats.org/officeDocument/2006/relationships/control" Target="../activeX/activeX2.xml"/><Relationship Id="rId11" Type="http://schemas.openxmlformats.org/officeDocument/2006/relationships/control" Target="../activeX/activeX6.xml"/><Relationship Id="rId5" Type="http://schemas.openxmlformats.org/officeDocument/2006/relationships/image" Target="../media/image39.emf"/><Relationship Id="rId10" Type="http://schemas.openxmlformats.org/officeDocument/2006/relationships/control" Target="../activeX/activeX5.xml"/><Relationship Id="rId4" Type="http://schemas.openxmlformats.org/officeDocument/2006/relationships/control" Target="../activeX/activeX1.xml"/><Relationship Id="rId9" Type="http://schemas.openxmlformats.org/officeDocument/2006/relationships/control" Target="../activeX/activeX4.xml"/></Relationships>
</file>

<file path=xl/worksheets/_rels/sheet8.xml.rels><?xml version="1.0" encoding="UTF-8" standalone="yes"?>
<Relationships xmlns="http://schemas.openxmlformats.org/package/2006/relationships"><Relationship Id="rId13" Type="http://schemas.openxmlformats.org/officeDocument/2006/relationships/image" Target="../media/image50.emf"/><Relationship Id="rId18" Type="http://schemas.openxmlformats.org/officeDocument/2006/relationships/control" Target="../activeX/activeX15.xml"/><Relationship Id="rId26" Type="http://schemas.openxmlformats.org/officeDocument/2006/relationships/control" Target="../activeX/activeX19.xml"/><Relationship Id="rId39" Type="http://schemas.openxmlformats.org/officeDocument/2006/relationships/control" Target="../activeX/activeX26.xml"/><Relationship Id="rId21" Type="http://schemas.openxmlformats.org/officeDocument/2006/relationships/image" Target="../media/image54.emf"/><Relationship Id="rId34" Type="http://schemas.openxmlformats.org/officeDocument/2006/relationships/image" Target="../media/image60.emf"/><Relationship Id="rId42" Type="http://schemas.openxmlformats.org/officeDocument/2006/relationships/control" Target="../activeX/activeX28.xml"/><Relationship Id="rId47" Type="http://schemas.openxmlformats.org/officeDocument/2006/relationships/image" Target="../media/image65.emf"/><Relationship Id="rId50" Type="http://schemas.openxmlformats.org/officeDocument/2006/relationships/control" Target="../activeX/activeX33.xml"/><Relationship Id="rId55" Type="http://schemas.openxmlformats.org/officeDocument/2006/relationships/image" Target="../media/image69.emf"/><Relationship Id="rId63" Type="http://schemas.openxmlformats.org/officeDocument/2006/relationships/image" Target="../media/image71.emf"/><Relationship Id="rId7" Type="http://schemas.openxmlformats.org/officeDocument/2006/relationships/image" Target="../media/image47.emf"/><Relationship Id="rId2" Type="http://schemas.openxmlformats.org/officeDocument/2006/relationships/drawing" Target="../drawings/drawing4.xml"/><Relationship Id="rId16" Type="http://schemas.openxmlformats.org/officeDocument/2006/relationships/control" Target="../activeX/activeX14.xml"/><Relationship Id="rId29" Type="http://schemas.openxmlformats.org/officeDocument/2006/relationships/control" Target="../activeX/activeX21.xml"/><Relationship Id="rId11" Type="http://schemas.openxmlformats.org/officeDocument/2006/relationships/image" Target="../media/image49.emf"/><Relationship Id="rId24" Type="http://schemas.openxmlformats.org/officeDocument/2006/relationships/control" Target="../activeX/activeX18.xml"/><Relationship Id="rId32" Type="http://schemas.openxmlformats.org/officeDocument/2006/relationships/image" Target="../media/image59.emf"/><Relationship Id="rId37" Type="http://schemas.openxmlformats.org/officeDocument/2006/relationships/control" Target="../activeX/activeX25.xml"/><Relationship Id="rId40" Type="http://schemas.openxmlformats.org/officeDocument/2006/relationships/image" Target="../media/image63.emf"/><Relationship Id="rId45" Type="http://schemas.openxmlformats.org/officeDocument/2006/relationships/image" Target="../media/image64.emf"/><Relationship Id="rId53" Type="http://schemas.openxmlformats.org/officeDocument/2006/relationships/image" Target="../media/image68.emf"/><Relationship Id="rId58" Type="http://schemas.openxmlformats.org/officeDocument/2006/relationships/control" Target="../activeX/activeX37.xml"/><Relationship Id="rId5" Type="http://schemas.openxmlformats.org/officeDocument/2006/relationships/image" Target="../media/image46.emf"/><Relationship Id="rId61" Type="http://schemas.openxmlformats.org/officeDocument/2006/relationships/control" Target="../activeX/activeX40.xml"/><Relationship Id="rId19" Type="http://schemas.openxmlformats.org/officeDocument/2006/relationships/image" Target="../media/image53.emf"/><Relationship Id="rId14" Type="http://schemas.openxmlformats.org/officeDocument/2006/relationships/control" Target="../activeX/activeX13.xml"/><Relationship Id="rId22" Type="http://schemas.openxmlformats.org/officeDocument/2006/relationships/control" Target="../activeX/activeX17.xml"/><Relationship Id="rId27" Type="http://schemas.openxmlformats.org/officeDocument/2006/relationships/control" Target="../activeX/activeX20.xml"/><Relationship Id="rId30" Type="http://schemas.openxmlformats.org/officeDocument/2006/relationships/image" Target="../media/image58.emf"/><Relationship Id="rId35" Type="http://schemas.openxmlformats.org/officeDocument/2006/relationships/control" Target="../activeX/activeX24.xml"/><Relationship Id="rId43" Type="http://schemas.openxmlformats.org/officeDocument/2006/relationships/control" Target="../activeX/activeX29.xml"/><Relationship Id="rId48" Type="http://schemas.openxmlformats.org/officeDocument/2006/relationships/control" Target="../activeX/activeX32.xml"/><Relationship Id="rId56" Type="http://schemas.openxmlformats.org/officeDocument/2006/relationships/control" Target="../activeX/activeX36.xml"/><Relationship Id="rId8" Type="http://schemas.openxmlformats.org/officeDocument/2006/relationships/control" Target="../activeX/activeX10.xml"/><Relationship Id="rId51" Type="http://schemas.openxmlformats.org/officeDocument/2006/relationships/image" Target="../media/image67.emf"/><Relationship Id="rId3" Type="http://schemas.openxmlformats.org/officeDocument/2006/relationships/vmlDrawing" Target="../drawings/vmlDrawing3.vml"/><Relationship Id="rId12" Type="http://schemas.openxmlformats.org/officeDocument/2006/relationships/control" Target="../activeX/activeX12.xml"/><Relationship Id="rId17" Type="http://schemas.openxmlformats.org/officeDocument/2006/relationships/image" Target="../media/image52.emf"/><Relationship Id="rId25" Type="http://schemas.openxmlformats.org/officeDocument/2006/relationships/image" Target="../media/image56.emf"/><Relationship Id="rId33" Type="http://schemas.openxmlformats.org/officeDocument/2006/relationships/control" Target="../activeX/activeX23.xml"/><Relationship Id="rId38" Type="http://schemas.openxmlformats.org/officeDocument/2006/relationships/image" Target="../media/image62.emf"/><Relationship Id="rId46" Type="http://schemas.openxmlformats.org/officeDocument/2006/relationships/control" Target="../activeX/activeX31.xml"/><Relationship Id="rId59" Type="http://schemas.openxmlformats.org/officeDocument/2006/relationships/control" Target="../activeX/activeX38.xml"/><Relationship Id="rId20" Type="http://schemas.openxmlformats.org/officeDocument/2006/relationships/control" Target="../activeX/activeX16.xml"/><Relationship Id="rId41" Type="http://schemas.openxmlformats.org/officeDocument/2006/relationships/control" Target="../activeX/activeX27.xml"/><Relationship Id="rId54" Type="http://schemas.openxmlformats.org/officeDocument/2006/relationships/control" Target="../activeX/activeX35.xml"/><Relationship Id="rId62" Type="http://schemas.openxmlformats.org/officeDocument/2006/relationships/control" Target="../activeX/activeX41.xml"/><Relationship Id="rId1" Type="http://schemas.openxmlformats.org/officeDocument/2006/relationships/printerSettings" Target="../printerSettings/printerSettings4.bin"/><Relationship Id="rId6" Type="http://schemas.openxmlformats.org/officeDocument/2006/relationships/control" Target="../activeX/activeX9.xml"/><Relationship Id="rId15" Type="http://schemas.openxmlformats.org/officeDocument/2006/relationships/image" Target="../media/image51.emf"/><Relationship Id="rId23" Type="http://schemas.openxmlformats.org/officeDocument/2006/relationships/image" Target="../media/image55.emf"/><Relationship Id="rId28" Type="http://schemas.openxmlformats.org/officeDocument/2006/relationships/image" Target="../media/image57.emf"/><Relationship Id="rId36" Type="http://schemas.openxmlformats.org/officeDocument/2006/relationships/image" Target="../media/image61.emf"/><Relationship Id="rId49" Type="http://schemas.openxmlformats.org/officeDocument/2006/relationships/image" Target="../media/image66.emf"/><Relationship Id="rId57" Type="http://schemas.openxmlformats.org/officeDocument/2006/relationships/image" Target="../media/image70.emf"/><Relationship Id="rId10" Type="http://schemas.openxmlformats.org/officeDocument/2006/relationships/control" Target="../activeX/activeX11.xml"/><Relationship Id="rId31" Type="http://schemas.openxmlformats.org/officeDocument/2006/relationships/control" Target="../activeX/activeX22.xml"/><Relationship Id="rId44" Type="http://schemas.openxmlformats.org/officeDocument/2006/relationships/control" Target="../activeX/activeX30.xml"/><Relationship Id="rId52" Type="http://schemas.openxmlformats.org/officeDocument/2006/relationships/control" Target="../activeX/activeX34.xml"/><Relationship Id="rId60" Type="http://schemas.openxmlformats.org/officeDocument/2006/relationships/control" Target="../activeX/activeX39.xml"/><Relationship Id="rId4" Type="http://schemas.openxmlformats.org/officeDocument/2006/relationships/control" Target="../activeX/activeX8.xml"/><Relationship Id="rId9" Type="http://schemas.openxmlformats.org/officeDocument/2006/relationships/image" Target="../media/image48.emf"/></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B35"/>
  <sheetViews>
    <sheetView workbookViewId="0">
      <selection activeCell="I14" sqref="I14"/>
    </sheetView>
  </sheetViews>
  <sheetFormatPr baseColWidth="10" defaultRowHeight="15" x14ac:dyDescent="0.25"/>
  <cols>
    <col min="1" max="1" width="8.140625" customWidth="1"/>
  </cols>
  <sheetData>
    <row r="1" spans="1:2" x14ac:dyDescent="0.25">
      <c r="A1" s="268" t="s">
        <v>4563</v>
      </c>
    </row>
    <row r="2" spans="1:2" x14ac:dyDescent="0.25">
      <c r="A2">
        <v>1</v>
      </c>
      <c r="B2" t="s">
        <v>64</v>
      </c>
    </row>
    <row r="3" spans="1:2" x14ac:dyDescent="0.25">
      <c r="A3">
        <v>2</v>
      </c>
      <c r="B3" t="s">
        <v>4543</v>
      </c>
    </row>
    <row r="4" spans="1:2" x14ac:dyDescent="0.25">
      <c r="A4">
        <v>3</v>
      </c>
      <c r="B4" t="s">
        <v>4544</v>
      </c>
    </row>
    <row r="5" spans="1:2" x14ac:dyDescent="0.25">
      <c r="A5">
        <v>4</v>
      </c>
      <c r="B5" t="s">
        <v>4545</v>
      </c>
    </row>
    <row r="6" spans="1:2" x14ac:dyDescent="0.25">
      <c r="A6" s="268" t="s">
        <v>4564</v>
      </c>
    </row>
    <row r="7" spans="1:2" x14ac:dyDescent="0.25">
      <c r="A7">
        <v>5</v>
      </c>
      <c r="B7" t="s">
        <v>272</v>
      </c>
    </row>
    <row r="8" spans="1:2" x14ac:dyDescent="0.25">
      <c r="A8">
        <v>6</v>
      </c>
      <c r="B8" t="s">
        <v>4546</v>
      </c>
    </row>
    <row r="9" spans="1:2" x14ac:dyDescent="0.25">
      <c r="A9">
        <v>7</v>
      </c>
      <c r="B9" t="s">
        <v>4547</v>
      </c>
    </row>
    <row r="10" spans="1:2" x14ac:dyDescent="0.25">
      <c r="A10">
        <v>8</v>
      </c>
      <c r="B10" t="s">
        <v>4341</v>
      </c>
    </row>
    <row r="11" spans="1:2" x14ac:dyDescent="0.25">
      <c r="A11">
        <v>9</v>
      </c>
      <c r="B11" t="s">
        <v>4548</v>
      </c>
    </row>
    <row r="12" spans="1:2" x14ac:dyDescent="0.25">
      <c r="A12">
        <v>10</v>
      </c>
      <c r="B12" t="s">
        <v>4271</v>
      </c>
    </row>
    <row r="13" spans="1:2" x14ac:dyDescent="0.25">
      <c r="A13" s="268" t="s">
        <v>4565</v>
      </c>
    </row>
    <row r="14" spans="1:2" x14ac:dyDescent="0.25">
      <c r="A14">
        <v>11</v>
      </c>
      <c r="B14" t="s">
        <v>4549</v>
      </c>
    </row>
    <row r="15" spans="1:2" x14ac:dyDescent="0.25">
      <c r="A15" s="268" t="s">
        <v>4566</v>
      </c>
    </row>
    <row r="16" spans="1:2" x14ac:dyDescent="0.25">
      <c r="A16">
        <v>12</v>
      </c>
      <c r="B16" t="s">
        <v>4550</v>
      </c>
    </row>
    <row r="17" spans="1:2" x14ac:dyDescent="0.25">
      <c r="A17">
        <v>13</v>
      </c>
      <c r="B17" t="s">
        <v>4551</v>
      </c>
    </row>
    <row r="18" spans="1:2" x14ac:dyDescent="0.25">
      <c r="A18">
        <v>14</v>
      </c>
      <c r="B18" t="s">
        <v>4552</v>
      </c>
    </row>
    <row r="19" spans="1:2" x14ac:dyDescent="0.25">
      <c r="A19">
        <v>15</v>
      </c>
      <c r="B19" t="s">
        <v>4555</v>
      </c>
    </row>
    <row r="20" spans="1:2" x14ac:dyDescent="0.25">
      <c r="A20">
        <v>16</v>
      </c>
      <c r="B20" t="s">
        <v>535</v>
      </c>
    </row>
    <row r="21" spans="1:2" x14ac:dyDescent="0.25">
      <c r="A21">
        <v>17</v>
      </c>
      <c r="B21" t="s">
        <v>4553</v>
      </c>
    </row>
    <row r="22" spans="1:2" x14ac:dyDescent="0.25">
      <c r="A22">
        <v>18</v>
      </c>
      <c r="B22" t="s">
        <v>4554</v>
      </c>
    </row>
    <row r="23" spans="1:2" x14ac:dyDescent="0.25">
      <c r="A23" s="268" t="s">
        <v>4567</v>
      </c>
    </row>
    <row r="24" spans="1:2" x14ac:dyDescent="0.25">
      <c r="A24">
        <v>19</v>
      </c>
      <c r="B24" t="s">
        <v>4556</v>
      </c>
    </row>
    <row r="25" spans="1:2" x14ac:dyDescent="0.25">
      <c r="A25" s="268" t="s">
        <v>4568</v>
      </c>
    </row>
    <row r="26" spans="1:2" x14ac:dyDescent="0.25">
      <c r="A26">
        <v>20</v>
      </c>
      <c r="B26" t="s">
        <v>4557</v>
      </c>
    </row>
    <row r="27" spans="1:2" x14ac:dyDescent="0.25">
      <c r="A27">
        <v>21</v>
      </c>
      <c r="B27" t="s">
        <v>4558</v>
      </c>
    </row>
    <row r="28" spans="1:2" x14ac:dyDescent="0.25">
      <c r="A28" s="268" t="s">
        <v>4569</v>
      </c>
    </row>
    <row r="29" spans="1:2" x14ac:dyDescent="0.25">
      <c r="A29">
        <v>22</v>
      </c>
      <c r="B29" t="s">
        <v>4559</v>
      </c>
    </row>
    <row r="30" spans="1:2" x14ac:dyDescent="0.25">
      <c r="A30">
        <v>23</v>
      </c>
      <c r="B30" t="s">
        <v>4560</v>
      </c>
    </row>
    <row r="31" spans="1:2" x14ac:dyDescent="0.25">
      <c r="A31">
        <v>24</v>
      </c>
      <c r="B31" t="s">
        <v>440</v>
      </c>
    </row>
    <row r="32" spans="1:2" x14ac:dyDescent="0.25">
      <c r="A32">
        <v>25</v>
      </c>
      <c r="B32" t="s">
        <v>459</v>
      </c>
    </row>
    <row r="33" spans="1:2" x14ac:dyDescent="0.25">
      <c r="A33">
        <v>26</v>
      </c>
      <c r="B33" t="s">
        <v>4561</v>
      </c>
    </row>
    <row r="34" spans="1:2" x14ac:dyDescent="0.25">
      <c r="A34" s="268" t="s">
        <v>4570</v>
      </c>
    </row>
    <row r="35" spans="1:2" x14ac:dyDescent="0.25">
      <c r="A35">
        <v>27</v>
      </c>
      <c r="B35" t="s">
        <v>4562</v>
      </c>
    </row>
  </sheetData>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3:Q359"/>
  <sheetViews>
    <sheetView workbookViewId="0">
      <pane ySplit="2100" topLeftCell="A331"/>
      <selection activeCell="A3" sqref="A3:O347"/>
      <selection pane="bottomLeft" activeCell="U354" sqref="U354"/>
      <pivotSelection pane="bottomRight" showHeader="1" activeRow="2" previousRow="2" click="1" r:id="rId1">
        <pivotArea type="all" dataOnly="0" outline="0" fieldPosition="0"/>
      </pivotSelection>
    </sheetView>
  </sheetViews>
  <sheetFormatPr baseColWidth="10" defaultRowHeight="15" x14ac:dyDescent="0.25"/>
  <cols>
    <col min="1" max="1" width="206.85546875" bestFit="1" customWidth="1"/>
    <col min="2" max="2" width="22.42578125" customWidth="1"/>
    <col min="3" max="3" width="7.7109375" bestFit="1" customWidth="1"/>
    <col min="4" max="4" width="7.42578125" bestFit="1" customWidth="1"/>
    <col min="5" max="5" width="149.42578125" bestFit="1" customWidth="1"/>
    <col min="6" max="6" width="13.42578125" bestFit="1" customWidth="1"/>
    <col min="7" max="7" width="14" bestFit="1" customWidth="1"/>
    <col min="8" max="8" width="22.42578125" bestFit="1" customWidth="1"/>
    <col min="9" max="9" width="6.85546875" bestFit="1" customWidth="1"/>
    <col min="10" max="10" width="81.85546875" bestFit="1" customWidth="1"/>
    <col min="11" max="11" width="107.140625" bestFit="1" customWidth="1"/>
    <col min="12" max="12" width="5.5703125" bestFit="1" customWidth="1"/>
    <col min="13" max="13" width="11" bestFit="1" customWidth="1"/>
    <col min="14" max="14" width="4.7109375" customWidth="1"/>
    <col min="15" max="15" width="12.5703125" bestFit="1" customWidth="1"/>
  </cols>
  <sheetData>
    <row r="3" spans="1:15" x14ac:dyDescent="0.25">
      <c r="A3" s="270" t="s">
        <v>4572</v>
      </c>
      <c r="B3" s="270" t="s">
        <v>4571</v>
      </c>
    </row>
    <row r="4" spans="1:15" x14ac:dyDescent="0.25">
      <c r="A4" s="270" t="s">
        <v>803</v>
      </c>
      <c r="B4" t="s">
        <v>1235</v>
      </c>
      <c r="C4" t="s">
        <v>3915</v>
      </c>
      <c r="D4" t="s">
        <v>2252</v>
      </c>
      <c r="E4" t="s">
        <v>3547</v>
      </c>
      <c r="F4" t="s">
        <v>1364</v>
      </c>
      <c r="G4" t="s">
        <v>3975</v>
      </c>
      <c r="H4" t="s">
        <v>4000</v>
      </c>
      <c r="I4" t="s">
        <v>1236</v>
      </c>
      <c r="J4" t="s">
        <v>2070</v>
      </c>
      <c r="K4" t="s">
        <v>1970</v>
      </c>
      <c r="L4" t="s">
        <v>2172</v>
      </c>
      <c r="M4" t="s">
        <v>804</v>
      </c>
      <c r="N4" t="s">
        <v>3166</v>
      </c>
      <c r="O4" t="s">
        <v>805</v>
      </c>
    </row>
    <row r="5" spans="1:15" x14ac:dyDescent="0.25">
      <c r="A5" s="271">
        <v>1</v>
      </c>
      <c r="B5" s="272">
        <v>3</v>
      </c>
      <c r="C5" s="272"/>
      <c r="D5" s="272"/>
      <c r="E5" s="272"/>
      <c r="F5" s="272"/>
      <c r="G5" s="272"/>
      <c r="H5" s="272"/>
      <c r="I5" s="272">
        <v>1</v>
      </c>
      <c r="J5" s="272"/>
      <c r="K5" s="272"/>
      <c r="L5" s="272"/>
      <c r="M5" s="272"/>
      <c r="N5" s="272"/>
      <c r="O5" s="272">
        <v>4</v>
      </c>
    </row>
    <row r="6" spans="1:15" x14ac:dyDescent="0.25">
      <c r="A6" s="273" t="s">
        <v>3403</v>
      </c>
      <c r="B6" s="272">
        <v>1</v>
      </c>
      <c r="C6" s="272"/>
      <c r="D6" s="272"/>
      <c r="E6" s="272"/>
      <c r="F6" s="272"/>
      <c r="G6" s="272"/>
      <c r="H6" s="272"/>
      <c r="I6" s="272"/>
      <c r="J6" s="272"/>
      <c r="K6" s="272"/>
      <c r="L6" s="272"/>
      <c r="M6" s="272"/>
      <c r="N6" s="272"/>
      <c r="O6" s="272">
        <v>1</v>
      </c>
    </row>
    <row r="7" spans="1:15" x14ac:dyDescent="0.25">
      <c r="A7" s="273" t="s">
        <v>3392</v>
      </c>
      <c r="B7" s="272">
        <v>1</v>
      </c>
      <c r="C7" s="272"/>
      <c r="D7" s="272"/>
      <c r="E7" s="272"/>
      <c r="F7" s="272"/>
      <c r="G7" s="272"/>
      <c r="H7" s="272"/>
      <c r="I7" s="272"/>
      <c r="J7" s="272"/>
      <c r="K7" s="272"/>
      <c r="L7" s="272"/>
      <c r="M7" s="272"/>
      <c r="N7" s="272"/>
      <c r="O7" s="272">
        <v>1</v>
      </c>
    </row>
    <row r="8" spans="1:15" x14ac:dyDescent="0.25">
      <c r="A8" s="273" t="s">
        <v>3408</v>
      </c>
      <c r="B8" s="272">
        <v>1</v>
      </c>
      <c r="C8" s="272"/>
      <c r="D8" s="272"/>
      <c r="E8" s="272"/>
      <c r="F8" s="272"/>
      <c r="G8" s="272"/>
      <c r="H8" s="272"/>
      <c r="I8" s="272"/>
      <c r="J8" s="272"/>
      <c r="K8" s="272"/>
      <c r="L8" s="272"/>
      <c r="M8" s="272"/>
      <c r="N8" s="272"/>
      <c r="O8" s="272">
        <v>1</v>
      </c>
    </row>
    <row r="9" spans="1:15" x14ac:dyDescent="0.25">
      <c r="A9" s="273" t="s">
        <v>3541</v>
      </c>
      <c r="B9" s="272"/>
      <c r="C9" s="272"/>
      <c r="D9" s="272"/>
      <c r="E9" s="272"/>
      <c r="F9" s="272"/>
      <c r="G9" s="272"/>
      <c r="H9" s="272"/>
      <c r="I9" s="272">
        <v>1</v>
      </c>
      <c r="J9" s="272"/>
      <c r="K9" s="272"/>
      <c r="L9" s="272"/>
      <c r="M9" s="272"/>
      <c r="N9" s="272"/>
      <c r="O9" s="272">
        <v>1</v>
      </c>
    </row>
    <row r="10" spans="1:15" x14ac:dyDescent="0.25">
      <c r="A10" s="271">
        <v>2</v>
      </c>
      <c r="B10" s="272"/>
      <c r="C10" s="272"/>
      <c r="D10" s="272"/>
      <c r="E10" s="272">
        <v>1</v>
      </c>
      <c r="F10" s="272"/>
      <c r="G10" s="272"/>
      <c r="H10" s="272"/>
      <c r="I10" s="272">
        <v>5</v>
      </c>
      <c r="J10" s="272"/>
      <c r="K10" s="272"/>
      <c r="L10" s="272"/>
      <c r="M10" s="272"/>
      <c r="N10" s="272">
        <v>1</v>
      </c>
      <c r="O10" s="272">
        <v>7</v>
      </c>
    </row>
    <row r="11" spans="1:15" x14ac:dyDescent="0.25">
      <c r="A11" s="273" t="s">
        <v>3548</v>
      </c>
      <c r="B11" s="272"/>
      <c r="C11" s="272"/>
      <c r="D11" s="272"/>
      <c r="E11" s="272">
        <v>1</v>
      </c>
      <c r="F11" s="272"/>
      <c r="G11" s="272"/>
      <c r="H11" s="272"/>
      <c r="I11" s="272"/>
      <c r="J11" s="272"/>
      <c r="K11" s="272"/>
      <c r="L11" s="272"/>
      <c r="M11" s="272"/>
      <c r="N11" s="272"/>
      <c r="O11" s="272">
        <v>1</v>
      </c>
    </row>
    <row r="12" spans="1:15" x14ac:dyDescent="0.25">
      <c r="A12" s="273" t="s">
        <v>3462</v>
      </c>
      <c r="B12" s="272"/>
      <c r="C12" s="272"/>
      <c r="D12" s="272"/>
      <c r="E12" s="272"/>
      <c r="F12" s="272"/>
      <c r="G12" s="272"/>
      <c r="H12" s="272"/>
      <c r="I12" s="272">
        <v>1</v>
      </c>
      <c r="J12" s="272"/>
      <c r="K12" s="272"/>
      <c r="L12" s="272"/>
      <c r="M12" s="272"/>
      <c r="N12" s="272"/>
      <c r="O12" s="272">
        <v>1</v>
      </c>
    </row>
    <row r="13" spans="1:15" x14ac:dyDescent="0.25">
      <c r="A13" s="273" t="s">
        <v>3483</v>
      </c>
      <c r="B13" s="272"/>
      <c r="C13" s="272"/>
      <c r="D13" s="272"/>
      <c r="E13" s="272"/>
      <c r="F13" s="272"/>
      <c r="G13" s="272"/>
      <c r="H13" s="272"/>
      <c r="I13" s="272"/>
      <c r="J13" s="272"/>
      <c r="K13" s="272"/>
      <c r="L13" s="272"/>
      <c r="M13" s="272"/>
      <c r="N13" s="272">
        <v>1</v>
      </c>
      <c r="O13" s="272">
        <v>1</v>
      </c>
    </row>
    <row r="14" spans="1:15" x14ac:dyDescent="0.25">
      <c r="A14" s="273" t="s">
        <v>3430</v>
      </c>
      <c r="B14" s="272"/>
      <c r="C14" s="272"/>
      <c r="D14" s="272"/>
      <c r="E14" s="272"/>
      <c r="F14" s="272"/>
      <c r="G14" s="272"/>
      <c r="H14" s="272"/>
      <c r="I14" s="272">
        <v>1</v>
      </c>
      <c r="J14" s="272"/>
      <c r="K14" s="272"/>
      <c r="L14" s="272"/>
      <c r="M14" s="272"/>
      <c r="N14" s="272"/>
      <c r="O14" s="272">
        <v>1</v>
      </c>
    </row>
    <row r="15" spans="1:15" x14ac:dyDescent="0.25">
      <c r="A15" s="273" t="s">
        <v>3449</v>
      </c>
      <c r="B15" s="272"/>
      <c r="C15" s="272"/>
      <c r="D15" s="272"/>
      <c r="E15" s="272"/>
      <c r="F15" s="272"/>
      <c r="G15" s="272"/>
      <c r="H15" s="272"/>
      <c r="I15" s="272">
        <v>1</v>
      </c>
      <c r="J15" s="272"/>
      <c r="K15" s="272"/>
      <c r="L15" s="272"/>
      <c r="M15" s="272"/>
      <c r="N15" s="272"/>
      <c r="O15" s="272">
        <v>1</v>
      </c>
    </row>
    <row r="16" spans="1:15" x14ac:dyDescent="0.25">
      <c r="A16" s="273" t="s">
        <v>3904</v>
      </c>
      <c r="B16" s="272"/>
      <c r="C16" s="272"/>
      <c r="D16" s="272"/>
      <c r="E16" s="272"/>
      <c r="F16" s="272"/>
      <c r="G16" s="272"/>
      <c r="H16" s="272"/>
      <c r="I16" s="272">
        <v>1</v>
      </c>
      <c r="J16" s="272"/>
      <c r="K16" s="272"/>
      <c r="L16" s="272"/>
      <c r="M16" s="272"/>
      <c r="N16" s="272"/>
      <c r="O16" s="272">
        <v>1</v>
      </c>
    </row>
    <row r="17" spans="1:15" x14ac:dyDescent="0.25">
      <c r="A17" s="273" t="s">
        <v>3439</v>
      </c>
      <c r="B17" s="272"/>
      <c r="C17" s="272"/>
      <c r="D17" s="272"/>
      <c r="E17" s="272"/>
      <c r="F17" s="272"/>
      <c r="G17" s="272"/>
      <c r="H17" s="272"/>
      <c r="I17" s="272">
        <v>1</v>
      </c>
      <c r="J17" s="272"/>
      <c r="K17" s="272"/>
      <c r="L17" s="272"/>
      <c r="M17" s="272"/>
      <c r="N17" s="272"/>
      <c r="O17" s="272">
        <v>1</v>
      </c>
    </row>
    <row r="18" spans="1:15" x14ac:dyDescent="0.25">
      <c r="A18" s="271">
        <v>3</v>
      </c>
      <c r="B18" s="272"/>
      <c r="C18" s="272"/>
      <c r="D18" s="272"/>
      <c r="E18" s="272"/>
      <c r="F18" s="272">
        <v>6</v>
      </c>
      <c r="G18" s="272"/>
      <c r="H18" s="272"/>
      <c r="I18" s="272">
        <v>4</v>
      </c>
      <c r="J18" s="272"/>
      <c r="K18" s="272"/>
      <c r="L18" s="272"/>
      <c r="M18" s="272"/>
      <c r="N18" s="272"/>
      <c r="O18" s="272">
        <v>10</v>
      </c>
    </row>
    <row r="19" spans="1:15" x14ac:dyDescent="0.25">
      <c r="A19" s="273" t="s">
        <v>3233</v>
      </c>
      <c r="B19" s="272"/>
      <c r="C19" s="272"/>
      <c r="D19" s="272"/>
      <c r="E19" s="272"/>
      <c r="F19" s="272">
        <v>1</v>
      </c>
      <c r="G19" s="272"/>
      <c r="H19" s="272"/>
      <c r="I19" s="272"/>
      <c r="J19" s="272"/>
      <c r="K19" s="272"/>
      <c r="L19" s="272"/>
      <c r="M19" s="272"/>
      <c r="N19" s="272"/>
      <c r="O19" s="272">
        <v>1</v>
      </c>
    </row>
    <row r="20" spans="1:15" x14ac:dyDescent="0.25">
      <c r="A20" s="273" t="s">
        <v>3218</v>
      </c>
      <c r="B20" s="272"/>
      <c r="C20" s="272"/>
      <c r="D20" s="272"/>
      <c r="E20" s="272"/>
      <c r="F20" s="272"/>
      <c r="G20" s="272"/>
      <c r="H20" s="272"/>
      <c r="I20" s="272">
        <v>1</v>
      </c>
      <c r="J20" s="272"/>
      <c r="K20" s="272"/>
      <c r="L20" s="272"/>
      <c r="M20" s="272"/>
      <c r="N20" s="272"/>
      <c r="O20" s="272">
        <v>1</v>
      </c>
    </row>
    <row r="21" spans="1:15" x14ac:dyDescent="0.25">
      <c r="A21" s="273" t="s">
        <v>3208</v>
      </c>
      <c r="B21" s="272"/>
      <c r="C21" s="272"/>
      <c r="D21" s="272"/>
      <c r="E21" s="272"/>
      <c r="F21" s="272">
        <v>1</v>
      </c>
      <c r="G21" s="272"/>
      <c r="H21" s="272"/>
      <c r="I21" s="272"/>
      <c r="J21" s="272"/>
      <c r="K21" s="272"/>
      <c r="L21" s="272"/>
      <c r="M21" s="272"/>
      <c r="N21" s="272"/>
      <c r="O21" s="272">
        <v>1</v>
      </c>
    </row>
    <row r="22" spans="1:15" x14ac:dyDescent="0.25">
      <c r="A22" s="273" t="s">
        <v>3200</v>
      </c>
      <c r="B22" s="272"/>
      <c r="C22" s="272"/>
      <c r="D22" s="272"/>
      <c r="E22" s="272"/>
      <c r="F22" s="272">
        <v>1</v>
      </c>
      <c r="G22" s="272"/>
      <c r="H22" s="272"/>
      <c r="I22" s="272"/>
      <c r="J22" s="272"/>
      <c r="K22" s="272"/>
      <c r="L22" s="272"/>
      <c r="M22" s="272"/>
      <c r="N22" s="272"/>
      <c r="O22" s="272">
        <v>1</v>
      </c>
    </row>
    <row r="23" spans="1:15" x14ac:dyDescent="0.25">
      <c r="A23" s="273" t="s">
        <v>3183</v>
      </c>
      <c r="B23" s="272"/>
      <c r="C23" s="272"/>
      <c r="D23" s="272"/>
      <c r="E23" s="272"/>
      <c r="F23" s="272">
        <v>1</v>
      </c>
      <c r="G23" s="272"/>
      <c r="H23" s="272"/>
      <c r="I23" s="272"/>
      <c r="J23" s="272"/>
      <c r="K23" s="272"/>
      <c r="L23" s="272"/>
      <c r="M23" s="272"/>
      <c r="N23" s="272"/>
      <c r="O23" s="272">
        <v>1</v>
      </c>
    </row>
    <row r="24" spans="1:15" x14ac:dyDescent="0.25">
      <c r="A24" s="273" t="s">
        <v>3191</v>
      </c>
      <c r="B24" s="272"/>
      <c r="C24" s="272"/>
      <c r="D24" s="272"/>
      <c r="E24" s="272"/>
      <c r="F24" s="272">
        <v>1</v>
      </c>
      <c r="G24" s="272"/>
      <c r="H24" s="272"/>
      <c r="I24" s="272"/>
      <c r="J24" s="272"/>
      <c r="K24" s="272"/>
      <c r="L24" s="272"/>
      <c r="M24" s="272"/>
      <c r="N24" s="272"/>
      <c r="O24" s="272">
        <v>1</v>
      </c>
    </row>
    <row r="25" spans="1:15" x14ac:dyDescent="0.25">
      <c r="A25" s="273" t="s">
        <v>3168</v>
      </c>
      <c r="B25" s="272"/>
      <c r="C25" s="272"/>
      <c r="D25" s="272"/>
      <c r="E25" s="272"/>
      <c r="F25" s="272">
        <v>1</v>
      </c>
      <c r="G25" s="272"/>
      <c r="H25" s="272"/>
      <c r="I25" s="272"/>
      <c r="J25" s="272"/>
      <c r="K25" s="272"/>
      <c r="L25" s="272"/>
      <c r="M25" s="272"/>
      <c r="N25" s="272"/>
      <c r="O25" s="272">
        <v>1</v>
      </c>
    </row>
    <row r="26" spans="1:15" x14ac:dyDescent="0.25">
      <c r="A26" s="273" t="s">
        <v>3242</v>
      </c>
      <c r="B26" s="272"/>
      <c r="C26" s="272"/>
      <c r="D26" s="272"/>
      <c r="E26" s="272"/>
      <c r="F26" s="272"/>
      <c r="G26" s="272"/>
      <c r="H26" s="272"/>
      <c r="I26" s="272">
        <v>1</v>
      </c>
      <c r="J26" s="272"/>
      <c r="K26" s="272"/>
      <c r="L26" s="272"/>
      <c r="M26" s="272"/>
      <c r="N26" s="272"/>
      <c r="O26" s="272">
        <v>1</v>
      </c>
    </row>
    <row r="27" spans="1:15" x14ac:dyDescent="0.25">
      <c r="A27" s="273" t="s">
        <v>3259</v>
      </c>
      <c r="B27" s="272"/>
      <c r="C27" s="272"/>
      <c r="D27" s="272"/>
      <c r="E27" s="272"/>
      <c r="F27" s="272"/>
      <c r="G27" s="272"/>
      <c r="H27" s="272"/>
      <c r="I27" s="272">
        <v>1</v>
      </c>
      <c r="J27" s="272"/>
      <c r="K27" s="272"/>
      <c r="L27" s="272"/>
      <c r="M27" s="272"/>
      <c r="N27" s="272"/>
      <c r="O27" s="272">
        <v>1</v>
      </c>
    </row>
    <row r="28" spans="1:15" x14ac:dyDescent="0.25">
      <c r="A28" s="273" t="s">
        <v>3271</v>
      </c>
      <c r="B28" s="272"/>
      <c r="C28" s="272"/>
      <c r="D28" s="272"/>
      <c r="E28" s="272"/>
      <c r="F28" s="272"/>
      <c r="G28" s="272"/>
      <c r="H28" s="272"/>
      <c r="I28" s="272">
        <v>1</v>
      </c>
      <c r="J28" s="272"/>
      <c r="K28" s="272"/>
      <c r="L28" s="272"/>
      <c r="M28" s="272"/>
      <c r="N28" s="272"/>
      <c r="O28" s="272">
        <v>1</v>
      </c>
    </row>
    <row r="29" spans="1:15" x14ac:dyDescent="0.25">
      <c r="A29" s="271">
        <v>4</v>
      </c>
      <c r="B29" s="272">
        <v>6</v>
      </c>
      <c r="C29" s="272"/>
      <c r="D29" s="272"/>
      <c r="E29" s="272"/>
      <c r="F29" s="272">
        <v>1</v>
      </c>
      <c r="G29" s="272"/>
      <c r="H29" s="272"/>
      <c r="I29" s="272">
        <v>4</v>
      </c>
      <c r="J29" s="272"/>
      <c r="K29" s="272"/>
      <c r="L29" s="272"/>
      <c r="M29" s="272"/>
      <c r="N29" s="272"/>
      <c r="O29" s="272">
        <v>11</v>
      </c>
    </row>
    <row r="30" spans="1:15" x14ac:dyDescent="0.25">
      <c r="A30" s="273" t="s">
        <v>3285</v>
      </c>
      <c r="B30" s="272"/>
      <c r="C30" s="272"/>
      <c r="D30" s="272"/>
      <c r="E30" s="272"/>
      <c r="F30" s="272">
        <v>1</v>
      </c>
      <c r="G30" s="272"/>
      <c r="H30" s="272"/>
      <c r="I30" s="272"/>
      <c r="J30" s="272"/>
      <c r="K30" s="272"/>
      <c r="L30" s="272"/>
      <c r="M30" s="272"/>
      <c r="N30" s="272"/>
      <c r="O30" s="272">
        <v>1</v>
      </c>
    </row>
    <row r="31" spans="1:15" x14ac:dyDescent="0.25">
      <c r="A31" s="273" t="s">
        <v>3383</v>
      </c>
      <c r="B31" s="272">
        <v>1</v>
      </c>
      <c r="C31" s="272"/>
      <c r="D31" s="272"/>
      <c r="E31" s="272"/>
      <c r="F31" s="272"/>
      <c r="G31" s="272"/>
      <c r="H31" s="272"/>
      <c r="I31" s="272"/>
      <c r="J31" s="272"/>
      <c r="K31" s="272"/>
      <c r="L31" s="272"/>
      <c r="M31" s="272"/>
      <c r="N31" s="272"/>
      <c r="O31" s="272">
        <v>1</v>
      </c>
    </row>
    <row r="32" spans="1:15" x14ac:dyDescent="0.25">
      <c r="A32" s="273" t="s">
        <v>3366</v>
      </c>
      <c r="B32" s="272"/>
      <c r="C32" s="272"/>
      <c r="D32" s="272"/>
      <c r="E32" s="272"/>
      <c r="F32" s="272"/>
      <c r="G32" s="272"/>
      <c r="H32" s="272"/>
      <c r="I32" s="272">
        <v>1</v>
      </c>
      <c r="J32" s="272"/>
      <c r="K32" s="272"/>
      <c r="L32" s="272"/>
      <c r="M32" s="272"/>
      <c r="N32" s="272"/>
      <c r="O32" s="272">
        <v>1</v>
      </c>
    </row>
    <row r="33" spans="1:15" x14ac:dyDescent="0.25">
      <c r="A33" s="273" t="s">
        <v>3375</v>
      </c>
      <c r="B33" s="272"/>
      <c r="C33" s="272"/>
      <c r="D33" s="272"/>
      <c r="E33" s="272"/>
      <c r="F33" s="272"/>
      <c r="G33" s="272"/>
      <c r="H33" s="272"/>
      <c r="I33" s="272">
        <v>1</v>
      </c>
      <c r="J33" s="272"/>
      <c r="K33" s="272"/>
      <c r="L33" s="272"/>
      <c r="M33" s="272"/>
      <c r="N33" s="272"/>
      <c r="O33" s="272">
        <v>1</v>
      </c>
    </row>
    <row r="34" spans="1:15" x14ac:dyDescent="0.25">
      <c r="A34" s="273" t="s">
        <v>3354</v>
      </c>
      <c r="B34" s="272"/>
      <c r="C34" s="272"/>
      <c r="D34" s="272"/>
      <c r="E34" s="272"/>
      <c r="F34" s="272"/>
      <c r="G34" s="272"/>
      <c r="H34" s="272"/>
      <c r="I34" s="272">
        <v>1</v>
      </c>
      <c r="J34" s="272"/>
      <c r="K34" s="272"/>
      <c r="L34" s="272"/>
      <c r="M34" s="272"/>
      <c r="N34" s="272"/>
      <c r="O34" s="272">
        <v>1</v>
      </c>
    </row>
    <row r="35" spans="1:15" x14ac:dyDescent="0.25">
      <c r="A35" s="273" t="s">
        <v>3371</v>
      </c>
      <c r="B35" s="272"/>
      <c r="C35" s="272"/>
      <c r="D35" s="272"/>
      <c r="E35" s="272"/>
      <c r="F35" s="272"/>
      <c r="G35" s="272"/>
      <c r="H35" s="272"/>
      <c r="I35" s="272">
        <v>1</v>
      </c>
      <c r="J35" s="272"/>
      <c r="K35" s="272"/>
      <c r="L35" s="272"/>
      <c r="M35" s="272"/>
      <c r="N35" s="272"/>
      <c r="O35" s="272">
        <v>1</v>
      </c>
    </row>
    <row r="36" spans="1:15" x14ac:dyDescent="0.25">
      <c r="A36" s="273" t="s">
        <v>3313</v>
      </c>
      <c r="B36" s="272">
        <v>1</v>
      </c>
      <c r="C36" s="272"/>
      <c r="D36" s="272"/>
      <c r="E36" s="272"/>
      <c r="F36" s="272"/>
      <c r="G36" s="272"/>
      <c r="H36" s="272"/>
      <c r="I36" s="272"/>
      <c r="J36" s="272"/>
      <c r="K36" s="272"/>
      <c r="L36" s="272"/>
      <c r="M36" s="272"/>
      <c r="N36" s="272"/>
      <c r="O36" s="272">
        <v>1</v>
      </c>
    </row>
    <row r="37" spans="1:15" x14ac:dyDescent="0.25">
      <c r="A37" s="273" t="s">
        <v>3333</v>
      </c>
      <c r="B37" s="272">
        <v>1</v>
      </c>
      <c r="C37" s="272"/>
      <c r="D37" s="272"/>
      <c r="E37" s="272"/>
      <c r="F37" s="272"/>
      <c r="G37" s="272"/>
      <c r="H37" s="272"/>
      <c r="I37" s="272"/>
      <c r="J37" s="272"/>
      <c r="K37" s="272"/>
      <c r="L37" s="272"/>
      <c r="M37" s="272"/>
      <c r="N37" s="272"/>
      <c r="O37" s="272">
        <v>1</v>
      </c>
    </row>
    <row r="38" spans="1:15" x14ac:dyDescent="0.25">
      <c r="A38" s="273" t="s">
        <v>3324</v>
      </c>
      <c r="B38" s="272">
        <v>1</v>
      </c>
      <c r="C38" s="272"/>
      <c r="D38" s="272"/>
      <c r="E38" s="272"/>
      <c r="F38" s="272"/>
      <c r="G38" s="272"/>
      <c r="H38" s="272"/>
      <c r="I38" s="272"/>
      <c r="J38" s="272"/>
      <c r="K38" s="272"/>
      <c r="L38" s="272"/>
      <c r="M38" s="272"/>
      <c r="N38" s="272"/>
      <c r="O38" s="272">
        <v>1</v>
      </c>
    </row>
    <row r="39" spans="1:15" x14ac:dyDescent="0.25">
      <c r="A39" s="273" t="s">
        <v>3301</v>
      </c>
      <c r="B39" s="272">
        <v>1</v>
      </c>
      <c r="C39" s="272"/>
      <c r="D39" s="272"/>
      <c r="E39" s="272"/>
      <c r="F39" s="272"/>
      <c r="G39" s="272"/>
      <c r="H39" s="272"/>
      <c r="I39" s="272"/>
      <c r="J39" s="272"/>
      <c r="K39" s="272"/>
      <c r="L39" s="272"/>
      <c r="M39" s="272"/>
      <c r="N39" s="272"/>
      <c r="O39" s="272">
        <v>1</v>
      </c>
    </row>
    <row r="40" spans="1:15" x14ac:dyDescent="0.25">
      <c r="A40" s="273" t="s">
        <v>3536</v>
      </c>
      <c r="B40" s="272">
        <v>1</v>
      </c>
      <c r="C40" s="272"/>
      <c r="D40" s="272"/>
      <c r="E40" s="272"/>
      <c r="F40" s="272"/>
      <c r="G40" s="272"/>
      <c r="H40" s="272"/>
      <c r="I40" s="272"/>
      <c r="J40" s="272"/>
      <c r="K40" s="272"/>
      <c r="L40" s="272"/>
      <c r="M40" s="272"/>
      <c r="N40" s="272"/>
      <c r="O40" s="272">
        <v>1</v>
      </c>
    </row>
    <row r="41" spans="1:15" x14ac:dyDescent="0.25">
      <c r="A41" s="271">
        <v>5</v>
      </c>
      <c r="B41" s="272">
        <v>8</v>
      </c>
      <c r="C41" s="272"/>
      <c r="D41" s="272">
        <v>2</v>
      </c>
      <c r="E41" s="272"/>
      <c r="F41" s="272">
        <v>2</v>
      </c>
      <c r="G41" s="272"/>
      <c r="H41" s="272"/>
      <c r="I41" s="272">
        <v>15</v>
      </c>
      <c r="J41" s="272"/>
      <c r="K41" s="272"/>
      <c r="L41" s="272">
        <v>1</v>
      </c>
      <c r="M41" s="272"/>
      <c r="N41" s="272"/>
      <c r="O41" s="272">
        <v>28</v>
      </c>
    </row>
    <row r="42" spans="1:15" x14ac:dyDescent="0.25">
      <c r="A42" s="273" t="s">
        <v>2324</v>
      </c>
      <c r="B42" s="272">
        <v>2</v>
      </c>
      <c r="C42" s="272"/>
      <c r="D42" s="272"/>
      <c r="E42" s="272"/>
      <c r="F42" s="272"/>
      <c r="G42" s="272"/>
      <c r="H42" s="272"/>
      <c r="I42" s="272"/>
      <c r="J42" s="272"/>
      <c r="K42" s="272"/>
      <c r="L42" s="272"/>
      <c r="M42" s="272"/>
      <c r="N42" s="272"/>
      <c r="O42" s="272">
        <v>2</v>
      </c>
    </row>
    <row r="43" spans="1:15" x14ac:dyDescent="0.25">
      <c r="A43" s="273" t="s">
        <v>2296</v>
      </c>
      <c r="B43" s="272">
        <v>2</v>
      </c>
      <c r="C43" s="272"/>
      <c r="D43" s="272"/>
      <c r="E43" s="272"/>
      <c r="F43" s="272"/>
      <c r="G43" s="272"/>
      <c r="H43" s="272"/>
      <c r="I43" s="272"/>
      <c r="J43" s="272"/>
      <c r="K43" s="272"/>
      <c r="L43" s="272"/>
      <c r="M43" s="272"/>
      <c r="N43" s="272"/>
      <c r="O43" s="272">
        <v>2</v>
      </c>
    </row>
    <row r="44" spans="1:15" x14ac:dyDescent="0.25">
      <c r="A44" s="273" t="s">
        <v>2335</v>
      </c>
      <c r="B44" s="272">
        <v>1</v>
      </c>
      <c r="C44" s="272"/>
      <c r="D44" s="272"/>
      <c r="E44" s="272"/>
      <c r="F44" s="272"/>
      <c r="G44" s="272"/>
      <c r="H44" s="272"/>
      <c r="I44" s="272"/>
      <c r="J44" s="272"/>
      <c r="K44" s="272"/>
      <c r="L44" s="272"/>
      <c r="M44" s="272"/>
      <c r="N44" s="272"/>
      <c r="O44" s="272">
        <v>1</v>
      </c>
    </row>
    <row r="45" spans="1:15" x14ac:dyDescent="0.25">
      <c r="A45" s="273" t="s">
        <v>2490</v>
      </c>
      <c r="B45" s="272"/>
      <c r="C45" s="272"/>
      <c r="D45" s="272"/>
      <c r="E45" s="272"/>
      <c r="F45" s="272"/>
      <c r="G45" s="272"/>
      <c r="H45" s="272"/>
      <c r="I45" s="272">
        <v>2</v>
      </c>
      <c r="J45" s="272"/>
      <c r="K45" s="272"/>
      <c r="L45" s="272"/>
      <c r="M45" s="272"/>
      <c r="N45" s="272"/>
      <c r="O45" s="272">
        <v>2</v>
      </c>
    </row>
    <row r="46" spans="1:15" x14ac:dyDescent="0.25">
      <c r="A46" s="273" t="s">
        <v>2363</v>
      </c>
      <c r="B46" s="272"/>
      <c r="C46" s="272"/>
      <c r="D46" s="272"/>
      <c r="E46" s="272"/>
      <c r="F46" s="272">
        <v>1</v>
      </c>
      <c r="G46" s="272"/>
      <c r="H46" s="272"/>
      <c r="I46" s="272"/>
      <c r="J46" s="272"/>
      <c r="K46" s="272"/>
      <c r="L46" s="272"/>
      <c r="M46" s="272"/>
      <c r="N46" s="272"/>
      <c r="O46" s="272">
        <v>1</v>
      </c>
    </row>
    <row r="47" spans="1:15" x14ac:dyDescent="0.25">
      <c r="A47" s="273" t="s">
        <v>2464</v>
      </c>
      <c r="B47" s="272"/>
      <c r="C47" s="272"/>
      <c r="D47" s="272"/>
      <c r="E47" s="272"/>
      <c r="F47" s="272"/>
      <c r="G47" s="272"/>
      <c r="H47" s="272"/>
      <c r="I47" s="272">
        <v>2</v>
      </c>
      <c r="J47" s="272"/>
      <c r="K47" s="272"/>
      <c r="L47" s="272"/>
      <c r="M47" s="272"/>
      <c r="N47" s="272"/>
      <c r="O47" s="272">
        <v>2</v>
      </c>
    </row>
    <row r="48" spans="1:15" x14ac:dyDescent="0.25">
      <c r="A48" s="273" t="s">
        <v>2475</v>
      </c>
      <c r="B48" s="272"/>
      <c r="C48" s="272"/>
      <c r="D48" s="272"/>
      <c r="E48" s="272"/>
      <c r="F48" s="272"/>
      <c r="G48" s="272"/>
      <c r="H48" s="272"/>
      <c r="I48" s="272"/>
      <c r="J48" s="272"/>
      <c r="K48" s="272"/>
      <c r="L48" s="272">
        <v>1</v>
      </c>
      <c r="M48" s="272"/>
      <c r="N48" s="272"/>
      <c r="O48" s="272">
        <v>1</v>
      </c>
    </row>
    <row r="49" spans="1:15" x14ac:dyDescent="0.25">
      <c r="A49" s="273" t="s">
        <v>2173</v>
      </c>
      <c r="B49" s="272"/>
      <c r="C49" s="272"/>
      <c r="D49" s="272"/>
      <c r="E49" s="272"/>
      <c r="F49" s="272"/>
      <c r="G49" s="272"/>
      <c r="H49" s="272"/>
      <c r="I49" s="272">
        <v>1</v>
      </c>
      <c r="J49" s="272"/>
      <c r="K49" s="272"/>
      <c r="L49" s="272"/>
      <c r="M49" s="272"/>
      <c r="N49" s="272"/>
      <c r="O49" s="272">
        <v>1</v>
      </c>
    </row>
    <row r="50" spans="1:15" x14ac:dyDescent="0.25">
      <c r="A50" s="273" t="s">
        <v>2279</v>
      </c>
      <c r="B50" s="272"/>
      <c r="C50" s="272"/>
      <c r="D50" s="272"/>
      <c r="E50" s="272"/>
      <c r="F50" s="272">
        <v>1</v>
      </c>
      <c r="G50" s="272"/>
      <c r="H50" s="272"/>
      <c r="I50" s="272"/>
      <c r="J50" s="272"/>
      <c r="K50" s="272"/>
      <c r="L50" s="272"/>
      <c r="M50" s="272"/>
      <c r="N50" s="272"/>
      <c r="O50" s="272">
        <v>1</v>
      </c>
    </row>
    <row r="51" spans="1:15" x14ac:dyDescent="0.25">
      <c r="A51" s="273" t="s">
        <v>2187</v>
      </c>
      <c r="B51" s="272"/>
      <c r="C51" s="272"/>
      <c r="D51" s="272"/>
      <c r="E51" s="272"/>
      <c r="F51" s="272"/>
      <c r="G51" s="272"/>
      <c r="H51" s="272"/>
      <c r="I51" s="272">
        <v>1</v>
      </c>
      <c r="J51" s="272"/>
      <c r="K51" s="272"/>
      <c r="L51" s="272"/>
      <c r="M51" s="272"/>
      <c r="N51" s="272"/>
      <c r="O51" s="272">
        <v>1</v>
      </c>
    </row>
    <row r="52" spans="1:15" x14ac:dyDescent="0.25">
      <c r="A52" s="273" t="s">
        <v>2253</v>
      </c>
      <c r="B52" s="272"/>
      <c r="C52" s="272"/>
      <c r="D52" s="272">
        <v>2</v>
      </c>
      <c r="E52" s="272"/>
      <c r="F52" s="272"/>
      <c r="G52" s="272"/>
      <c r="H52" s="272"/>
      <c r="I52" s="272"/>
      <c r="J52" s="272"/>
      <c r="K52" s="272"/>
      <c r="L52" s="272"/>
      <c r="M52" s="272"/>
      <c r="N52" s="272"/>
      <c r="O52" s="272">
        <v>2</v>
      </c>
    </row>
    <row r="53" spans="1:15" x14ac:dyDescent="0.25">
      <c r="A53" s="273" t="s">
        <v>2227</v>
      </c>
      <c r="B53" s="272"/>
      <c r="C53" s="272"/>
      <c r="D53" s="272"/>
      <c r="E53" s="272"/>
      <c r="F53" s="272"/>
      <c r="G53" s="272"/>
      <c r="H53" s="272"/>
      <c r="I53" s="272">
        <v>2</v>
      </c>
      <c r="J53" s="272"/>
      <c r="K53" s="272"/>
      <c r="L53" s="272"/>
      <c r="M53" s="272"/>
      <c r="N53" s="272"/>
      <c r="O53" s="272">
        <v>2</v>
      </c>
    </row>
    <row r="54" spans="1:15" x14ac:dyDescent="0.25">
      <c r="A54" s="273" t="s">
        <v>2272</v>
      </c>
      <c r="B54" s="272"/>
      <c r="C54" s="272"/>
      <c r="D54" s="272"/>
      <c r="E54" s="272"/>
      <c r="F54" s="272"/>
      <c r="G54" s="272"/>
      <c r="H54" s="272"/>
      <c r="I54" s="272">
        <v>1</v>
      </c>
      <c r="J54" s="272"/>
      <c r="K54" s="272"/>
      <c r="L54" s="272"/>
      <c r="M54" s="272"/>
      <c r="N54" s="272"/>
      <c r="O54" s="272">
        <v>1</v>
      </c>
    </row>
    <row r="55" spans="1:15" x14ac:dyDescent="0.25">
      <c r="A55" s="273" t="s">
        <v>2348</v>
      </c>
      <c r="B55" s="272"/>
      <c r="C55" s="272"/>
      <c r="D55" s="272"/>
      <c r="E55" s="272"/>
      <c r="F55" s="272"/>
      <c r="G55" s="272"/>
      <c r="H55" s="272"/>
      <c r="I55" s="272">
        <v>2</v>
      </c>
      <c r="J55" s="272"/>
      <c r="K55" s="272"/>
      <c r="L55" s="272"/>
      <c r="M55" s="272"/>
      <c r="N55" s="272"/>
      <c r="O55" s="272">
        <v>2</v>
      </c>
    </row>
    <row r="56" spans="1:15" x14ac:dyDescent="0.25">
      <c r="A56" s="273" t="s">
        <v>2360</v>
      </c>
      <c r="B56" s="272"/>
      <c r="C56" s="272"/>
      <c r="D56" s="272"/>
      <c r="E56" s="272"/>
      <c r="F56" s="272"/>
      <c r="G56" s="272"/>
      <c r="H56" s="272"/>
      <c r="I56" s="272">
        <v>2</v>
      </c>
      <c r="J56" s="272"/>
      <c r="K56" s="272"/>
      <c r="L56" s="272"/>
      <c r="M56" s="272"/>
      <c r="N56" s="272"/>
      <c r="O56" s="272">
        <v>2</v>
      </c>
    </row>
    <row r="57" spans="1:15" x14ac:dyDescent="0.25">
      <c r="A57" s="273" t="s">
        <v>2356</v>
      </c>
      <c r="B57" s="272"/>
      <c r="C57" s="272"/>
      <c r="D57" s="272"/>
      <c r="E57" s="272"/>
      <c r="F57" s="272"/>
      <c r="G57" s="272"/>
      <c r="H57" s="272"/>
      <c r="I57" s="272">
        <v>2</v>
      </c>
      <c r="J57" s="272"/>
      <c r="K57" s="272"/>
      <c r="L57" s="272"/>
      <c r="M57" s="272"/>
      <c r="N57" s="272"/>
      <c r="O57" s="272">
        <v>2</v>
      </c>
    </row>
    <row r="58" spans="1:15" x14ac:dyDescent="0.25">
      <c r="A58" s="273" t="s">
        <v>2215</v>
      </c>
      <c r="B58" s="272">
        <v>1</v>
      </c>
      <c r="C58" s="272"/>
      <c r="D58" s="272"/>
      <c r="E58" s="272"/>
      <c r="F58" s="272"/>
      <c r="G58" s="272"/>
      <c r="H58" s="272"/>
      <c r="I58" s="272"/>
      <c r="J58" s="272"/>
      <c r="K58" s="272"/>
      <c r="L58" s="272"/>
      <c r="M58" s="272"/>
      <c r="N58" s="272"/>
      <c r="O58" s="272">
        <v>1</v>
      </c>
    </row>
    <row r="59" spans="1:15" x14ac:dyDescent="0.25">
      <c r="A59" s="273" t="s">
        <v>2197</v>
      </c>
      <c r="B59" s="272">
        <v>1</v>
      </c>
      <c r="C59" s="272"/>
      <c r="D59" s="272"/>
      <c r="E59" s="272"/>
      <c r="F59" s="272"/>
      <c r="G59" s="272"/>
      <c r="H59" s="272"/>
      <c r="I59" s="272"/>
      <c r="J59" s="272"/>
      <c r="K59" s="272"/>
      <c r="L59" s="272"/>
      <c r="M59" s="272"/>
      <c r="N59" s="272"/>
      <c r="O59" s="272">
        <v>1</v>
      </c>
    </row>
    <row r="60" spans="1:15" x14ac:dyDescent="0.25">
      <c r="A60" s="273" t="s">
        <v>2220</v>
      </c>
      <c r="B60" s="272">
        <v>1</v>
      </c>
      <c r="C60" s="272"/>
      <c r="D60" s="272"/>
      <c r="E60" s="272"/>
      <c r="F60" s="272"/>
      <c r="G60" s="272"/>
      <c r="H60" s="272"/>
      <c r="I60" s="272"/>
      <c r="J60" s="272"/>
      <c r="K60" s="272"/>
      <c r="L60" s="272"/>
      <c r="M60" s="272"/>
      <c r="N60" s="272"/>
      <c r="O60" s="272">
        <v>1</v>
      </c>
    </row>
    <row r="61" spans="1:15" x14ac:dyDescent="0.25">
      <c r="A61" s="271">
        <v>6</v>
      </c>
      <c r="B61" s="272">
        <v>2</v>
      </c>
      <c r="C61" s="272"/>
      <c r="D61" s="272"/>
      <c r="E61" s="272"/>
      <c r="F61" s="272">
        <v>11</v>
      </c>
      <c r="G61" s="272"/>
      <c r="H61" s="272"/>
      <c r="I61" s="272"/>
      <c r="J61" s="272"/>
      <c r="K61" s="272"/>
      <c r="L61" s="272"/>
      <c r="M61" s="272"/>
      <c r="N61" s="272"/>
      <c r="O61" s="272">
        <v>13</v>
      </c>
    </row>
    <row r="62" spans="1:15" x14ac:dyDescent="0.25">
      <c r="A62" s="273" t="s">
        <v>2425</v>
      </c>
      <c r="B62" s="272"/>
      <c r="C62" s="272"/>
      <c r="D62" s="272"/>
      <c r="E62" s="272"/>
      <c r="F62" s="272">
        <v>1</v>
      </c>
      <c r="G62" s="272"/>
      <c r="H62" s="272"/>
      <c r="I62" s="272"/>
      <c r="J62" s="272"/>
      <c r="K62" s="272"/>
      <c r="L62" s="272"/>
      <c r="M62" s="272"/>
      <c r="N62" s="272"/>
      <c r="O62" s="272">
        <v>1</v>
      </c>
    </row>
    <row r="63" spans="1:15" x14ac:dyDescent="0.25">
      <c r="A63" s="273" t="s">
        <v>2396</v>
      </c>
      <c r="B63" s="272"/>
      <c r="C63" s="272"/>
      <c r="D63" s="272"/>
      <c r="E63" s="272"/>
      <c r="F63" s="272">
        <v>1</v>
      </c>
      <c r="G63" s="272"/>
      <c r="H63" s="272"/>
      <c r="I63" s="272"/>
      <c r="J63" s="272"/>
      <c r="K63" s="272"/>
      <c r="L63" s="272"/>
      <c r="M63" s="272"/>
      <c r="N63" s="272"/>
      <c r="O63" s="272">
        <v>1</v>
      </c>
    </row>
    <row r="64" spans="1:15" x14ac:dyDescent="0.25">
      <c r="A64" s="273" t="s">
        <v>2417</v>
      </c>
      <c r="B64" s="272"/>
      <c r="C64" s="272"/>
      <c r="D64" s="272"/>
      <c r="E64" s="272"/>
      <c r="F64" s="272">
        <v>1</v>
      </c>
      <c r="G64" s="272"/>
      <c r="H64" s="272"/>
      <c r="I64" s="272"/>
      <c r="J64" s="272"/>
      <c r="K64" s="272"/>
      <c r="L64" s="272"/>
      <c r="M64" s="272"/>
      <c r="N64" s="272"/>
      <c r="O64" s="272">
        <v>1</v>
      </c>
    </row>
    <row r="65" spans="1:15" x14ac:dyDescent="0.25">
      <c r="A65" s="273" t="s">
        <v>2409</v>
      </c>
      <c r="B65" s="272"/>
      <c r="C65" s="272"/>
      <c r="D65" s="272"/>
      <c r="E65" s="272"/>
      <c r="F65" s="272">
        <v>1</v>
      </c>
      <c r="G65" s="272"/>
      <c r="H65" s="272"/>
      <c r="I65" s="272"/>
      <c r="J65" s="272"/>
      <c r="K65" s="272"/>
      <c r="L65" s="272"/>
      <c r="M65" s="272"/>
      <c r="N65" s="272"/>
      <c r="O65" s="272">
        <v>1</v>
      </c>
    </row>
    <row r="66" spans="1:15" x14ac:dyDescent="0.25">
      <c r="A66" s="273" t="s">
        <v>2386</v>
      </c>
      <c r="B66" s="272"/>
      <c r="C66" s="272"/>
      <c r="D66" s="272"/>
      <c r="E66" s="272"/>
      <c r="F66" s="272">
        <v>1</v>
      </c>
      <c r="G66" s="272"/>
      <c r="H66" s="272"/>
      <c r="I66" s="272"/>
      <c r="J66" s="272"/>
      <c r="K66" s="272"/>
      <c r="L66" s="272"/>
      <c r="M66" s="272"/>
      <c r="N66" s="272"/>
      <c r="O66" s="272">
        <v>1</v>
      </c>
    </row>
    <row r="67" spans="1:15" x14ac:dyDescent="0.25">
      <c r="A67" s="273" t="s">
        <v>2436</v>
      </c>
      <c r="B67" s="272">
        <v>2</v>
      </c>
      <c r="C67" s="272"/>
      <c r="D67" s="272"/>
      <c r="E67" s="272"/>
      <c r="F67" s="272"/>
      <c r="G67" s="272"/>
      <c r="H67" s="272"/>
      <c r="I67" s="272"/>
      <c r="J67" s="272"/>
      <c r="K67" s="272"/>
      <c r="L67" s="272"/>
      <c r="M67" s="272"/>
      <c r="N67" s="272"/>
      <c r="O67" s="272">
        <v>2</v>
      </c>
    </row>
    <row r="68" spans="1:15" x14ac:dyDescent="0.25">
      <c r="A68" s="273" t="s">
        <v>2448</v>
      </c>
      <c r="B68" s="272"/>
      <c r="C68" s="272"/>
      <c r="D68" s="272"/>
      <c r="E68" s="272"/>
      <c r="F68" s="272">
        <v>1</v>
      </c>
      <c r="G68" s="272"/>
      <c r="H68" s="272"/>
      <c r="I68" s="272"/>
      <c r="J68" s="272"/>
      <c r="K68" s="272"/>
      <c r="L68" s="272"/>
      <c r="M68" s="272"/>
      <c r="N68" s="272"/>
      <c r="O68" s="272">
        <v>1</v>
      </c>
    </row>
    <row r="69" spans="1:15" x14ac:dyDescent="0.25">
      <c r="A69" s="273" t="s">
        <v>2459</v>
      </c>
      <c r="B69" s="272"/>
      <c r="C69" s="272"/>
      <c r="D69" s="272"/>
      <c r="E69" s="272"/>
      <c r="F69" s="272">
        <v>1</v>
      </c>
      <c r="G69" s="272"/>
      <c r="H69" s="272"/>
      <c r="I69" s="272"/>
      <c r="J69" s="272"/>
      <c r="K69" s="272"/>
      <c r="L69" s="272"/>
      <c r="M69" s="272"/>
      <c r="N69" s="272"/>
      <c r="O69" s="272">
        <v>1</v>
      </c>
    </row>
    <row r="70" spans="1:15" x14ac:dyDescent="0.25">
      <c r="A70" s="273" t="s">
        <v>2374</v>
      </c>
      <c r="B70" s="272"/>
      <c r="C70" s="272"/>
      <c r="D70" s="272"/>
      <c r="E70" s="272"/>
      <c r="F70" s="272">
        <v>1</v>
      </c>
      <c r="G70" s="272"/>
      <c r="H70" s="272"/>
      <c r="I70" s="272"/>
      <c r="J70" s="272"/>
      <c r="K70" s="272"/>
      <c r="L70" s="272"/>
      <c r="M70" s="272"/>
      <c r="N70" s="272"/>
      <c r="O70" s="272">
        <v>1</v>
      </c>
    </row>
    <row r="71" spans="1:15" x14ac:dyDescent="0.25">
      <c r="A71" s="273" t="s">
        <v>2412</v>
      </c>
      <c r="B71" s="272"/>
      <c r="C71" s="272"/>
      <c r="D71" s="272"/>
      <c r="E71" s="272"/>
      <c r="F71" s="272">
        <v>1</v>
      </c>
      <c r="G71" s="272"/>
      <c r="H71" s="272"/>
      <c r="I71" s="272"/>
      <c r="J71" s="272"/>
      <c r="K71" s="272"/>
      <c r="L71" s="272"/>
      <c r="M71" s="272"/>
      <c r="N71" s="272"/>
      <c r="O71" s="272">
        <v>1</v>
      </c>
    </row>
    <row r="72" spans="1:15" x14ac:dyDescent="0.25">
      <c r="A72" s="273" t="s">
        <v>2405</v>
      </c>
      <c r="B72" s="272"/>
      <c r="C72" s="272"/>
      <c r="D72" s="272"/>
      <c r="E72" s="272"/>
      <c r="F72" s="272">
        <v>1</v>
      </c>
      <c r="G72" s="272"/>
      <c r="H72" s="272"/>
      <c r="I72" s="272"/>
      <c r="J72" s="272"/>
      <c r="K72" s="272"/>
      <c r="L72" s="272"/>
      <c r="M72" s="272"/>
      <c r="N72" s="272"/>
      <c r="O72" s="272">
        <v>1</v>
      </c>
    </row>
    <row r="73" spans="1:15" x14ac:dyDescent="0.25">
      <c r="A73" s="273" t="s">
        <v>2392</v>
      </c>
      <c r="B73" s="272"/>
      <c r="C73" s="272"/>
      <c r="D73" s="272"/>
      <c r="E73" s="272"/>
      <c r="F73" s="272">
        <v>1</v>
      </c>
      <c r="G73" s="272"/>
      <c r="H73" s="272"/>
      <c r="I73" s="272"/>
      <c r="J73" s="272"/>
      <c r="K73" s="272"/>
      <c r="L73" s="272"/>
      <c r="M73" s="272"/>
      <c r="N73" s="272"/>
      <c r="O73" s="272">
        <v>1</v>
      </c>
    </row>
    <row r="74" spans="1:15" x14ac:dyDescent="0.25">
      <c r="A74" s="271">
        <v>7</v>
      </c>
      <c r="B74" s="272"/>
      <c r="C74" s="272"/>
      <c r="D74" s="272"/>
      <c r="E74" s="272"/>
      <c r="F74" s="272">
        <v>8</v>
      </c>
      <c r="G74" s="272"/>
      <c r="H74" s="272"/>
      <c r="I74" s="272"/>
      <c r="J74" s="272"/>
      <c r="K74" s="272"/>
      <c r="L74" s="272"/>
      <c r="M74" s="272"/>
      <c r="N74" s="272"/>
      <c r="O74" s="272">
        <v>8</v>
      </c>
    </row>
    <row r="75" spans="1:15" x14ac:dyDescent="0.25">
      <c r="A75" s="273" t="s">
        <v>3525</v>
      </c>
      <c r="B75" s="272"/>
      <c r="C75" s="272"/>
      <c r="D75" s="272"/>
      <c r="E75" s="272"/>
      <c r="F75" s="272">
        <v>1</v>
      </c>
      <c r="G75" s="272"/>
      <c r="H75" s="272"/>
      <c r="I75" s="272"/>
      <c r="J75" s="272"/>
      <c r="K75" s="272"/>
      <c r="L75" s="272"/>
      <c r="M75" s="272"/>
      <c r="N75" s="272"/>
      <c r="O75" s="272">
        <v>1</v>
      </c>
    </row>
    <row r="76" spans="1:15" x14ac:dyDescent="0.25">
      <c r="A76" s="273" t="s">
        <v>3514</v>
      </c>
      <c r="B76" s="272"/>
      <c r="C76" s="272"/>
      <c r="D76" s="272"/>
      <c r="E76" s="272"/>
      <c r="F76" s="272">
        <v>1</v>
      </c>
      <c r="G76" s="272"/>
      <c r="H76" s="272"/>
      <c r="I76" s="272"/>
      <c r="J76" s="272"/>
      <c r="K76" s="272"/>
      <c r="L76" s="272"/>
      <c r="M76" s="272"/>
      <c r="N76" s="272"/>
      <c r="O76" s="272">
        <v>1</v>
      </c>
    </row>
    <row r="77" spans="1:15" x14ac:dyDescent="0.25">
      <c r="A77" s="273" t="s">
        <v>3527</v>
      </c>
      <c r="B77" s="272"/>
      <c r="C77" s="272"/>
      <c r="D77" s="272"/>
      <c r="E77" s="272"/>
      <c r="F77" s="272">
        <v>1</v>
      </c>
      <c r="G77" s="272"/>
      <c r="H77" s="272"/>
      <c r="I77" s="272"/>
      <c r="J77" s="272"/>
      <c r="K77" s="272"/>
      <c r="L77" s="272"/>
      <c r="M77" s="272"/>
      <c r="N77" s="272"/>
      <c r="O77" s="272">
        <v>1</v>
      </c>
    </row>
    <row r="78" spans="1:15" x14ac:dyDescent="0.25">
      <c r="A78" s="273" t="s">
        <v>3506</v>
      </c>
      <c r="B78" s="272"/>
      <c r="C78" s="272"/>
      <c r="D78" s="272"/>
      <c r="E78" s="272"/>
      <c r="F78" s="272">
        <v>1</v>
      </c>
      <c r="G78" s="272"/>
      <c r="H78" s="272"/>
      <c r="I78" s="272"/>
      <c r="J78" s="272"/>
      <c r="K78" s="272"/>
      <c r="L78" s="272"/>
      <c r="M78" s="272"/>
      <c r="N78" s="272"/>
      <c r="O78" s="272">
        <v>1</v>
      </c>
    </row>
    <row r="79" spans="1:15" x14ac:dyDescent="0.25">
      <c r="A79" s="273" t="s">
        <v>3518</v>
      </c>
      <c r="B79" s="272"/>
      <c r="C79" s="272"/>
      <c r="D79" s="272"/>
      <c r="E79" s="272"/>
      <c r="F79" s="272">
        <v>1</v>
      </c>
      <c r="G79" s="272"/>
      <c r="H79" s="272"/>
      <c r="I79" s="272"/>
      <c r="J79" s="272"/>
      <c r="K79" s="272"/>
      <c r="L79" s="272"/>
      <c r="M79" s="272"/>
      <c r="N79" s="272"/>
      <c r="O79" s="272">
        <v>1</v>
      </c>
    </row>
    <row r="80" spans="1:15" x14ac:dyDescent="0.25">
      <c r="A80" s="273" t="s">
        <v>3531</v>
      </c>
      <c r="B80" s="272"/>
      <c r="C80" s="272"/>
      <c r="D80" s="272"/>
      <c r="E80" s="272"/>
      <c r="F80" s="272">
        <v>1</v>
      </c>
      <c r="G80" s="272"/>
      <c r="H80" s="272"/>
      <c r="I80" s="272"/>
      <c r="J80" s="272"/>
      <c r="K80" s="272"/>
      <c r="L80" s="272"/>
      <c r="M80" s="272"/>
      <c r="N80" s="272"/>
      <c r="O80" s="272">
        <v>1</v>
      </c>
    </row>
    <row r="81" spans="1:15" x14ac:dyDescent="0.25">
      <c r="A81" s="273" t="s">
        <v>3496</v>
      </c>
      <c r="B81" s="272"/>
      <c r="C81" s="272"/>
      <c r="D81" s="272"/>
      <c r="E81" s="272"/>
      <c r="F81" s="272">
        <v>1</v>
      </c>
      <c r="G81" s="272"/>
      <c r="H81" s="272"/>
      <c r="I81" s="272"/>
      <c r="J81" s="272"/>
      <c r="K81" s="272"/>
      <c r="L81" s="272"/>
      <c r="M81" s="272"/>
      <c r="N81" s="272"/>
      <c r="O81" s="272">
        <v>1</v>
      </c>
    </row>
    <row r="82" spans="1:15" x14ac:dyDescent="0.25">
      <c r="A82" s="273" t="s">
        <v>3503</v>
      </c>
      <c r="B82" s="272"/>
      <c r="C82" s="272"/>
      <c r="D82" s="272"/>
      <c r="E82" s="272"/>
      <c r="F82" s="272">
        <v>1</v>
      </c>
      <c r="G82" s="272"/>
      <c r="H82" s="272"/>
      <c r="I82" s="272"/>
      <c r="J82" s="272"/>
      <c r="K82" s="272"/>
      <c r="L82" s="272"/>
      <c r="M82" s="272"/>
      <c r="N82" s="272"/>
      <c r="O82" s="272">
        <v>1</v>
      </c>
    </row>
    <row r="83" spans="1:15" x14ac:dyDescent="0.25">
      <c r="A83" s="271">
        <v>8</v>
      </c>
      <c r="B83" s="272"/>
      <c r="C83" s="272"/>
      <c r="D83" s="272"/>
      <c r="E83" s="272"/>
      <c r="F83" s="272">
        <v>9</v>
      </c>
      <c r="G83" s="272"/>
      <c r="H83" s="272"/>
      <c r="I83" s="272">
        <v>11</v>
      </c>
      <c r="J83" s="272"/>
      <c r="K83" s="272"/>
      <c r="L83" s="272"/>
      <c r="M83" s="272"/>
      <c r="N83" s="272">
        <v>1</v>
      </c>
      <c r="O83" s="272">
        <v>21</v>
      </c>
    </row>
    <row r="84" spans="1:15" x14ac:dyDescent="0.25">
      <c r="A84" s="273" t="s">
        <v>4410</v>
      </c>
      <c r="B84" s="272"/>
      <c r="C84" s="272"/>
      <c r="D84" s="272"/>
      <c r="E84" s="272"/>
      <c r="F84" s="272">
        <v>1</v>
      </c>
      <c r="G84" s="272"/>
      <c r="H84" s="272"/>
      <c r="I84" s="272"/>
      <c r="J84" s="272"/>
      <c r="K84" s="272"/>
      <c r="L84" s="272"/>
      <c r="M84" s="272"/>
      <c r="N84" s="272"/>
      <c r="O84" s="272">
        <v>1</v>
      </c>
    </row>
    <row r="85" spans="1:15" x14ac:dyDescent="0.25">
      <c r="A85" s="273" t="s">
        <v>4468</v>
      </c>
      <c r="B85" s="272"/>
      <c r="C85" s="272"/>
      <c r="D85" s="272"/>
      <c r="E85" s="272"/>
      <c r="F85" s="272">
        <v>1</v>
      </c>
      <c r="G85" s="272"/>
      <c r="H85" s="272"/>
      <c r="I85" s="272"/>
      <c r="J85" s="272"/>
      <c r="K85" s="272"/>
      <c r="L85" s="272"/>
      <c r="M85" s="272"/>
      <c r="N85" s="272"/>
      <c r="O85" s="272">
        <v>1</v>
      </c>
    </row>
    <row r="86" spans="1:15" x14ac:dyDescent="0.25">
      <c r="A86" s="273" t="s">
        <v>4510</v>
      </c>
      <c r="B86" s="272"/>
      <c r="C86" s="272"/>
      <c r="D86" s="272"/>
      <c r="E86" s="272"/>
      <c r="F86" s="272">
        <v>1</v>
      </c>
      <c r="G86" s="272"/>
      <c r="H86" s="272"/>
      <c r="I86" s="272"/>
      <c r="J86" s="272"/>
      <c r="K86" s="272"/>
      <c r="L86" s="272"/>
      <c r="M86" s="272"/>
      <c r="N86" s="272"/>
      <c r="O86" s="272">
        <v>1</v>
      </c>
    </row>
    <row r="87" spans="1:15" x14ac:dyDescent="0.25">
      <c r="A87" s="273" t="s">
        <v>4488</v>
      </c>
      <c r="B87" s="272"/>
      <c r="C87" s="272"/>
      <c r="D87" s="272"/>
      <c r="E87" s="272"/>
      <c r="F87" s="272">
        <v>1</v>
      </c>
      <c r="G87" s="272"/>
      <c r="H87" s="272"/>
      <c r="I87" s="272"/>
      <c r="J87" s="272"/>
      <c r="K87" s="272"/>
      <c r="L87" s="272"/>
      <c r="M87" s="272"/>
      <c r="N87" s="272"/>
      <c r="O87" s="272">
        <v>1</v>
      </c>
    </row>
    <row r="88" spans="1:15" x14ac:dyDescent="0.25">
      <c r="A88" s="273" t="s">
        <v>4434</v>
      </c>
      <c r="B88" s="272"/>
      <c r="C88" s="272"/>
      <c r="D88" s="272"/>
      <c r="E88" s="272"/>
      <c r="F88" s="272"/>
      <c r="G88" s="272"/>
      <c r="H88" s="272"/>
      <c r="I88" s="272">
        <v>1</v>
      </c>
      <c r="J88" s="272"/>
      <c r="K88" s="272"/>
      <c r="L88" s="272"/>
      <c r="M88" s="272"/>
      <c r="N88" s="272"/>
      <c r="O88" s="272">
        <v>1</v>
      </c>
    </row>
    <row r="89" spans="1:15" x14ac:dyDescent="0.25">
      <c r="A89" s="273" t="s">
        <v>4325</v>
      </c>
      <c r="B89" s="272"/>
      <c r="C89" s="272"/>
      <c r="D89" s="272"/>
      <c r="E89" s="272"/>
      <c r="F89" s="272">
        <v>1</v>
      </c>
      <c r="G89" s="272"/>
      <c r="H89" s="272"/>
      <c r="I89" s="272"/>
      <c r="J89" s="272"/>
      <c r="K89" s="272"/>
      <c r="L89" s="272"/>
      <c r="M89" s="272"/>
      <c r="N89" s="272"/>
      <c r="O89" s="272">
        <v>1</v>
      </c>
    </row>
    <row r="90" spans="1:15" x14ac:dyDescent="0.25">
      <c r="A90" s="273" t="s">
        <v>4367</v>
      </c>
      <c r="B90" s="272"/>
      <c r="C90" s="272"/>
      <c r="D90" s="272"/>
      <c r="E90" s="272"/>
      <c r="F90" s="272"/>
      <c r="G90" s="272"/>
      <c r="H90" s="272"/>
      <c r="I90" s="272">
        <v>1</v>
      </c>
      <c r="J90" s="272"/>
      <c r="K90" s="272"/>
      <c r="L90" s="272"/>
      <c r="M90" s="272"/>
      <c r="N90" s="272"/>
      <c r="O90" s="272">
        <v>1</v>
      </c>
    </row>
    <row r="91" spans="1:15" x14ac:dyDescent="0.25">
      <c r="A91" s="273" t="s">
        <v>4403</v>
      </c>
      <c r="B91" s="272"/>
      <c r="C91" s="272"/>
      <c r="D91" s="272"/>
      <c r="E91" s="272"/>
      <c r="F91" s="272"/>
      <c r="G91" s="272"/>
      <c r="H91" s="272"/>
      <c r="I91" s="272">
        <v>1</v>
      </c>
      <c r="J91" s="272"/>
      <c r="K91" s="272"/>
      <c r="L91" s="272"/>
      <c r="M91" s="272"/>
      <c r="N91" s="272"/>
      <c r="O91" s="272">
        <v>1</v>
      </c>
    </row>
    <row r="92" spans="1:15" x14ac:dyDescent="0.25">
      <c r="A92" s="273" t="s">
        <v>4440</v>
      </c>
      <c r="B92" s="272"/>
      <c r="C92" s="272"/>
      <c r="D92" s="272"/>
      <c r="E92" s="272"/>
      <c r="F92" s="272"/>
      <c r="G92" s="272"/>
      <c r="H92" s="272"/>
      <c r="I92" s="272">
        <v>1</v>
      </c>
      <c r="J92" s="272"/>
      <c r="K92" s="272"/>
      <c r="L92" s="272"/>
      <c r="M92" s="272"/>
      <c r="N92" s="272"/>
      <c r="O92" s="272">
        <v>1</v>
      </c>
    </row>
    <row r="93" spans="1:15" x14ac:dyDescent="0.25">
      <c r="A93" s="273" t="s">
        <v>4458</v>
      </c>
      <c r="B93" s="272"/>
      <c r="C93" s="272"/>
      <c r="D93" s="272"/>
      <c r="E93" s="272"/>
      <c r="F93" s="272">
        <v>1</v>
      </c>
      <c r="G93" s="272"/>
      <c r="H93" s="272"/>
      <c r="I93" s="272"/>
      <c r="J93" s="272"/>
      <c r="K93" s="272"/>
      <c r="L93" s="272"/>
      <c r="M93" s="272"/>
      <c r="N93" s="272"/>
      <c r="O93" s="272">
        <v>1</v>
      </c>
    </row>
    <row r="94" spans="1:15" x14ac:dyDescent="0.25">
      <c r="A94" s="273" t="s">
        <v>4446</v>
      </c>
      <c r="B94" s="272"/>
      <c r="C94" s="272"/>
      <c r="D94" s="272"/>
      <c r="E94" s="272"/>
      <c r="F94" s="272">
        <v>1</v>
      </c>
      <c r="G94" s="272"/>
      <c r="H94" s="272"/>
      <c r="I94" s="272"/>
      <c r="J94" s="272"/>
      <c r="K94" s="272"/>
      <c r="L94" s="272"/>
      <c r="M94" s="272"/>
      <c r="N94" s="272"/>
      <c r="O94" s="272">
        <v>1</v>
      </c>
    </row>
    <row r="95" spans="1:15" x14ac:dyDescent="0.25">
      <c r="A95" s="273" t="s">
        <v>4476</v>
      </c>
      <c r="B95" s="272"/>
      <c r="C95" s="272"/>
      <c r="D95" s="272"/>
      <c r="E95" s="272"/>
      <c r="F95" s="272">
        <v>1</v>
      </c>
      <c r="G95" s="272"/>
      <c r="H95" s="272"/>
      <c r="I95" s="272"/>
      <c r="J95" s="272"/>
      <c r="K95" s="272"/>
      <c r="L95" s="272"/>
      <c r="M95" s="272"/>
      <c r="N95" s="272"/>
      <c r="O95" s="272">
        <v>1</v>
      </c>
    </row>
    <row r="96" spans="1:15" x14ac:dyDescent="0.25">
      <c r="A96" s="273" t="s">
        <v>4499</v>
      </c>
      <c r="B96" s="272"/>
      <c r="C96" s="272"/>
      <c r="D96" s="272"/>
      <c r="E96" s="272"/>
      <c r="F96" s="272">
        <v>1</v>
      </c>
      <c r="G96" s="272"/>
      <c r="H96" s="272"/>
      <c r="I96" s="272"/>
      <c r="J96" s="272"/>
      <c r="K96" s="272"/>
      <c r="L96" s="272"/>
      <c r="M96" s="272"/>
      <c r="N96" s="272"/>
      <c r="O96" s="272">
        <v>1</v>
      </c>
    </row>
    <row r="97" spans="1:15" x14ac:dyDescent="0.25">
      <c r="A97" s="273" t="s">
        <v>4397</v>
      </c>
      <c r="B97" s="272"/>
      <c r="C97" s="272"/>
      <c r="D97" s="272"/>
      <c r="E97" s="272"/>
      <c r="F97" s="272"/>
      <c r="G97" s="272"/>
      <c r="H97" s="272"/>
      <c r="I97" s="272">
        <v>1</v>
      </c>
      <c r="J97" s="272"/>
      <c r="K97" s="272"/>
      <c r="L97" s="272"/>
      <c r="M97" s="272"/>
      <c r="N97" s="272"/>
      <c r="O97" s="272">
        <v>1</v>
      </c>
    </row>
    <row r="98" spans="1:15" x14ac:dyDescent="0.25">
      <c r="A98" s="273" t="s">
        <v>4353</v>
      </c>
      <c r="B98" s="272"/>
      <c r="C98" s="272"/>
      <c r="D98" s="272"/>
      <c r="E98" s="272"/>
      <c r="F98" s="272"/>
      <c r="G98" s="272"/>
      <c r="H98" s="272"/>
      <c r="I98" s="272">
        <v>1</v>
      </c>
      <c r="J98" s="272"/>
      <c r="K98" s="272"/>
      <c r="L98" s="272"/>
      <c r="M98" s="272"/>
      <c r="N98" s="272"/>
      <c r="O98" s="272">
        <v>1</v>
      </c>
    </row>
    <row r="99" spans="1:15" x14ac:dyDescent="0.25">
      <c r="A99" s="273" t="s">
        <v>4377</v>
      </c>
      <c r="B99" s="272"/>
      <c r="C99" s="272"/>
      <c r="D99" s="272"/>
      <c r="E99" s="272"/>
      <c r="F99" s="272"/>
      <c r="G99" s="272"/>
      <c r="H99" s="272"/>
      <c r="I99" s="272">
        <v>1</v>
      </c>
      <c r="J99" s="272"/>
      <c r="K99" s="272"/>
      <c r="L99" s="272"/>
      <c r="M99" s="272"/>
      <c r="N99" s="272"/>
      <c r="O99" s="272">
        <v>1</v>
      </c>
    </row>
    <row r="100" spans="1:15" x14ac:dyDescent="0.25">
      <c r="A100" s="273" t="s">
        <v>4384</v>
      </c>
      <c r="B100" s="272"/>
      <c r="C100" s="272"/>
      <c r="D100" s="272"/>
      <c r="E100" s="272"/>
      <c r="F100" s="272"/>
      <c r="G100" s="272"/>
      <c r="H100" s="272"/>
      <c r="I100" s="272">
        <v>1</v>
      </c>
      <c r="J100" s="272"/>
      <c r="K100" s="272"/>
      <c r="L100" s="272"/>
      <c r="M100" s="272"/>
      <c r="N100" s="272"/>
      <c r="O100" s="272">
        <v>1</v>
      </c>
    </row>
    <row r="101" spans="1:15" x14ac:dyDescent="0.25">
      <c r="A101" s="273" t="s">
        <v>4345</v>
      </c>
      <c r="B101" s="272"/>
      <c r="C101" s="272"/>
      <c r="D101" s="272"/>
      <c r="E101" s="272"/>
      <c r="F101" s="272"/>
      <c r="G101" s="272"/>
      <c r="H101" s="272"/>
      <c r="I101" s="272">
        <v>1</v>
      </c>
      <c r="J101" s="272"/>
      <c r="K101" s="272"/>
      <c r="L101" s="272"/>
      <c r="M101" s="272"/>
      <c r="N101" s="272"/>
      <c r="O101" s="272">
        <v>1</v>
      </c>
    </row>
    <row r="102" spans="1:15" x14ac:dyDescent="0.25">
      <c r="A102" s="273" t="s">
        <v>4425</v>
      </c>
      <c r="B102" s="272"/>
      <c r="C102" s="272"/>
      <c r="D102" s="272"/>
      <c r="E102" s="272"/>
      <c r="F102" s="272"/>
      <c r="G102" s="272"/>
      <c r="H102" s="272"/>
      <c r="I102" s="272">
        <v>1</v>
      </c>
      <c r="J102" s="272"/>
      <c r="K102" s="272"/>
      <c r="L102" s="272"/>
      <c r="M102" s="272"/>
      <c r="N102" s="272"/>
      <c r="O102" s="272">
        <v>1</v>
      </c>
    </row>
    <row r="103" spans="1:15" x14ac:dyDescent="0.25">
      <c r="A103" s="273" t="s">
        <v>4392</v>
      </c>
      <c r="B103" s="272"/>
      <c r="C103" s="272"/>
      <c r="D103" s="272"/>
      <c r="E103" s="272"/>
      <c r="F103" s="272"/>
      <c r="G103" s="272"/>
      <c r="H103" s="272"/>
      <c r="I103" s="272">
        <v>1</v>
      </c>
      <c r="J103" s="272"/>
      <c r="K103" s="272"/>
      <c r="L103" s="272"/>
      <c r="M103" s="272"/>
      <c r="N103" s="272"/>
      <c r="O103" s="272">
        <v>1</v>
      </c>
    </row>
    <row r="104" spans="1:15" x14ac:dyDescent="0.25">
      <c r="A104" s="273" t="s">
        <v>4517</v>
      </c>
      <c r="B104" s="272"/>
      <c r="C104" s="272"/>
      <c r="D104" s="272"/>
      <c r="E104" s="272"/>
      <c r="F104" s="272"/>
      <c r="G104" s="272"/>
      <c r="H104" s="272"/>
      <c r="I104" s="272"/>
      <c r="J104" s="272"/>
      <c r="K104" s="272"/>
      <c r="L104" s="272"/>
      <c r="M104" s="272"/>
      <c r="N104" s="272">
        <v>1</v>
      </c>
      <c r="O104" s="272">
        <v>1</v>
      </c>
    </row>
    <row r="105" spans="1:15" x14ac:dyDescent="0.25">
      <c r="A105" s="271">
        <v>9</v>
      </c>
      <c r="B105" s="272">
        <v>3</v>
      </c>
      <c r="C105" s="272"/>
      <c r="D105" s="272"/>
      <c r="E105" s="272"/>
      <c r="F105" s="272"/>
      <c r="G105" s="272"/>
      <c r="H105" s="272"/>
      <c r="I105" s="272">
        <v>3</v>
      </c>
      <c r="J105" s="272"/>
      <c r="K105" s="272"/>
      <c r="L105" s="272"/>
      <c r="M105" s="272"/>
      <c r="N105" s="272"/>
      <c r="O105" s="272">
        <v>6</v>
      </c>
    </row>
    <row r="106" spans="1:15" x14ac:dyDescent="0.25">
      <c r="A106" s="273" t="s">
        <v>3049</v>
      </c>
      <c r="B106" s="272">
        <v>1</v>
      </c>
      <c r="C106" s="272"/>
      <c r="D106" s="272"/>
      <c r="E106" s="272"/>
      <c r="F106" s="272"/>
      <c r="G106" s="272"/>
      <c r="H106" s="272"/>
      <c r="I106" s="272"/>
      <c r="J106" s="272"/>
      <c r="K106" s="272"/>
      <c r="L106" s="272"/>
      <c r="M106" s="272"/>
      <c r="N106" s="272"/>
      <c r="O106" s="272">
        <v>1</v>
      </c>
    </row>
    <row r="107" spans="1:15" x14ac:dyDescent="0.25">
      <c r="A107" s="273" t="s">
        <v>3009</v>
      </c>
      <c r="B107" s="272">
        <v>1</v>
      </c>
      <c r="C107" s="272"/>
      <c r="D107" s="272"/>
      <c r="E107" s="272"/>
      <c r="F107" s="272"/>
      <c r="G107" s="272"/>
      <c r="H107" s="272"/>
      <c r="I107" s="272"/>
      <c r="J107" s="272"/>
      <c r="K107" s="272"/>
      <c r="L107" s="272"/>
      <c r="M107" s="272"/>
      <c r="N107" s="272"/>
      <c r="O107" s="272">
        <v>1</v>
      </c>
    </row>
    <row r="108" spans="1:15" x14ac:dyDescent="0.25">
      <c r="A108" s="273" t="s">
        <v>3044</v>
      </c>
      <c r="B108" s="272">
        <v>1</v>
      </c>
      <c r="C108" s="272"/>
      <c r="D108" s="272"/>
      <c r="E108" s="272"/>
      <c r="F108" s="272"/>
      <c r="G108" s="272"/>
      <c r="H108" s="272"/>
      <c r="I108" s="272"/>
      <c r="J108" s="272"/>
      <c r="K108" s="272"/>
      <c r="L108" s="272"/>
      <c r="M108" s="272"/>
      <c r="N108" s="272"/>
      <c r="O108" s="272">
        <v>1</v>
      </c>
    </row>
    <row r="109" spans="1:15" x14ac:dyDescent="0.25">
      <c r="A109" s="273" t="s">
        <v>3033</v>
      </c>
      <c r="B109" s="272"/>
      <c r="C109" s="272"/>
      <c r="D109" s="272"/>
      <c r="E109" s="272"/>
      <c r="F109" s="272"/>
      <c r="G109" s="272"/>
      <c r="H109" s="272"/>
      <c r="I109" s="272">
        <v>1</v>
      </c>
      <c r="J109" s="272"/>
      <c r="K109" s="272"/>
      <c r="L109" s="272"/>
      <c r="M109" s="272"/>
      <c r="N109" s="272"/>
      <c r="O109" s="272">
        <v>1</v>
      </c>
    </row>
    <row r="110" spans="1:15" x14ac:dyDescent="0.25">
      <c r="A110" s="273" t="s">
        <v>3041</v>
      </c>
      <c r="B110" s="272"/>
      <c r="C110" s="272"/>
      <c r="D110" s="272"/>
      <c r="E110" s="272"/>
      <c r="F110" s="272"/>
      <c r="G110" s="272"/>
      <c r="H110" s="272"/>
      <c r="I110" s="272">
        <v>1</v>
      </c>
      <c r="J110" s="272"/>
      <c r="K110" s="272"/>
      <c r="L110" s="272"/>
      <c r="M110" s="272"/>
      <c r="N110" s="272"/>
      <c r="O110" s="272">
        <v>1</v>
      </c>
    </row>
    <row r="111" spans="1:15" x14ac:dyDescent="0.25">
      <c r="A111" s="273" t="s">
        <v>3027</v>
      </c>
      <c r="B111" s="272"/>
      <c r="C111" s="272"/>
      <c r="D111" s="272"/>
      <c r="E111" s="272"/>
      <c r="F111" s="272"/>
      <c r="G111" s="272"/>
      <c r="H111" s="272"/>
      <c r="I111" s="272">
        <v>1</v>
      </c>
      <c r="J111" s="272"/>
      <c r="K111" s="272"/>
      <c r="L111" s="272"/>
      <c r="M111" s="272"/>
      <c r="N111" s="272"/>
      <c r="O111" s="272">
        <v>1</v>
      </c>
    </row>
    <row r="112" spans="1:15" x14ac:dyDescent="0.25">
      <c r="A112" s="271">
        <v>10</v>
      </c>
      <c r="B112" s="272"/>
      <c r="C112" s="272"/>
      <c r="D112" s="272"/>
      <c r="E112" s="272"/>
      <c r="F112" s="272">
        <v>2</v>
      </c>
      <c r="G112" s="272"/>
      <c r="H112" s="272"/>
      <c r="I112" s="272">
        <v>1</v>
      </c>
      <c r="J112" s="272"/>
      <c r="K112" s="272"/>
      <c r="L112" s="272"/>
      <c r="M112" s="272"/>
      <c r="N112" s="272">
        <v>2</v>
      </c>
      <c r="O112" s="272">
        <v>5</v>
      </c>
    </row>
    <row r="113" spans="1:15" x14ac:dyDescent="0.25">
      <c r="A113" s="273" t="s">
        <v>4275</v>
      </c>
      <c r="B113" s="272"/>
      <c r="C113" s="272"/>
      <c r="D113" s="272"/>
      <c r="E113" s="272"/>
      <c r="F113" s="272"/>
      <c r="G113" s="272"/>
      <c r="H113" s="272"/>
      <c r="I113" s="272">
        <v>1</v>
      </c>
      <c r="J113" s="272"/>
      <c r="K113" s="272"/>
      <c r="L113" s="272"/>
      <c r="M113" s="272"/>
      <c r="N113" s="272"/>
      <c r="O113" s="272">
        <v>1</v>
      </c>
    </row>
    <row r="114" spans="1:15" x14ac:dyDescent="0.25">
      <c r="A114" s="273" t="s">
        <v>4308</v>
      </c>
      <c r="B114" s="272"/>
      <c r="C114" s="272"/>
      <c r="D114" s="272"/>
      <c r="E114" s="272"/>
      <c r="F114" s="272">
        <v>1</v>
      </c>
      <c r="G114" s="272"/>
      <c r="H114" s="272"/>
      <c r="I114" s="272"/>
      <c r="J114" s="272"/>
      <c r="K114" s="272"/>
      <c r="L114" s="272"/>
      <c r="M114" s="272"/>
      <c r="N114" s="272"/>
      <c r="O114" s="272">
        <v>1</v>
      </c>
    </row>
    <row r="115" spans="1:15" x14ac:dyDescent="0.25">
      <c r="A115" s="273" t="s">
        <v>4290</v>
      </c>
      <c r="B115" s="272"/>
      <c r="C115" s="272"/>
      <c r="D115" s="272"/>
      <c r="E115" s="272"/>
      <c r="F115" s="272">
        <v>1</v>
      </c>
      <c r="G115" s="272"/>
      <c r="H115" s="272"/>
      <c r="I115" s="272"/>
      <c r="J115" s="272"/>
      <c r="K115" s="272"/>
      <c r="L115" s="272"/>
      <c r="M115" s="272"/>
      <c r="N115" s="272"/>
      <c r="O115" s="272">
        <v>1</v>
      </c>
    </row>
    <row r="116" spans="1:15" x14ac:dyDescent="0.25">
      <c r="A116" s="273" t="s">
        <v>4314</v>
      </c>
      <c r="B116" s="272"/>
      <c r="C116" s="272"/>
      <c r="D116" s="272"/>
      <c r="E116" s="272"/>
      <c r="F116" s="272"/>
      <c r="G116" s="272"/>
      <c r="H116" s="272"/>
      <c r="I116" s="272"/>
      <c r="J116" s="272"/>
      <c r="K116" s="272"/>
      <c r="L116" s="272"/>
      <c r="M116" s="272"/>
      <c r="N116" s="272">
        <v>1</v>
      </c>
      <c r="O116" s="272">
        <v>1</v>
      </c>
    </row>
    <row r="117" spans="1:15" x14ac:dyDescent="0.25">
      <c r="A117" s="273" t="s">
        <v>4320</v>
      </c>
      <c r="B117" s="272"/>
      <c r="C117" s="272"/>
      <c r="D117" s="272"/>
      <c r="E117" s="272"/>
      <c r="F117" s="272"/>
      <c r="G117" s="272"/>
      <c r="H117" s="272"/>
      <c r="I117" s="272"/>
      <c r="J117" s="272"/>
      <c r="K117" s="272"/>
      <c r="L117" s="272"/>
      <c r="M117" s="272"/>
      <c r="N117" s="272">
        <v>1</v>
      </c>
      <c r="O117" s="272">
        <v>1</v>
      </c>
    </row>
    <row r="118" spans="1:15" x14ac:dyDescent="0.25">
      <c r="A118" s="271">
        <v>11</v>
      </c>
      <c r="B118" s="272">
        <v>3</v>
      </c>
      <c r="C118" s="272"/>
      <c r="D118" s="272"/>
      <c r="E118" s="272"/>
      <c r="F118" s="272">
        <v>13</v>
      </c>
      <c r="G118" s="272"/>
      <c r="H118" s="272"/>
      <c r="I118" s="272">
        <v>14</v>
      </c>
      <c r="J118" s="272"/>
      <c r="K118" s="272"/>
      <c r="L118" s="272"/>
      <c r="M118" s="272"/>
      <c r="N118" s="272"/>
      <c r="O118" s="272">
        <v>30</v>
      </c>
    </row>
    <row r="119" spans="1:15" x14ac:dyDescent="0.25">
      <c r="A119" s="273" t="s">
        <v>2839</v>
      </c>
      <c r="B119" s="272"/>
      <c r="C119" s="272"/>
      <c r="D119" s="272"/>
      <c r="E119" s="272"/>
      <c r="F119" s="272">
        <v>1</v>
      </c>
      <c r="G119" s="272"/>
      <c r="H119" s="272"/>
      <c r="I119" s="272"/>
      <c r="J119" s="272"/>
      <c r="K119" s="272"/>
      <c r="L119" s="272"/>
      <c r="M119" s="272"/>
      <c r="N119" s="272"/>
      <c r="O119" s="272">
        <v>1</v>
      </c>
    </row>
    <row r="120" spans="1:15" x14ac:dyDescent="0.25">
      <c r="A120" s="273" t="s">
        <v>2782</v>
      </c>
      <c r="B120" s="272"/>
      <c r="C120" s="272"/>
      <c r="D120" s="272"/>
      <c r="E120" s="272"/>
      <c r="F120" s="272">
        <v>1</v>
      </c>
      <c r="G120" s="272"/>
      <c r="H120" s="272"/>
      <c r="I120" s="272"/>
      <c r="J120" s="272"/>
      <c r="K120" s="272"/>
      <c r="L120" s="272"/>
      <c r="M120" s="272"/>
      <c r="N120" s="272"/>
      <c r="O120" s="272">
        <v>1</v>
      </c>
    </row>
    <row r="121" spans="1:15" x14ac:dyDescent="0.25">
      <c r="A121" s="273" t="s">
        <v>2848</v>
      </c>
      <c r="B121" s="272"/>
      <c r="C121" s="272"/>
      <c r="D121" s="272"/>
      <c r="E121" s="272"/>
      <c r="F121" s="272"/>
      <c r="G121" s="272"/>
      <c r="H121" s="272"/>
      <c r="I121" s="272">
        <v>1</v>
      </c>
      <c r="J121" s="272"/>
      <c r="K121" s="272"/>
      <c r="L121" s="272"/>
      <c r="M121" s="272"/>
      <c r="N121" s="272"/>
      <c r="O121" s="272">
        <v>1</v>
      </c>
    </row>
    <row r="122" spans="1:15" x14ac:dyDescent="0.25">
      <c r="A122" s="273" t="s">
        <v>2623</v>
      </c>
      <c r="B122" s="272"/>
      <c r="C122" s="272"/>
      <c r="D122" s="272"/>
      <c r="E122" s="272"/>
      <c r="F122" s="272"/>
      <c r="G122" s="272"/>
      <c r="H122" s="272"/>
      <c r="I122" s="272">
        <v>1</v>
      </c>
      <c r="J122" s="272"/>
      <c r="K122" s="272"/>
      <c r="L122" s="272"/>
      <c r="M122" s="272"/>
      <c r="N122" s="272"/>
      <c r="O122" s="272">
        <v>1</v>
      </c>
    </row>
    <row r="123" spans="1:15" x14ac:dyDescent="0.25">
      <c r="A123" s="273" t="s">
        <v>2666</v>
      </c>
      <c r="B123" s="272"/>
      <c r="C123" s="272"/>
      <c r="D123" s="272"/>
      <c r="E123" s="272"/>
      <c r="F123" s="272">
        <v>1</v>
      </c>
      <c r="G123" s="272"/>
      <c r="H123" s="272"/>
      <c r="I123" s="272"/>
      <c r="J123" s="272"/>
      <c r="K123" s="272"/>
      <c r="L123" s="272"/>
      <c r="M123" s="272"/>
      <c r="N123" s="272"/>
      <c r="O123" s="272">
        <v>1</v>
      </c>
    </row>
    <row r="124" spans="1:15" x14ac:dyDescent="0.25">
      <c r="A124" s="273" t="s">
        <v>2702</v>
      </c>
      <c r="B124" s="272"/>
      <c r="C124" s="272"/>
      <c r="D124" s="272"/>
      <c r="E124" s="272"/>
      <c r="F124" s="272"/>
      <c r="G124" s="272"/>
      <c r="H124" s="272"/>
      <c r="I124" s="272">
        <v>1</v>
      </c>
      <c r="J124" s="272"/>
      <c r="K124" s="272"/>
      <c r="L124" s="272"/>
      <c r="M124" s="272"/>
      <c r="N124" s="272"/>
      <c r="O124" s="272">
        <v>1</v>
      </c>
    </row>
    <row r="125" spans="1:15" x14ac:dyDescent="0.25">
      <c r="A125" s="273" t="s">
        <v>2637</v>
      </c>
      <c r="B125" s="272"/>
      <c r="C125" s="272"/>
      <c r="D125" s="272"/>
      <c r="E125" s="272"/>
      <c r="F125" s="272">
        <v>1</v>
      </c>
      <c r="G125" s="272"/>
      <c r="H125" s="272"/>
      <c r="I125" s="272"/>
      <c r="J125" s="272"/>
      <c r="K125" s="272"/>
      <c r="L125" s="272"/>
      <c r="M125" s="272"/>
      <c r="N125" s="272"/>
      <c r="O125" s="272">
        <v>1</v>
      </c>
    </row>
    <row r="126" spans="1:15" x14ac:dyDescent="0.25">
      <c r="A126" s="273" t="s">
        <v>2912</v>
      </c>
      <c r="B126" s="272"/>
      <c r="C126" s="272"/>
      <c r="D126" s="272"/>
      <c r="E126" s="272"/>
      <c r="F126" s="272"/>
      <c r="G126" s="272"/>
      <c r="H126" s="272"/>
      <c r="I126" s="272">
        <v>1</v>
      </c>
      <c r="J126" s="272"/>
      <c r="K126" s="272"/>
      <c r="L126" s="272"/>
      <c r="M126" s="272"/>
      <c r="N126" s="272"/>
      <c r="O126" s="272">
        <v>1</v>
      </c>
    </row>
    <row r="127" spans="1:15" x14ac:dyDescent="0.25">
      <c r="A127" s="273" t="s">
        <v>2818</v>
      </c>
      <c r="B127" s="272"/>
      <c r="C127" s="272"/>
      <c r="D127" s="272"/>
      <c r="E127" s="272"/>
      <c r="F127" s="272">
        <v>1</v>
      </c>
      <c r="G127" s="272"/>
      <c r="H127" s="272"/>
      <c r="I127" s="272"/>
      <c r="J127" s="272"/>
      <c r="K127" s="272"/>
      <c r="L127" s="272"/>
      <c r="M127" s="272"/>
      <c r="N127" s="272"/>
      <c r="O127" s="272">
        <v>1</v>
      </c>
    </row>
    <row r="128" spans="1:15" x14ac:dyDescent="0.25">
      <c r="A128" s="273" t="s">
        <v>2856</v>
      </c>
      <c r="B128" s="272"/>
      <c r="C128" s="272"/>
      <c r="D128" s="272"/>
      <c r="E128" s="272"/>
      <c r="F128" s="272">
        <v>1</v>
      </c>
      <c r="G128" s="272"/>
      <c r="H128" s="272"/>
      <c r="I128" s="272"/>
      <c r="J128" s="272"/>
      <c r="K128" s="272"/>
      <c r="L128" s="272"/>
      <c r="M128" s="272"/>
      <c r="N128" s="272"/>
      <c r="O128" s="272">
        <v>1</v>
      </c>
    </row>
    <row r="129" spans="1:15" x14ac:dyDescent="0.25">
      <c r="A129" s="273" t="s">
        <v>2765</v>
      </c>
      <c r="B129" s="272"/>
      <c r="C129" s="272"/>
      <c r="D129" s="272"/>
      <c r="E129" s="272"/>
      <c r="F129" s="272">
        <v>1</v>
      </c>
      <c r="G129" s="272"/>
      <c r="H129" s="272"/>
      <c r="I129" s="272"/>
      <c r="J129" s="272"/>
      <c r="K129" s="272"/>
      <c r="L129" s="272"/>
      <c r="M129" s="272"/>
      <c r="N129" s="272"/>
      <c r="O129" s="272">
        <v>1</v>
      </c>
    </row>
    <row r="130" spans="1:15" x14ac:dyDescent="0.25">
      <c r="A130" s="273" t="s">
        <v>2966</v>
      </c>
      <c r="B130" s="272"/>
      <c r="C130" s="272"/>
      <c r="D130" s="272"/>
      <c r="E130" s="272"/>
      <c r="F130" s="272">
        <v>1</v>
      </c>
      <c r="G130" s="272"/>
      <c r="H130" s="272"/>
      <c r="I130" s="272"/>
      <c r="J130" s="272"/>
      <c r="K130" s="272"/>
      <c r="L130" s="272"/>
      <c r="M130" s="272"/>
      <c r="N130" s="272"/>
      <c r="O130" s="272">
        <v>1</v>
      </c>
    </row>
    <row r="131" spans="1:15" x14ac:dyDescent="0.25">
      <c r="A131" s="273" t="s">
        <v>2992</v>
      </c>
      <c r="B131" s="272"/>
      <c r="C131" s="272"/>
      <c r="D131" s="272"/>
      <c r="E131" s="272"/>
      <c r="F131" s="272">
        <v>1</v>
      </c>
      <c r="G131" s="272"/>
      <c r="H131" s="272"/>
      <c r="I131" s="272"/>
      <c r="J131" s="272"/>
      <c r="K131" s="272"/>
      <c r="L131" s="272"/>
      <c r="M131" s="272"/>
      <c r="N131" s="272"/>
      <c r="O131" s="272">
        <v>1</v>
      </c>
    </row>
    <row r="132" spans="1:15" x14ac:dyDescent="0.25">
      <c r="A132" s="273" t="s">
        <v>2733</v>
      </c>
      <c r="B132" s="272"/>
      <c r="C132" s="272"/>
      <c r="D132" s="272"/>
      <c r="E132" s="272"/>
      <c r="F132" s="272"/>
      <c r="G132" s="272"/>
      <c r="H132" s="272"/>
      <c r="I132" s="272">
        <v>1</v>
      </c>
      <c r="J132" s="272"/>
      <c r="K132" s="272"/>
      <c r="L132" s="272"/>
      <c r="M132" s="272"/>
      <c r="N132" s="272"/>
      <c r="O132" s="272">
        <v>1</v>
      </c>
    </row>
    <row r="133" spans="1:15" x14ac:dyDescent="0.25">
      <c r="A133" s="273" t="s">
        <v>2955</v>
      </c>
      <c r="B133" s="272"/>
      <c r="C133" s="272"/>
      <c r="D133" s="272"/>
      <c r="E133" s="272"/>
      <c r="F133" s="272">
        <v>1</v>
      </c>
      <c r="G133" s="272"/>
      <c r="H133" s="272"/>
      <c r="I133" s="272"/>
      <c r="J133" s="272"/>
      <c r="K133" s="272"/>
      <c r="L133" s="272"/>
      <c r="M133" s="272"/>
      <c r="N133" s="272"/>
      <c r="O133" s="272">
        <v>1</v>
      </c>
    </row>
    <row r="134" spans="1:15" x14ac:dyDescent="0.25">
      <c r="A134" s="273" t="s">
        <v>2710</v>
      </c>
      <c r="B134" s="272"/>
      <c r="C134" s="272"/>
      <c r="D134" s="272"/>
      <c r="E134" s="272"/>
      <c r="F134" s="272"/>
      <c r="G134" s="272"/>
      <c r="H134" s="272"/>
      <c r="I134" s="272">
        <v>1</v>
      </c>
      <c r="J134" s="272"/>
      <c r="K134" s="272"/>
      <c r="L134" s="272"/>
      <c r="M134" s="272"/>
      <c r="N134" s="272"/>
      <c r="O134" s="272">
        <v>1</v>
      </c>
    </row>
    <row r="135" spans="1:15" x14ac:dyDescent="0.25">
      <c r="A135" s="273" t="s">
        <v>2651</v>
      </c>
      <c r="B135" s="272"/>
      <c r="C135" s="272"/>
      <c r="D135" s="272"/>
      <c r="E135" s="272"/>
      <c r="F135" s="272">
        <v>1</v>
      </c>
      <c r="G135" s="272"/>
      <c r="H135" s="272"/>
      <c r="I135" s="272"/>
      <c r="J135" s="272"/>
      <c r="K135" s="272"/>
      <c r="L135" s="272"/>
      <c r="M135" s="272"/>
      <c r="N135" s="272"/>
      <c r="O135" s="272">
        <v>1</v>
      </c>
    </row>
    <row r="136" spans="1:15" x14ac:dyDescent="0.25">
      <c r="A136" s="273" t="s">
        <v>2871</v>
      </c>
      <c r="B136" s="272"/>
      <c r="C136" s="272"/>
      <c r="D136" s="272"/>
      <c r="E136" s="272"/>
      <c r="F136" s="272"/>
      <c r="G136" s="272"/>
      <c r="H136" s="272"/>
      <c r="I136" s="272">
        <v>1</v>
      </c>
      <c r="J136" s="272"/>
      <c r="K136" s="272"/>
      <c r="L136" s="272"/>
      <c r="M136" s="272"/>
      <c r="N136" s="272"/>
      <c r="O136" s="272">
        <v>1</v>
      </c>
    </row>
    <row r="137" spans="1:15" x14ac:dyDescent="0.25">
      <c r="A137" s="273" t="s">
        <v>2753</v>
      </c>
      <c r="B137" s="272"/>
      <c r="C137" s="272"/>
      <c r="D137" s="272"/>
      <c r="E137" s="272"/>
      <c r="F137" s="272"/>
      <c r="G137" s="272"/>
      <c r="H137" s="272"/>
      <c r="I137" s="272">
        <v>1</v>
      </c>
      <c r="J137" s="272"/>
      <c r="K137" s="272"/>
      <c r="L137" s="272"/>
      <c r="M137" s="272"/>
      <c r="N137" s="272"/>
      <c r="O137" s="272">
        <v>1</v>
      </c>
    </row>
    <row r="138" spans="1:15" x14ac:dyDescent="0.25">
      <c r="A138" s="273" t="s">
        <v>2720</v>
      </c>
      <c r="B138" s="272"/>
      <c r="C138" s="272"/>
      <c r="D138" s="272"/>
      <c r="E138" s="272"/>
      <c r="F138" s="272">
        <v>1</v>
      </c>
      <c r="G138" s="272"/>
      <c r="H138" s="272"/>
      <c r="I138" s="272"/>
      <c r="J138" s="272"/>
      <c r="K138" s="272"/>
      <c r="L138" s="272"/>
      <c r="M138" s="272"/>
      <c r="N138" s="272"/>
      <c r="O138" s="272">
        <v>1</v>
      </c>
    </row>
    <row r="139" spans="1:15" x14ac:dyDescent="0.25">
      <c r="A139" s="273" t="s">
        <v>2804</v>
      </c>
      <c r="B139" s="272"/>
      <c r="C139" s="272"/>
      <c r="D139" s="272"/>
      <c r="E139" s="272"/>
      <c r="F139" s="272">
        <v>1</v>
      </c>
      <c r="G139" s="272"/>
      <c r="H139" s="272"/>
      <c r="I139" s="272"/>
      <c r="J139" s="272"/>
      <c r="K139" s="272"/>
      <c r="L139" s="272"/>
      <c r="M139" s="272"/>
      <c r="N139" s="272"/>
      <c r="O139" s="272">
        <v>1</v>
      </c>
    </row>
    <row r="140" spans="1:15" x14ac:dyDescent="0.25">
      <c r="A140" s="273" t="s">
        <v>2683</v>
      </c>
      <c r="B140" s="272"/>
      <c r="C140" s="272"/>
      <c r="D140" s="272"/>
      <c r="E140" s="272"/>
      <c r="F140" s="272"/>
      <c r="G140" s="272"/>
      <c r="H140" s="272"/>
      <c r="I140" s="272">
        <v>1</v>
      </c>
      <c r="J140" s="272"/>
      <c r="K140" s="272"/>
      <c r="L140" s="272"/>
      <c r="M140" s="272"/>
      <c r="N140" s="272"/>
      <c r="O140" s="272">
        <v>1</v>
      </c>
    </row>
    <row r="141" spans="1:15" x14ac:dyDescent="0.25">
      <c r="A141" s="273" t="s">
        <v>2890</v>
      </c>
      <c r="B141" s="272"/>
      <c r="C141" s="272"/>
      <c r="D141" s="272"/>
      <c r="E141" s="272"/>
      <c r="F141" s="272"/>
      <c r="G141" s="272"/>
      <c r="H141" s="272"/>
      <c r="I141" s="272">
        <v>1</v>
      </c>
      <c r="J141" s="272"/>
      <c r="K141" s="272"/>
      <c r="L141" s="272"/>
      <c r="M141" s="272"/>
      <c r="N141" s="272"/>
      <c r="O141" s="272">
        <v>1</v>
      </c>
    </row>
    <row r="142" spans="1:15" x14ac:dyDescent="0.25">
      <c r="A142" s="273" t="s">
        <v>2906</v>
      </c>
      <c r="B142" s="272">
        <v>1</v>
      </c>
      <c r="C142" s="272"/>
      <c r="D142" s="272"/>
      <c r="E142" s="272"/>
      <c r="F142" s="272"/>
      <c r="G142" s="272"/>
      <c r="H142" s="272"/>
      <c r="I142" s="272"/>
      <c r="J142" s="272"/>
      <c r="K142" s="272"/>
      <c r="L142" s="272"/>
      <c r="M142" s="272"/>
      <c r="N142" s="272"/>
      <c r="O142" s="272">
        <v>1</v>
      </c>
    </row>
    <row r="143" spans="1:15" x14ac:dyDescent="0.25">
      <c r="A143" s="273" t="s">
        <v>2741</v>
      </c>
      <c r="B143" s="272">
        <v>1</v>
      </c>
      <c r="C143" s="272"/>
      <c r="D143" s="272"/>
      <c r="E143" s="272"/>
      <c r="F143" s="272"/>
      <c r="G143" s="272"/>
      <c r="H143" s="272"/>
      <c r="I143" s="272"/>
      <c r="J143" s="272"/>
      <c r="K143" s="272"/>
      <c r="L143" s="272"/>
      <c r="M143" s="272"/>
      <c r="N143" s="272"/>
      <c r="O143" s="272">
        <v>1</v>
      </c>
    </row>
    <row r="144" spans="1:15" x14ac:dyDescent="0.25">
      <c r="A144" s="273" t="s">
        <v>2978</v>
      </c>
      <c r="B144" s="272"/>
      <c r="C144" s="272"/>
      <c r="D144" s="272"/>
      <c r="E144" s="272"/>
      <c r="F144" s="272"/>
      <c r="G144" s="272"/>
      <c r="H144" s="272"/>
      <c r="I144" s="272">
        <v>1</v>
      </c>
      <c r="J144" s="272"/>
      <c r="K144" s="272"/>
      <c r="L144" s="272"/>
      <c r="M144" s="272"/>
      <c r="N144" s="272"/>
      <c r="O144" s="272">
        <v>1</v>
      </c>
    </row>
    <row r="145" spans="1:15" x14ac:dyDescent="0.25">
      <c r="A145" s="273" t="s">
        <v>2934</v>
      </c>
      <c r="B145" s="272"/>
      <c r="C145" s="272"/>
      <c r="D145" s="272"/>
      <c r="E145" s="272"/>
      <c r="F145" s="272"/>
      <c r="G145" s="272"/>
      <c r="H145" s="272"/>
      <c r="I145" s="272">
        <v>1</v>
      </c>
      <c r="J145" s="272"/>
      <c r="K145" s="272"/>
      <c r="L145" s="272"/>
      <c r="M145" s="272"/>
      <c r="N145" s="272"/>
      <c r="O145" s="272">
        <v>1</v>
      </c>
    </row>
    <row r="146" spans="1:15" x14ac:dyDescent="0.25">
      <c r="A146" s="273" t="s">
        <v>2924</v>
      </c>
      <c r="B146" s="272"/>
      <c r="C146" s="272"/>
      <c r="D146" s="272"/>
      <c r="E146" s="272"/>
      <c r="F146" s="272"/>
      <c r="G146" s="272"/>
      <c r="H146" s="272"/>
      <c r="I146" s="272">
        <v>1</v>
      </c>
      <c r="J146" s="272"/>
      <c r="K146" s="272"/>
      <c r="L146" s="272"/>
      <c r="M146" s="272"/>
      <c r="N146" s="272"/>
      <c r="O146" s="272">
        <v>1</v>
      </c>
    </row>
    <row r="147" spans="1:15" x14ac:dyDescent="0.25">
      <c r="A147" s="273" t="s">
        <v>2826</v>
      </c>
      <c r="B147" s="272">
        <v>1</v>
      </c>
      <c r="C147" s="272"/>
      <c r="D147" s="272"/>
      <c r="E147" s="272"/>
      <c r="F147" s="272"/>
      <c r="G147" s="272"/>
      <c r="H147" s="272"/>
      <c r="I147" s="272">
        <v>1</v>
      </c>
      <c r="J147" s="272"/>
      <c r="K147" s="272"/>
      <c r="L147" s="272"/>
      <c r="M147" s="272"/>
      <c r="N147" s="272"/>
      <c r="O147" s="272">
        <v>2</v>
      </c>
    </row>
    <row r="148" spans="1:15" x14ac:dyDescent="0.25">
      <c r="A148" s="271">
        <v>12</v>
      </c>
      <c r="B148" s="272">
        <v>2</v>
      </c>
      <c r="C148" s="272"/>
      <c r="D148" s="272"/>
      <c r="E148" s="272"/>
      <c r="F148" s="272">
        <v>1</v>
      </c>
      <c r="G148" s="272"/>
      <c r="H148" s="272"/>
      <c r="I148" s="272">
        <v>5</v>
      </c>
      <c r="J148" s="272"/>
      <c r="K148" s="272"/>
      <c r="L148" s="272"/>
      <c r="M148" s="272"/>
      <c r="N148" s="272"/>
      <c r="O148" s="272">
        <v>8</v>
      </c>
    </row>
    <row r="149" spans="1:15" x14ac:dyDescent="0.25">
      <c r="A149" s="273" t="s">
        <v>1896</v>
      </c>
      <c r="B149" s="272"/>
      <c r="C149" s="272"/>
      <c r="D149" s="272"/>
      <c r="E149" s="272"/>
      <c r="F149" s="272"/>
      <c r="G149" s="272"/>
      <c r="H149" s="272"/>
      <c r="I149" s="272">
        <v>1</v>
      </c>
      <c r="J149" s="272"/>
      <c r="K149" s="272"/>
      <c r="L149" s="272"/>
      <c r="M149" s="272"/>
      <c r="N149" s="272"/>
      <c r="O149" s="272">
        <v>1</v>
      </c>
    </row>
    <row r="150" spans="1:15" x14ac:dyDescent="0.25">
      <c r="A150" s="273" t="s">
        <v>1847</v>
      </c>
      <c r="B150" s="272"/>
      <c r="C150" s="272"/>
      <c r="D150" s="272"/>
      <c r="E150" s="272"/>
      <c r="F150" s="272"/>
      <c r="G150" s="272"/>
      <c r="H150" s="272"/>
      <c r="I150" s="272">
        <v>1</v>
      </c>
      <c r="J150" s="272"/>
      <c r="K150" s="272"/>
      <c r="L150" s="272"/>
      <c r="M150" s="272"/>
      <c r="N150" s="272"/>
      <c r="O150" s="272">
        <v>1</v>
      </c>
    </row>
    <row r="151" spans="1:15" x14ac:dyDescent="0.25">
      <c r="A151" s="273" t="s">
        <v>1886</v>
      </c>
      <c r="B151" s="272">
        <v>1</v>
      </c>
      <c r="C151" s="272"/>
      <c r="D151" s="272"/>
      <c r="E151" s="272"/>
      <c r="F151" s="272"/>
      <c r="G151" s="272"/>
      <c r="H151" s="272"/>
      <c r="I151" s="272"/>
      <c r="J151" s="272"/>
      <c r="K151" s="272"/>
      <c r="L151" s="272"/>
      <c r="M151" s="272"/>
      <c r="N151" s="272"/>
      <c r="O151" s="272">
        <v>1</v>
      </c>
    </row>
    <row r="152" spans="1:15" x14ac:dyDescent="0.25">
      <c r="A152" s="273" t="s">
        <v>1864</v>
      </c>
      <c r="B152" s="272"/>
      <c r="C152" s="272"/>
      <c r="D152" s="272"/>
      <c r="E152" s="272"/>
      <c r="F152" s="272">
        <v>1</v>
      </c>
      <c r="G152" s="272"/>
      <c r="H152" s="272"/>
      <c r="I152" s="272">
        <v>1</v>
      </c>
      <c r="J152" s="272"/>
      <c r="K152" s="272"/>
      <c r="L152" s="272"/>
      <c r="M152" s="272"/>
      <c r="N152" s="272"/>
      <c r="O152" s="272">
        <v>2</v>
      </c>
    </row>
    <row r="153" spans="1:15" x14ac:dyDescent="0.25">
      <c r="A153" s="273" t="s">
        <v>1877</v>
      </c>
      <c r="B153" s="272">
        <v>1</v>
      </c>
      <c r="C153" s="272"/>
      <c r="D153" s="272"/>
      <c r="E153" s="272"/>
      <c r="F153" s="272"/>
      <c r="G153" s="272"/>
      <c r="H153" s="272"/>
      <c r="I153" s="272"/>
      <c r="J153" s="272"/>
      <c r="K153" s="272"/>
      <c r="L153" s="272"/>
      <c r="M153" s="272"/>
      <c r="N153" s="272"/>
      <c r="O153" s="272">
        <v>1</v>
      </c>
    </row>
    <row r="154" spans="1:15" x14ac:dyDescent="0.25">
      <c r="A154" s="273" t="s">
        <v>1869</v>
      </c>
      <c r="B154" s="272"/>
      <c r="C154" s="272"/>
      <c r="D154" s="272"/>
      <c r="E154" s="272"/>
      <c r="F154" s="272"/>
      <c r="G154" s="272"/>
      <c r="H154" s="272"/>
      <c r="I154" s="272">
        <v>1</v>
      </c>
      <c r="J154" s="272"/>
      <c r="K154" s="272"/>
      <c r="L154" s="272"/>
      <c r="M154" s="272"/>
      <c r="N154" s="272"/>
      <c r="O154" s="272">
        <v>1</v>
      </c>
    </row>
    <row r="155" spans="1:15" x14ac:dyDescent="0.25">
      <c r="A155" s="273" t="s">
        <v>1914</v>
      </c>
      <c r="B155" s="272"/>
      <c r="C155" s="272"/>
      <c r="D155" s="272"/>
      <c r="E155" s="272"/>
      <c r="F155" s="272"/>
      <c r="G155" s="272"/>
      <c r="H155" s="272"/>
      <c r="I155" s="272">
        <v>1</v>
      </c>
      <c r="J155" s="272"/>
      <c r="K155" s="272"/>
      <c r="L155" s="272"/>
      <c r="M155" s="272"/>
      <c r="N155" s="272"/>
      <c r="O155" s="272">
        <v>1</v>
      </c>
    </row>
    <row r="156" spans="1:15" x14ac:dyDescent="0.25">
      <c r="A156" s="271">
        <v>13</v>
      </c>
      <c r="B156" s="272">
        <v>1</v>
      </c>
      <c r="C156" s="272"/>
      <c r="D156" s="272"/>
      <c r="E156" s="272"/>
      <c r="F156" s="272"/>
      <c r="G156" s="272"/>
      <c r="H156" s="272"/>
      <c r="I156" s="272">
        <v>4</v>
      </c>
      <c r="J156" s="272"/>
      <c r="K156" s="272"/>
      <c r="L156" s="272"/>
      <c r="M156" s="272"/>
      <c r="N156" s="272"/>
      <c r="O156" s="272">
        <v>5</v>
      </c>
    </row>
    <row r="157" spans="1:15" x14ac:dyDescent="0.25">
      <c r="A157" s="273" t="s">
        <v>1476</v>
      </c>
      <c r="B157" s="272">
        <v>1</v>
      </c>
      <c r="C157" s="272"/>
      <c r="D157" s="272"/>
      <c r="E157" s="272"/>
      <c r="F157" s="272"/>
      <c r="G157" s="272"/>
      <c r="H157" s="272"/>
      <c r="I157" s="272"/>
      <c r="J157" s="272"/>
      <c r="K157" s="272"/>
      <c r="L157" s="272"/>
      <c r="M157" s="272"/>
      <c r="N157" s="272"/>
      <c r="O157" s="272">
        <v>1</v>
      </c>
    </row>
    <row r="158" spans="1:15" x14ac:dyDescent="0.25">
      <c r="A158" s="273" t="s">
        <v>1494</v>
      </c>
      <c r="B158" s="272"/>
      <c r="C158" s="272"/>
      <c r="D158" s="272"/>
      <c r="E158" s="272"/>
      <c r="F158" s="272"/>
      <c r="G158" s="272"/>
      <c r="H158" s="272"/>
      <c r="I158" s="272">
        <v>1</v>
      </c>
      <c r="J158" s="272"/>
      <c r="K158" s="272"/>
      <c r="L158" s="272"/>
      <c r="M158" s="272"/>
      <c r="N158" s="272"/>
      <c r="O158" s="272">
        <v>1</v>
      </c>
    </row>
    <row r="159" spans="1:15" x14ac:dyDescent="0.25">
      <c r="A159" s="273" t="s">
        <v>1506</v>
      </c>
      <c r="B159" s="272"/>
      <c r="C159" s="272"/>
      <c r="D159" s="272"/>
      <c r="E159" s="272"/>
      <c r="F159" s="272"/>
      <c r="G159" s="272"/>
      <c r="H159" s="272"/>
      <c r="I159" s="272">
        <v>1</v>
      </c>
      <c r="J159" s="272"/>
      <c r="K159" s="272"/>
      <c r="L159" s="272"/>
      <c r="M159" s="272"/>
      <c r="N159" s="272"/>
      <c r="O159" s="272">
        <v>1</v>
      </c>
    </row>
    <row r="160" spans="1:15" x14ac:dyDescent="0.25">
      <c r="A160" s="273" t="s">
        <v>1522</v>
      </c>
      <c r="B160" s="272"/>
      <c r="C160" s="272"/>
      <c r="D160" s="272"/>
      <c r="E160" s="272"/>
      <c r="F160" s="272"/>
      <c r="G160" s="272"/>
      <c r="H160" s="272"/>
      <c r="I160" s="272">
        <v>2</v>
      </c>
      <c r="J160" s="272"/>
      <c r="K160" s="272"/>
      <c r="L160" s="272"/>
      <c r="M160" s="272"/>
      <c r="N160" s="272"/>
      <c r="O160" s="272">
        <v>2</v>
      </c>
    </row>
    <row r="161" spans="1:15" x14ac:dyDescent="0.25">
      <c r="A161" s="271">
        <v>14</v>
      </c>
      <c r="B161" s="272">
        <v>8</v>
      </c>
      <c r="C161" s="272"/>
      <c r="D161" s="272"/>
      <c r="E161" s="272"/>
      <c r="F161" s="272">
        <v>1</v>
      </c>
      <c r="G161" s="272"/>
      <c r="H161" s="272"/>
      <c r="I161" s="272">
        <v>26</v>
      </c>
      <c r="J161" s="272"/>
      <c r="K161" s="272"/>
      <c r="L161" s="272"/>
      <c r="M161" s="272"/>
      <c r="N161" s="272"/>
      <c r="O161" s="272">
        <v>35</v>
      </c>
    </row>
    <row r="162" spans="1:15" x14ac:dyDescent="0.25">
      <c r="A162" s="273" t="s">
        <v>1370</v>
      </c>
      <c r="B162" s="272"/>
      <c r="C162" s="272"/>
      <c r="D162" s="272"/>
      <c r="E162" s="272"/>
      <c r="F162" s="272"/>
      <c r="G162" s="272"/>
      <c r="H162" s="272"/>
      <c r="I162" s="272">
        <v>1</v>
      </c>
      <c r="J162" s="272"/>
      <c r="K162" s="272"/>
      <c r="L162" s="272"/>
      <c r="M162" s="272"/>
      <c r="N162" s="272"/>
      <c r="O162" s="272">
        <v>1</v>
      </c>
    </row>
    <row r="163" spans="1:15" x14ac:dyDescent="0.25">
      <c r="A163" s="273" t="s">
        <v>1388</v>
      </c>
      <c r="B163" s="272"/>
      <c r="C163" s="272"/>
      <c r="D163" s="272"/>
      <c r="E163" s="272"/>
      <c r="F163" s="272"/>
      <c r="G163" s="272"/>
      <c r="H163" s="272"/>
      <c r="I163" s="272">
        <v>1</v>
      </c>
      <c r="J163" s="272"/>
      <c r="K163" s="272"/>
      <c r="L163" s="272"/>
      <c r="M163" s="272"/>
      <c r="N163" s="272"/>
      <c r="O163" s="272">
        <v>1</v>
      </c>
    </row>
    <row r="164" spans="1:15" x14ac:dyDescent="0.25">
      <c r="A164" s="273" t="s">
        <v>1376</v>
      </c>
      <c r="B164" s="272"/>
      <c r="C164" s="272"/>
      <c r="D164" s="272"/>
      <c r="E164" s="272"/>
      <c r="F164" s="272"/>
      <c r="G164" s="272"/>
      <c r="H164" s="272"/>
      <c r="I164" s="272">
        <v>1</v>
      </c>
      <c r="J164" s="272"/>
      <c r="K164" s="272"/>
      <c r="L164" s="272"/>
      <c r="M164" s="272"/>
      <c r="N164" s="272"/>
      <c r="O164" s="272">
        <v>1</v>
      </c>
    </row>
    <row r="165" spans="1:15" x14ac:dyDescent="0.25">
      <c r="A165" s="273" t="s">
        <v>1384</v>
      </c>
      <c r="B165" s="272"/>
      <c r="C165" s="272"/>
      <c r="D165" s="272"/>
      <c r="E165" s="272"/>
      <c r="F165" s="272"/>
      <c r="G165" s="272"/>
      <c r="H165" s="272"/>
      <c r="I165" s="272">
        <v>1</v>
      </c>
      <c r="J165" s="272"/>
      <c r="K165" s="272"/>
      <c r="L165" s="272"/>
      <c r="M165" s="272"/>
      <c r="N165" s="272"/>
      <c r="O165" s="272">
        <v>1</v>
      </c>
    </row>
    <row r="166" spans="1:15" x14ac:dyDescent="0.25">
      <c r="A166" s="273" t="s">
        <v>1383</v>
      </c>
      <c r="B166" s="272"/>
      <c r="C166" s="272"/>
      <c r="D166" s="272"/>
      <c r="E166" s="272"/>
      <c r="F166" s="272"/>
      <c r="G166" s="272"/>
      <c r="H166" s="272"/>
      <c r="I166" s="272">
        <v>1</v>
      </c>
      <c r="J166" s="272"/>
      <c r="K166" s="272"/>
      <c r="L166" s="272"/>
      <c r="M166" s="272"/>
      <c r="N166" s="272"/>
      <c r="O166" s="272">
        <v>1</v>
      </c>
    </row>
    <row r="167" spans="1:15" x14ac:dyDescent="0.25">
      <c r="A167" s="273" t="s">
        <v>1550</v>
      </c>
      <c r="B167" s="272"/>
      <c r="C167" s="272"/>
      <c r="D167" s="272"/>
      <c r="E167" s="272"/>
      <c r="F167" s="272"/>
      <c r="G167" s="272"/>
      <c r="H167" s="272"/>
      <c r="I167" s="272">
        <v>1</v>
      </c>
      <c r="J167" s="272"/>
      <c r="K167" s="272"/>
      <c r="L167" s="272"/>
      <c r="M167" s="272"/>
      <c r="N167" s="272"/>
      <c r="O167" s="272">
        <v>1</v>
      </c>
    </row>
    <row r="168" spans="1:15" x14ac:dyDescent="0.25">
      <c r="A168" s="273" t="s">
        <v>1558</v>
      </c>
      <c r="B168" s="272"/>
      <c r="C168" s="272"/>
      <c r="D168" s="272"/>
      <c r="E168" s="272"/>
      <c r="F168" s="272"/>
      <c r="G168" s="272"/>
      <c r="H168" s="272"/>
      <c r="I168" s="272">
        <v>1</v>
      </c>
      <c r="J168" s="272"/>
      <c r="K168" s="272"/>
      <c r="L168" s="272"/>
      <c r="M168" s="272"/>
      <c r="N168" s="272"/>
      <c r="O168" s="272">
        <v>1</v>
      </c>
    </row>
    <row r="169" spans="1:15" x14ac:dyDescent="0.25">
      <c r="A169" s="273" t="s">
        <v>1562</v>
      </c>
      <c r="B169" s="272"/>
      <c r="C169" s="272"/>
      <c r="D169" s="272"/>
      <c r="E169" s="272"/>
      <c r="F169" s="272"/>
      <c r="G169" s="272"/>
      <c r="H169" s="272"/>
      <c r="I169" s="272">
        <v>1</v>
      </c>
      <c r="J169" s="272"/>
      <c r="K169" s="272"/>
      <c r="L169" s="272"/>
      <c r="M169" s="272"/>
      <c r="N169" s="272"/>
      <c r="O169" s="272">
        <v>1</v>
      </c>
    </row>
    <row r="170" spans="1:15" x14ac:dyDescent="0.25">
      <c r="A170" s="273" t="s">
        <v>1560</v>
      </c>
      <c r="B170" s="272"/>
      <c r="C170" s="272"/>
      <c r="D170" s="272"/>
      <c r="E170" s="272"/>
      <c r="F170" s="272"/>
      <c r="G170" s="272"/>
      <c r="H170" s="272"/>
      <c r="I170" s="272">
        <v>1</v>
      </c>
      <c r="J170" s="272"/>
      <c r="K170" s="272"/>
      <c r="L170" s="272"/>
      <c r="M170" s="272"/>
      <c r="N170" s="272"/>
      <c r="O170" s="272">
        <v>1</v>
      </c>
    </row>
    <row r="171" spans="1:15" x14ac:dyDescent="0.25">
      <c r="A171" s="273" t="s">
        <v>1552</v>
      </c>
      <c r="B171" s="272"/>
      <c r="C171" s="272"/>
      <c r="D171" s="272"/>
      <c r="E171" s="272"/>
      <c r="F171" s="272"/>
      <c r="G171" s="272"/>
      <c r="H171" s="272"/>
      <c r="I171" s="272">
        <v>1</v>
      </c>
      <c r="J171" s="272"/>
      <c r="K171" s="272"/>
      <c r="L171" s="272"/>
      <c r="M171" s="272"/>
      <c r="N171" s="272"/>
      <c r="O171" s="272">
        <v>1</v>
      </c>
    </row>
    <row r="172" spans="1:15" x14ac:dyDescent="0.25">
      <c r="A172" s="273" t="s">
        <v>1554</v>
      </c>
      <c r="B172" s="272"/>
      <c r="C172" s="272"/>
      <c r="D172" s="272"/>
      <c r="E172" s="272"/>
      <c r="F172" s="272"/>
      <c r="G172" s="272"/>
      <c r="H172" s="272"/>
      <c r="I172" s="272">
        <v>1</v>
      </c>
      <c r="J172" s="272"/>
      <c r="K172" s="272"/>
      <c r="L172" s="272"/>
      <c r="M172" s="272"/>
      <c r="N172" s="272"/>
      <c r="O172" s="272">
        <v>1</v>
      </c>
    </row>
    <row r="173" spans="1:15" x14ac:dyDescent="0.25">
      <c r="A173" s="273" t="s">
        <v>1556</v>
      </c>
      <c r="B173" s="272"/>
      <c r="C173" s="272"/>
      <c r="D173" s="272"/>
      <c r="E173" s="272"/>
      <c r="F173" s="272"/>
      <c r="G173" s="272"/>
      <c r="H173" s="272"/>
      <c r="I173" s="272">
        <v>1</v>
      </c>
      <c r="J173" s="272"/>
      <c r="K173" s="272"/>
      <c r="L173" s="272"/>
      <c r="M173" s="272"/>
      <c r="N173" s="272"/>
      <c r="O173" s="272">
        <v>1</v>
      </c>
    </row>
    <row r="174" spans="1:15" x14ac:dyDescent="0.25">
      <c r="A174" s="273" t="s">
        <v>1426</v>
      </c>
      <c r="B174" s="272">
        <v>2</v>
      </c>
      <c r="C174" s="272"/>
      <c r="D174" s="272"/>
      <c r="E174" s="272"/>
      <c r="F174" s="272"/>
      <c r="G174" s="272"/>
      <c r="H174" s="272"/>
      <c r="I174" s="272"/>
      <c r="J174" s="272"/>
      <c r="K174" s="272"/>
      <c r="L174" s="272"/>
      <c r="M174" s="272"/>
      <c r="N174" s="272"/>
      <c r="O174" s="272">
        <v>2</v>
      </c>
    </row>
    <row r="175" spans="1:15" x14ac:dyDescent="0.25">
      <c r="A175" s="273" t="s">
        <v>1564</v>
      </c>
      <c r="B175" s="272"/>
      <c r="C175" s="272"/>
      <c r="D175" s="272"/>
      <c r="E175" s="272"/>
      <c r="F175" s="272"/>
      <c r="G175" s="272"/>
      <c r="H175" s="272"/>
      <c r="I175" s="272">
        <v>1</v>
      </c>
      <c r="J175" s="272"/>
      <c r="K175" s="272"/>
      <c r="L175" s="272"/>
      <c r="M175" s="272"/>
      <c r="N175" s="272"/>
      <c r="O175" s="272">
        <v>1</v>
      </c>
    </row>
    <row r="176" spans="1:15" x14ac:dyDescent="0.25">
      <c r="A176" s="273" t="s">
        <v>1588</v>
      </c>
      <c r="B176" s="272"/>
      <c r="C176" s="272"/>
      <c r="D176" s="272"/>
      <c r="E176" s="272"/>
      <c r="F176" s="272"/>
      <c r="G176" s="272"/>
      <c r="H176" s="272"/>
      <c r="I176" s="272">
        <v>1</v>
      </c>
      <c r="J176" s="272"/>
      <c r="K176" s="272"/>
      <c r="L176" s="272"/>
      <c r="M176" s="272"/>
      <c r="N176" s="272"/>
      <c r="O176" s="272">
        <v>1</v>
      </c>
    </row>
    <row r="177" spans="1:15" x14ac:dyDescent="0.25">
      <c r="A177" s="273" t="s">
        <v>1606</v>
      </c>
      <c r="B177" s="272"/>
      <c r="C177" s="272"/>
      <c r="D177" s="272"/>
      <c r="E177" s="272"/>
      <c r="F177" s="272">
        <v>1</v>
      </c>
      <c r="G177" s="272"/>
      <c r="H177" s="272"/>
      <c r="I177" s="272"/>
      <c r="J177" s="272"/>
      <c r="K177" s="272"/>
      <c r="L177" s="272"/>
      <c r="M177" s="272"/>
      <c r="N177" s="272"/>
      <c r="O177" s="272">
        <v>1</v>
      </c>
    </row>
    <row r="178" spans="1:15" x14ac:dyDescent="0.25">
      <c r="A178" s="273" t="s">
        <v>1604</v>
      </c>
      <c r="B178" s="272"/>
      <c r="C178" s="272"/>
      <c r="D178" s="272"/>
      <c r="E178" s="272"/>
      <c r="F178" s="272"/>
      <c r="G178" s="272"/>
      <c r="H178" s="272"/>
      <c r="I178" s="272">
        <v>1</v>
      </c>
      <c r="J178" s="272"/>
      <c r="K178" s="272"/>
      <c r="L178" s="272"/>
      <c r="M178" s="272"/>
      <c r="N178" s="272"/>
      <c r="O178" s="272">
        <v>1</v>
      </c>
    </row>
    <row r="179" spans="1:15" x14ac:dyDescent="0.25">
      <c r="A179" s="273" t="s">
        <v>1605</v>
      </c>
      <c r="B179" s="272"/>
      <c r="C179" s="272"/>
      <c r="D179" s="272"/>
      <c r="E179" s="272"/>
      <c r="F179" s="272"/>
      <c r="G179" s="272"/>
      <c r="H179" s="272"/>
      <c r="I179" s="272">
        <v>1</v>
      </c>
      <c r="J179" s="272"/>
      <c r="K179" s="272"/>
      <c r="L179" s="272"/>
      <c r="M179" s="272"/>
      <c r="N179" s="272"/>
      <c r="O179" s="272">
        <v>1</v>
      </c>
    </row>
    <row r="180" spans="1:15" x14ac:dyDescent="0.25">
      <c r="A180" s="273" t="s">
        <v>1598</v>
      </c>
      <c r="B180" s="272"/>
      <c r="C180" s="272"/>
      <c r="D180" s="272"/>
      <c r="E180" s="272"/>
      <c r="F180" s="272"/>
      <c r="G180" s="272"/>
      <c r="H180" s="272"/>
      <c r="I180" s="272">
        <v>1</v>
      </c>
      <c r="J180" s="272"/>
      <c r="K180" s="272"/>
      <c r="L180" s="272"/>
      <c r="M180" s="272"/>
      <c r="N180" s="272"/>
      <c r="O180" s="272">
        <v>1</v>
      </c>
    </row>
    <row r="181" spans="1:15" x14ac:dyDescent="0.25">
      <c r="A181" s="273" t="s">
        <v>1597</v>
      </c>
      <c r="B181" s="272"/>
      <c r="C181" s="272"/>
      <c r="D181" s="272"/>
      <c r="E181" s="272"/>
      <c r="F181" s="272"/>
      <c r="G181" s="272"/>
      <c r="H181" s="272"/>
      <c r="I181" s="272">
        <v>1</v>
      </c>
      <c r="J181" s="272"/>
      <c r="K181" s="272"/>
      <c r="L181" s="272"/>
      <c r="M181" s="272"/>
      <c r="N181" s="272"/>
      <c r="O181" s="272">
        <v>1</v>
      </c>
    </row>
    <row r="182" spans="1:15" x14ac:dyDescent="0.25">
      <c r="A182" s="273" t="s">
        <v>1551</v>
      </c>
      <c r="B182" s="272"/>
      <c r="C182" s="272"/>
      <c r="D182" s="272"/>
      <c r="E182" s="272"/>
      <c r="F182" s="272"/>
      <c r="G182" s="272"/>
      <c r="H182" s="272"/>
      <c r="I182" s="272">
        <v>1</v>
      </c>
      <c r="J182" s="272"/>
      <c r="K182" s="272"/>
      <c r="L182" s="272"/>
      <c r="M182" s="272"/>
      <c r="N182" s="272"/>
      <c r="O182" s="272">
        <v>1</v>
      </c>
    </row>
    <row r="183" spans="1:15" x14ac:dyDescent="0.25">
      <c r="A183" s="273" t="s">
        <v>1559</v>
      </c>
      <c r="B183" s="272"/>
      <c r="C183" s="272"/>
      <c r="D183" s="272"/>
      <c r="E183" s="272"/>
      <c r="F183" s="272"/>
      <c r="G183" s="272"/>
      <c r="H183" s="272"/>
      <c r="I183" s="272">
        <v>1</v>
      </c>
      <c r="J183" s="272"/>
      <c r="K183" s="272"/>
      <c r="L183" s="272"/>
      <c r="M183" s="272"/>
      <c r="N183" s="272"/>
      <c r="O183" s="272">
        <v>1</v>
      </c>
    </row>
    <row r="184" spans="1:15" x14ac:dyDescent="0.25">
      <c r="A184" s="273" t="s">
        <v>1563</v>
      </c>
      <c r="B184" s="272"/>
      <c r="C184" s="272"/>
      <c r="D184" s="272"/>
      <c r="E184" s="272"/>
      <c r="F184" s="272"/>
      <c r="G184" s="272"/>
      <c r="H184" s="272"/>
      <c r="I184" s="272">
        <v>1</v>
      </c>
      <c r="J184" s="272"/>
      <c r="K184" s="272"/>
      <c r="L184" s="272"/>
      <c r="M184" s="272"/>
      <c r="N184" s="272"/>
      <c r="O184" s="272">
        <v>1</v>
      </c>
    </row>
    <row r="185" spans="1:15" x14ac:dyDescent="0.25">
      <c r="A185" s="273" t="s">
        <v>1561</v>
      </c>
      <c r="B185" s="272"/>
      <c r="C185" s="272"/>
      <c r="D185" s="272"/>
      <c r="E185" s="272"/>
      <c r="F185" s="272"/>
      <c r="G185" s="272"/>
      <c r="H185" s="272"/>
      <c r="I185" s="272">
        <v>1</v>
      </c>
      <c r="J185" s="272"/>
      <c r="K185" s="272"/>
      <c r="L185" s="272"/>
      <c r="M185" s="272"/>
      <c r="N185" s="272"/>
      <c r="O185" s="272">
        <v>1</v>
      </c>
    </row>
    <row r="186" spans="1:15" x14ac:dyDescent="0.25">
      <c r="A186" s="273" t="s">
        <v>1553</v>
      </c>
      <c r="B186" s="272"/>
      <c r="C186" s="272"/>
      <c r="D186" s="272"/>
      <c r="E186" s="272"/>
      <c r="F186" s="272"/>
      <c r="G186" s="272"/>
      <c r="H186" s="272"/>
      <c r="I186" s="272">
        <v>1</v>
      </c>
      <c r="J186" s="272"/>
      <c r="K186" s="272"/>
      <c r="L186" s="272"/>
      <c r="M186" s="272"/>
      <c r="N186" s="272"/>
      <c r="O186" s="272">
        <v>1</v>
      </c>
    </row>
    <row r="187" spans="1:15" x14ac:dyDescent="0.25">
      <c r="A187" s="273" t="s">
        <v>1555</v>
      </c>
      <c r="B187" s="272"/>
      <c r="C187" s="272"/>
      <c r="D187" s="272"/>
      <c r="E187" s="272"/>
      <c r="F187" s="272"/>
      <c r="G187" s="272"/>
      <c r="H187" s="272"/>
      <c r="I187" s="272">
        <v>1</v>
      </c>
      <c r="J187" s="272"/>
      <c r="K187" s="272"/>
      <c r="L187" s="272"/>
      <c r="M187" s="272"/>
      <c r="N187" s="272"/>
      <c r="O187" s="272">
        <v>1</v>
      </c>
    </row>
    <row r="188" spans="1:15" x14ac:dyDescent="0.25">
      <c r="A188" s="273" t="s">
        <v>1557</v>
      </c>
      <c r="B188" s="272"/>
      <c r="C188" s="272"/>
      <c r="D188" s="272"/>
      <c r="E188" s="272"/>
      <c r="F188" s="272"/>
      <c r="G188" s="272"/>
      <c r="H188" s="272"/>
      <c r="I188" s="272">
        <v>1</v>
      </c>
      <c r="J188" s="272"/>
      <c r="K188" s="272"/>
      <c r="L188" s="272"/>
      <c r="M188" s="272"/>
      <c r="N188" s="272"/>
      <c r="O188" s="272">
        <v>1</v>
      </c>
    </row>
    <row r="189" spans="1:15" x14ac:dyDescent="0.25">
      <c r="A189" s="273" t="s">
        <v>1565</v>
      </c>
      <c r="B189" s="272"/>
      <c r="C189" s="272"/>
      <c r="D189" s="272"/>
      <c r="E189" s="272"/>
      <c r="F189" s="272"/>
      <c r="G189" s="272"/>
      <c r="H189" s="272"/>
      <c r="I189" s="272">
        <v>1</v>
      </c>
      <c r="J189" s="272"/>
      <c r="K189" s="272"/>
      <c r="L189" s="272"/>
      <c r="M189" s="272"/>
      <c r="N189" s="272"/>
      <c r="O189" s="272">
        <v>1</v>
      </c>
    </row>
    <row r="190" spans="1:15" x14ac:dyDescent="0.25">
      <c r="A190" s="273" t="s">
        <v>1435</v>
      </c>
      <c r="B190" s="272">
        <v>1</v>
      </c>
      <c r="C190" s="272"/>
      <c r="D190" s="272"/>
      <c r="E190" s="272"/>
      <c r="F190" s="272"/>
      <c r="G190" s="272"/>
      <c r="H190" s="272"/>
      <c r="I190" s="272"/>
      <c r="J190" s="272"/>
      <c r="K190" s="272"/>
      <c r="L190" s="272"/>
      <c r="M190" s="272"/>
      <c r="N190" s="272"/>
      <c r="O190" s="272">
        <v>1</v>
      </c>
    </row>
    <row r="191" spans="1:15" x14ac:dyDescent="0.25">
      <c r="A191" s="273" t="s">
        <v>1568</v>
      </c>
      <c r="B191" s="272">
        <v>1</v>
      </c>
      <c r="C191" s="272"/>
      <c r="D191" s="272"/>
      <c r="E191" s="272"/>
      <c r="F191" s="272"/>
      <c r="G191" s="272"/>
      <c r="H191" s="272"/>
      <c r="I191" s="272"/>
      <c r="J191" s="272"/>
      <c r="K191" s="272"/>
      <c r="L191" s="272"/>
      <c r="M191" s="272"/>
      <c r="N191" s="272"/>
      <c r="O191" s="272">
        <v>1</v>
      </c>
    </row>
    <row r="192" spans="1:15" x14ac:dyDescent="0.25">
      <c r="A192" s="273" t="s">
        <v>1567</v>
      </c>
      <c r="B192" s="272">
        <v>1</v>
      </c>
      <c r="C192" s="272"/>
      <c r="D192" s="272"/>
      <c r="E192" s="272"/>
      <c r="F192" s="272"/>
      <c r="G192" s="272"/>
      <c r="H192" s="272"/>
      <c r="I192" s="272"/>
      <c r="J192" s="272"/>
      <c r="K192" s="272"/>
      <c r="L192" s="272"/>
      <c r="M192" s="272"/>
      <c r="N192" s="272"/>
      <c r="O192" s="272">
        <v>1</v>
      </c>
    </row>
    <row r="193" spans="1:15" x14ac:dyDescent="0.25">
      <c r="A193" s="273" t="s">
        <v>1569</v>
      </c>
      <c r="B193" s="272">
        <v>1</v>
      </c>
      <c r="C193" s="272"/>
      <c r="D193" s="272"/>
      <c r="E193" s="272"/>
      <c r="F193" s="272"/>
      <c r="G193" s="272"/>
      <c r="H193" s="272"/>
      <c r="I193" s="272"/>
      <c r="J193" s="272"/>
      <c r="K193" s="272"/>
      <c r="L193" s="272"/>
      <c r="M193" s="272"/>
      <c r="N193" s="272"/>
      <c r="O193" s="272">
        <v>1</v>
      </c>
    </row>
    <row r="194" spans="1:15" x14ac:dyDescent="0.25">
      <c r="A194" s="273" t="s">
        <v>1570</v>
      </c>
      <c r="B194" s="272">
        <v>1</v>
      </c>
      <c r="C194" s="272"/>
      <c r="D194" s="272"/>
      <c r="E194" s="272"/>
      <c r="F194" s="272"/>
      <c r="G194" s="272"/>
      <c r="H194" s="272"/>
      <c r="I194" s="272"/>
      <c r="J194" s="272"/>
      <c r="K194" s="272"/>
      <c r="L194" s="272"/>
      <c r="M194" s="272"/>
      <c r="N194" s="272"/>
      <c r="O194" s="272">
        <v>1</v>
      </c>
    </row>
    <row r="195" spans="1:15" x14ac:dyDescent="0.25">
      <c r="A195" s="273" t="s">
        <v>1566</v>
      </c>
      <c r="B195" s="272">
        <v>1</v>
      </c>
      <c r="C195" s="272"/>
      <c r="D195" s="272"/>
      <c r="E195" s="272"/>
      <c r="F195" s="272"/>
      <c r="G195" s="272"/>
      <c r="H195" s="272"/>
      <c r="I195" s="272"/>
      <c r="J195" s="272"/>
      <c r="K195" s="272"/>
      <c r="L195" s="272"/>
      <c r="M195" s="272"/>
      <c r="N195" s="272"/>
      <c r="O195" s="272">
        <v>1</v>
      </c>
    </row>
    <row r="196" spans="1:15" x14ac:dyDescent="0.25">
      <c r="A196" s="271">
        <v>15</v>
      </c>
      <c r="B196" s="272">
        <v>9</v>
      </c>
      <c r="C196" s="272"/>
      <c r="D196" s="272"/>
      <c r="E196" s="272"/>
      <c r="F196" s="272"/>
      <c r="G196" s="272"/>
      <c r="H196" s="272"/>
      <c r="I196" s="272"/>
      <c r="J196" s="272"/>
      <c r="K196" s="272"/>
      <c r="L196" s="272"/>
      <c r="M196" s="272"/>
      <c r="N196" s="272"/>
      <c r="O196" s="272">
        <v>9</v>
      </c>
    </row>
    <row r="197" spans="1:15" x14ac:dyDescent="0.25">
      <c r="A197" s="273" t="s">
        <v>1643</v>
      </c>
      <c r="B197" s="272">
        <v>1</v>
      </c>
      <c r="C197" s="272"/>
      <c r="D197" s="272"/>
      <c r="E197" s="272"/>
      <c r="F197" s="272"/>
      <c r="G197" s="272"/>
      <c r="H197" s="272"/>
      <c r="I197" s="272"/>
      <c r="J197" s="272"/>
      <c r="K197" s="272"/>
      <c r="L197" s="272"/>
      <c r="M197" s="272"/>
      <c r="N197" s="272"/>
      <c r="O197" s="272">
        <v>1</v>
      </c>
    </row>
    <row r="198" spans="1:15" x14ac:dyDescent="0.25">
      <c r="A198" s="273" t="s">
        <v>1621</v>
      </c>
      <c r="B198" s="272">
        <v>1</v>
      </c>
      <c r="C198" s="272"/>
      <c r="D198" s="272"/>
      <c r="E198" s="272"/>
      <c r="F198" s="272"/>
      <c r="G198" s="272"/>
      <c r="H198" s="272"/>
      <c r="I198" s="272"/>
      <c r="J198" s="272"/>
      <c r="K198" s="272"/>
      <c r="L198" s="272"/>
      <c r="M198" s="272"/>
      <c r="N198" s="272"/>
      <c r="O198" s="272">
        <v>1</v>
      </c>
    </row>
    <row r="199" spans="1:15" x14ac:dyDescent="0.25">
      <c r="A199" s="273" t="s">
        <v>1650</v>
      </c>
      <c r="B199" s="272">
        <v>1</v>
      </c>
      <c r="C199" s="272"/>
      <c r="D199" s="272"/>
      <c r="E199" s="272"/>
      <c r="F199" s="272"/>
      <c r="G199" s="272"/>
      <c r="H199" s="272"/>
      <c r="I199" s="272"/>
      <c r="J199" s="272"/>
      <c r="K199" s="272"/>
      <c r="L199" s="272"/>
      <c r="M199" s="272"/>
      <c r="N199" s="272"/>
      <c r="O199" s="272">
        <v>1</v>
      </c>
    </row>
    <row r="200" spans="1:15" x14ac:dyDescent="0.25">
      <c r="A200" s="273" t="s">
        <v>1692</v>
      </c>
      <c r="B200" s="272">
        <v>1</v>
      </c>
      <c r="C200" s="272"/>
      <c r="D200" s="272"/>
      <c r="E200" s="272"/>
      <c r="F200" s="272"/>
      <c r="G200" s="272"/>
      <c r="H200" s="272"/>
      <c r="I200" s="272"/>
      <c r="J200" s="272"/>
      <c r="K200" s="272"/>
      <c r="L200" s="272"/>
      <c r="M200" s="272"/>
      <c r="N200" s="272"/>
      <c r="O200" s="272">
        <v>1</v>
      </c>
    </row>
    <row r="201" spans="1:15" x14ac:dyDescent="0.25">
      <c r="A201" s="273" t="s">
        <v>1686</v>
      </c>
      <c r="B201" s="272">
        <v>1</v>
      </c>
      <c r="C201" s="272"/>
      <c r="D201" s="272"/>
      <c r="E201" s="272"/>
      <c r="F201" s="272"/>
      <c r="G201" s="272"/>
      <c r="H201" s="272"/>
      <c r="I201" s="272"/>
      <c r="J201" s="272"/>
      <c r="K201" s="272"/>
      <c r="L201" s="272"/>
      <c r="M201" s="272"/>
      <c r="N201" s="272"/>
      <c r="O201" s="272">
        <v>1</v>
      </c>
    </row>
    <row r="202" spans="1:15" x14ac:dyDescent="0.25">
      <c r="A202" s="273" t="s">
        <v>1656</v>
      </c>
      <c r="B202" s="272">
        <v>1</v>
      </c>
      <c r="C202" s="272"/>
      <c r="D202" s="272"/>
      <c r="E202" s="272"/>
      <c r="F202" s="272"/>
      <c r="G202" s="272"/>
      <c r="H202" s="272"/>
      <c r="I202" s="272"/>
      <c r="J202" s="272"/>
      <c r="K202" s="272"/>
      <c r="L202" s="272"/>
      <c r="M202" s="272"/>
      <c r="N202" s="272"/>
      <c r="O202" s="272">
        <v>1</v>
      </c>
    </row>
    <row r="203" spans="1:15" x14ac:dyDescent="0.25">
      <c r="A203" s="273" t="s">
        <v>1681</v>
      </c>
      <c r="B203" s="272">
        <v>1</v>
      </c>
      <c r="C203" s="272"/>
      <c r="D203" s="272"/>
      <c r="E203" s="272"/>
      <c r="F203" s="272"/>
      <c r="G203" s="272"/>
      <c r="H203" s="272"/>
      <c r="I203" s="272"/>
      <c r="J203" s="272"/>
      <c r="K203" s="272"/>
      <c r="L203" s="272"/>
      <c r="M203" s="272"/>
      <c r="N203" s="272"/>
      <c r="O203" s="272">
        <v>1</v>
      </c>
    </row>
    <row r="204" spans="1:15" x14ac:dyDescent="0.25">
      <c r="A204" s="273" t="s">
        <v>1670</v>
      </c>
      <c r="B204" s="272">
        <v>1</v>
      </c>
      <c r="C204" s="272"/>
      <c r="D204" s="272"/>
      <c r="E204" s="272"/>
      <c r="F204" s="272"/>
      <c r="G204" s="272"/>
      <c r="H204" s="272"/>
      <c r="I204" s="272"/>
      <c r="J204" s="272"/>
      <c r="K204" s="272"/>
      <c r="L204" s="272"/>
      <c r="M204" s="272"/>
      <c r="N204" s="272"/>
      <c r="O204" s="272">
        <v>1</v>
      </c>
    </row>
    <row r="205" spans="1:15" x14ac:dyDescent="0.25">
      <c r="A205" s="273" t="s">
        <v>1676</v>
      </c>
      <c r="B205" s="272">
        <v>1</v>
      </c>
      <c r="C205" s="272"/>
      <c r="D205" s="272"/>
      <c r="E205" s="272"/>
      <c r="F205" s="272"/>
      <c r="G205" s="272"/>
      <c r="H205" s="272"/>
      <c r="I205" s="272"/>
      <c r="J205" s="272"/>
      <c r="K205" s="272"/>
      <c r="L205" s="272"/>
      <c r="M205" s="272"/>
      <c r="N205" s="272"/>
      <c r="O205" s="272">
        <v>1</v>
      </c>
    </row>
    <row r="206" spans="1:15" x14ac:dyDescent="0.25">
      <c r="A206" s="271">
        <v>16</v>
      </c>
      <c r="B206" s="272"/>
      <c r="C206" s="272"/>
      <c r="D206" s="272"/>
      <c r="E206" s="272"/>
      <c r="F206" s="272"/>
      <c r="G206" s="272"/>
      <c r="H206" s="272"/>
      <c r="I206" s="272">
        <v>8</v>
      </c>
      <c r="J206" s="272"/>
      <c r="K206" s="272"/>
      <c r="L206" s="272"/>
      <c r="M206" s="272"/>
      <c r="N206" s="272"/>
      <c r="O206" s="272">
        <v>8</v>
      </c>
    </row>
    <row r="207" spans="1:15" x14ac:dyDescent="0.25">
      <c r="A207" s="273" t="s">
        <v>1814</v>
      </c>
      <c r="B207" s="272"/>
      <c r="C207" s="272"/>
      <c r="D207" s="272"/>
      <c r="E207" s="272"/>
      <c r="F207" s="272"/>
      <c r="G207" s="272"/>
      <c r="H207" s="272"/>
      <c r="I207" s="272">
        <v>1</v>
      </c>
      <c r="J207" s="272"/>
      <c r="K207" s="272"/>
      <c r="L207" s="272"/>
      <c r="M207" s="272"/>
      <c r="N207" s="272"/>
      <c r="O207" s="272">
        <v>1</v>
      </c>
    </row>
    <row r="208" spans="1:15" x14ac:dyDescent="0.25">
      <c r="A208" s="273" t="s">
        <v>1785</v>
      </c>
      <c r="B208" s="272"/>
      <c r="C208" s="272"/>
      <c r="D208" s="272"/>
      <c r="E208" s="272"/>
      <c r="F208" s="272"/>
      <c r="G208" s="272"/>
      <c r="H208" s="272"/>
      <c r="I208" s="272">
        <v>1</v>
      </c>
      <c r="J208" s="272"/>
      <c r="K208" s="272"/>
      <c r="L208" s="272"/>
      <c r="M208" s="272"/>
      <c r="N208" s="272"/>
      <c r="O208" s="272">
        <v>1</v>
      </c>
    </row>
    <row r="209" spans="1:15" x14ac:dyDescent="0.25">
      <c r="A209" s="273" t="s">
        <v>1796</v>
      </c>
      <c r="B209" s="272"/>
      <c r="C209" s="272"/>
      <c r="D209" s="272"/>
      <c r="E209" s="272"/>
      <c r="F209" s="272"/>
      <c r="G209" s="272"/>
      <c r="H209" s="272"/>
      <c r="I209" s="272">
        <v>1</v>
      </c>
      <c r="J209" s="272"/>
      <c r="K209" s="272"/>
      <c r="L209" s="272"/>
      <c r="M209" s="272"/>
      <c r="N209" s="272"/>
      <c r="O209" s="272">
        <v>1</v>
      </c>
    </row>
    <row r="210" spans="1:15" x14ac:dyDescent="0.25">
      <c r="A210" s="273" t="s">
        <v>1829</v>
      </c>
      <c r="B210" s="272"/>
      <c r="C210" s="272"/>
      <c r="D210" s="272"/>
      <c r="E210" s="272"/>
      <c r="F210" s="272"/>
      <c r="G210" s="272"/>
      <c r="H210" s="272"/>
      <c r="I210" s="272">
        <v>1</v>
      </c>
      <c r="J210" s="272"/>
      <c r="K210" s="272"/>
      <c r="L210" s="272"/>
      <c r="M210" s="272"/>
      <c r="N210" s="272"/>
      <c r="O210" s="272">
        <v>1</v>
      </c>
    </row>
    <row r="211" spans="1:15" x14ac:dyDescent="0.25">
      <c r="A211" s="273" t="s">
        <v>1836</v>
      </c>
      <c r="B211" s="272"/>
      <c r="C211" s="272"/>
      <c r="D211" s="272"/>
      <c r="E211" s="272"/>
      <c r="F211" s="272"/>
      <c r="G211" s="272"/>
      <c r="H211" s="272"/>
      <c r="I211" s="272">
        <v>1</v>
      </c>
      <c r="J211" s="272"/>
      <c r="K211" s="272"/>
      <c r="L211" s="272"/>
      <c r="M211" s="272"/>
      <c r="N211" s="272"/>
      <c r="O211" s="272">
        <v>1</v>
      </c>
    </row>
    <row r="212" spans="1:15" x14ac:dyDescent="0.25">
      <c r="A212" s="273" t="s">
        <v>1821</v>
      </c>
      <c r="B212" s="272"/>
      <c r="C212" s="272"/>
      <c r="D212" s="272"/>
      <c r="E212" s="272"/>
      <c r="F212" s="272"/>
      <c r="G212" s="272"/>
      <c r="H212" s="272"/>
      <c r="I212" s="272">
        <v>1</v>
      </c>
      <c r="J212" s="272"/>
      <c r="K212" s="272"/>
      <c r="L212" s="272"/>
      <c r="M212" s="272"/>
      <c r="N212" s="272"/>
      <c r="O212" s="272">
        <v>1</v>
      </c>
    </row>
    <row r="213" spans="1:15" x14ac:dyDescent="0.25">
      <c r="A213" s="273" t="s">
        <v>1766</v>
      </c>
      <c r="B213" s="272"/>
      <c r="C213" s="272"/>
      <c r="D213" s="272"/>
      <c r="E213" s="272"/>
      <c r="F213" s="272"/>
      <c r="G213" s="272"/>
      <c r="H213" s="272"/>
      <c r="I213" s="272">
        <v>1</v>
      </c>
      <c r="J213" s="272"/>
      <c r="K213" s="272"/>
      <c r="L213" s="272"/>
      <c r="M213" s="272"/>
      <c r="N213" s="272"/>
      <c r="O213" s="272">
        <v>1</v>
      </c>
    </row>
    <row r="214" spans="1:15" x14ac:dyDescent="0.25">
      <c r="A214" s="273" t="s">
        <v>1805</v>
      </c>
      <c r="B214" s="272"/>
      <c r="C214" s="272"/>
      <c r="D214" s="272"/>
      <c r="E214" s="272"/>
      <c r="F214" s="272"/>
      <c r="G214" s="272"/>
      <c r="H214" s="272"/>
      <c r="I214" s="272">
        <v>1</v>
      </c>
      <c r="J214" s="272"/>
      <c r="K214" s="272"/>
      <c r="L214" s="272"/>
      <c r="M214" s="272"/>
      <c r="N214" s="272"/>
      <c r="O214" s="272">
        <v>1</v>
      </c>
    </row>
    <row r="215" spans="1:15" x14ac:dyDescent="0.25">
      <c r="A215" s="271">
        <v>17</v>
      </c>
      <c r="B215" s="272"/>
      <c r="C215" s="272"/>
      <c r="D215" s="272"/>
      <c r="E215" s="272"/>
      <c r="F215" s="272">
        <v>8</v>
      </c>
      <c r="G215" s="272"/>
      <c r="H215" s="272"/>
      <c r="I215" s="272"/>
      <c r="J215" s="272"/>
      <c r="K215" s="272"/>
      <c r="L215" s="272"/>
      <c r="M215" s="272"/>
      <c r="N215" s="272"/>
      <c r="O215" s="272">
        <v>8</v>
      </c>
    </row>
    <row r="216" spans="1:15" x14ac:dyDescent="0.25">
      <c r="A216" s="273" t="s">
        <v>1733</v>
      </c>
      <c r="B216" s="272"/>
      <c r="C216" s="272"/>
      <c r="D216" s="272"/>
      <c r="E216" s="272"/>
      <c r="F216" s="272">
        <v>2</v>
      </c>
      <c r="G216" s="272"/>
      <c r="H216" s="272"/>
      <c r="I216" s="272"/>
      <c r="J216" s="272"/>
      <c r="K216" s="272"/>
      <c r="L216" s="272"/>
      <c r="M216" s="272"/>
      <c r="N216" s="272"/>
      <c r="O216" s="272">
        <v>2</v>
      </c>
    </row>
    <row r="217" spans="1:15" x14ac:dyDescent="0.25">
      <c r="A217" s="273" t="s">
        <v>1741</v>
      </c>
      <c r="B217" s="272"/>
      <c r="C217" s="272"/>
      <c r="D217" s="272"/>
      <c r="E217" s="272"/>
      <c r="F217" s="272">
        <v>1</v>
      </c>
      <c r="G217" s="272"/>
      <c r="H217" s="272"/>
      <c r="I217" s="272"/>
      <c r="J217" s="272"/>
      <c r="K217" s="272"/>
      <c r="L217" s="272"/>
      <c r="M217" s="272"/>
      <c r="N217" s="272"/>
      <c r="O217" s="272">
        <v>1</v>
      </c>
    </row>
    <row r="218" spans="1:15" x14ac:dyDescent="0.25">
      <c r="A218" s="273" t="s">
        <v>1719</v>
      </c>
      <c r="B218" s="272"/>
      <c r="C218" s="272"/>
      <c r="D218" s="272"/>
      <c r="E218" s="272"/>
      <c r="F218" s="272">
        <v>1</v>
      </c>
      <c r="G218" s="272"/>
      <c r="H218" s="272"/>
      <c r="I218" s="272"/>
      <c r="J218" s="272"/>
      <c r="K218" s="272"/>
      <c r="L218" s="272"/>
      <c r="M218" s="272"/>
      <c r="N218" s="272"/>
      <c r="O218" s="272">
        <v>1</v>
      </c>
    </row>
    <row r="219" spans="1:15" x14ac:dyDescent="0.25">
      <c r="A219" s="273" t="s">
        <v>1749</v>
      </c>
      <c r="B219" s="272"/>
      <c r="C219" s="272"/>
      <c r="D219" s="272"/>
      <c r="E219" s="272"/>
      <c r="F219" s="272">
        <v>2</v>
      </c>
      <c r="G219" s="272"/>
      <c r="H219" s="272"/>
      <c r="I219" s="272"/>
      <c r="J219" s="272"/>
      <c r="K219" s="272"/>
      <c r="L219" s="272"/>
      <c r="M219" s="272"/>
      <c r="N219" s="272"/>
      <c r="O219" s="272">
        <v>2</v>
      </c>
    </row>
    <row r="220" spans="1:15" x14ac:dyDescent="0.25">
      <c r="A220" s="273" t="s">
        <v>1757</v>
      </c>
      <c r="B220" s="272"/>
      <c r="C220" s="272"/>
      <c r="D220" s="272"/>
      <c r="E220" s="272"/>
      <c r="F220" s="272">
        <v>1</v>
      </c>
      <c r="G220" s="272"/>
      <c r="H220" s="272"/>
      <c r="I220" s="272"/>
      <c r="J220" s="272"/>
      <c r="K220" s="272"/>
      <c r="L220" s="272"/>
      <c r="M220" s="272"/>
      <c r="N220" s="272"/>
      <c r="O220" s="272">
        <v>1</v>
      </c>
    </row>
    <row r="221" spans="1:15" x14ac:dyDescent="0.25">
      <c r="A221" s="273" t="s">
        <v>1700</v>
      </c>
      <c r="B221" s="272"/>
      <c r="C221" s="272"/>
      <c r="D221" s="272"/>
      <c r="E221" s="272"/>
      <c r="F221" s="272">
        <v>1</v>
      </c>
      <c r="G221" s="272"/>
      <c r="H221" s="272"/>
      <c r="I221" s="272"/>
      <c r="J221" s="272"/>
      <c r="K221" s="272"/>
      <c r="L221" s="272"/>
      <c r="M221" s="272"/>
      <c r="N221" s="272"/>
      <c r="O221" s="272">
        <v>1</v>
      </c>
    </row>
    <row r="222" spans="1:15" x14ac:dyDescent="0.25">
      <c r="A222" s="271">
        <v>18</v>
      </c>
      <c r="B222" s="272"/>
      <c r="C222" s="272"/>
      <c r="D222" s="272"/>
      <c r="E222" s="272"/>
      <c r="F222" s="272">
        <v>2</v>
      </c>
      <c r="G222" s="272"/>
      <c r="H222" s="272"/>
      <c r="I222" s="272">
        <v>7</v>
      </c>
      <c r="J222" s="272"/>
      <c r="K222" s="272"/>
      <c r="L222" s="272"/>
      <c r="M222" s="272"/>
      <c r="N222" s="272"/>
      <c r="O222" s="272">
        <v>9</v>
      </c>
    </row>
    <row r="223" spans="1:15" x14ac:dyDescent="0.25">
      <c r="A223" s="273" t="s">
        <v>2576</v>
      </c>
      <c r="B223" s="272"/>
      <c r="C223" s="272"/>
      <c r="D223" s="272"/>
      <c r="E223" s="272"/>
      <c r="F223" s="272">
        <v>1</v>
      </c>
      <c r="G223" s="272"/>
      <c r="H223" s="272"/>
      <c r="I223" s="272"/>
      <c r="J223" s="272"/>
      <c r="K223" s="272"/>
      <c r="L223" s="272"/>
      <c r="M223" s="272"/>
      <c r="N223" s="272"/>
      <c r="O223" s="272">
        <v>1</v>
      </c>
    </row>
    <row r="224" spans="1:15" x14ac:dyDescent="0.25">
      <c r="A224" s="273" t="s">
        <v>2613</v>
      </c>
      <c r="B224" s="272"/>
      <c r="C224" s="272"/>
      <c r="D224" s="272"/>
      <c r="E224" s="272"/>
      <c r="F224" s="272"/>
      <c r="G224" s="272"/>
      <c r="H224" s="272"/>
      <c r="I224" s="272">
        <v>1</v>
      </c>
      <c r="J224" s="272"/>
      <c r="K224" s="272"/>
      <c r="L224" s="272"/>
      <c r="M224" s="272"/>
      <c r="N224" s="272"/>
      <c r="O224" s="272">
        <v>1</v>
      </c>
    </row>
    <row r="225" spans="1:15" x14ac:dyDescent="0.25">
      <c r="A225" s="273" t="s">
        <v>2552</v>
      </c>
      <c r="B225" s="272"/>
      <c r="C225" s="272"/>
      <c r="D225" s="272"/>
      <c r="E225" s="272"/>
      <c r="F225" s="272"/>
      <c r="G225" s="272"/>
      <c r="H225" s="272"/>
      <c r="I225" s="272">
        <v>1</v>
      </c>
      <c r="J225" s="272"/>
      <c r="K225" s="272"/>
      <c r="L225" s="272"/>
      <c r="M225" s="272"/>
      <c r="N225" s="272"/>
      <c r="O225" s="272">
        <v>1</v>
      </c>
    </row>
    <row r="226" spans="1:15" x14ac:dyDescent="0.25">
      <c r="A226" s="273" t="s">
        <v>2569</v>
      </c>
      <c r="B226" s="272"/>
      <c r="C226" s="272"/>
      <c r="D226" s="272"/>
      <c r="E226" s="272"/>
      <c r="F226" s="272"/>
      <c r="G226" s="272"/>
      <c r="H226" s="272"/>
      <c r="I226" s="272">
        <v>1</v>
      </c>
      <c r="J226" s="272"/>
      <c r="K226" s="272"/>
      <c r="L226" s="272"/>
      <c r="M226" s="272"/>
      <c r="N226" s="272"/>
      <c r="O226" s="272">
        <v>1</v>
      </c>
    </row>
    <row r="227" spans="1:15" x14ac:dyDescent="0.25">
      <c r="A227" s="273" t="s">
        <v>2585</v>
      </c>
      <c r="B227" s="272"/>
      <c r="C227" s="272"/>
      <c r="D227" s="272"/>
      <c r="E227" s="272"/>
      <c r="F227" s="272"/>
      <c r="G227" s="272"/>
      <c r="H227" s="272"/>
      <c r="I227" s="272">
        <v>1</v>
      </c>
      <c r="J227" s="272"/>
      <c r="K227" s="272"/>
      <c r="L227" s="272"/>
      <c r="M227" s="272"/>
      <c r="N227" s="272"/>
      <c r="O227" s="272">
        <v>1</v>
      </c>
    </row>
    <row r="228" spans="1:15" x14ac:dyDescent="0.25">
      <c r="A228" s="273" t="s">
        <v>3555</v>
      </c>
      <c r="B228" s="272"/>
      <c r="C228" s="272"/>
      <c r="D228" s="272"/>
      <c r="E228" s="272"/>
      <c r="F228" s="272">
        <v>1</v>
      </c>
      <c r="G228" s="272"/>
      <c r="H228" s="272"/>
      <c r="I228" s="272"/>
      <c r="J228" s="272"/>
      <c r="K228" s="272"/>
      <c r="L228" s="272"/>
      <c r="M228" s="272"/>
      <c r="N228" s="272"/>
      <c r="O228" s="272">
        <v>1</v>
      </c>
    </row>
    <row r="229" spans="1:15" x14ac:dyDescent="0.25">
      <c r="A229" s="273" t="s">
        <v>2532</v>
      </c>
      <c r="B229" s="272"/>
      <c r="C229" s="272"/>
      <c r="D229" s="272"/>
      <c r="E229" s="272"/>
      <c r="F229" s="272"/>
      <c r="G229" s="272"/>
      <c r="H229" s="272"/>
      <c r="I229" s="272">
        <v>1</v>
      </c>
      <c r="J229" s="272"/>
      <c r="K229" s="272"/>
      <c r="L229" s="272"/>
      <c r="M229" s="272"/>
      <c r="N229" s="272"/>
      <c r="O229" s="272">
        <v>1</v>
      </c>
    </row>
    <row r="230" spans="1:15" x14ac:dyDescent="0.25">
      <c r="A230" s="273" t="s">
        <v>3550</v>
      </c>
      <c r="B230" s="272"/>
      <c r="C230" s="272"/>
      <c r="D230" s="272"/>
      <c r="E230" s="272"/>
      <c r="F230" s="272"/>
      <c r="G230" s="272"/>
      <c r="H230" s="272"/>
      <c r="I230" s="272">
        <v>1</v>
      </c>
      <c r="J230" s="272"/>
      <c r="K230" s="272"/>
      <c r="L230" s="272"/>
      <c r="M230" s="272"/>
      <c r="N230" s="272"/>
      <c r="O230" s="272">
        <v>1</v>
      </c>
    </row>
    <row r="231" spans="1:15" x14ac:dyDescent="0.25">
      <c r="A231" s="273" t="s">
        <v>2595</v>
      </c>
      <c r="B231" s="272"/>
      <c r="C231" s="272"/>
      <c r="D231" s="272"/>
      <c r="E231" s="272"/>
      <c r="F231" s="272"/>
      <c r="G231" s="272"/>
      <c r="H231" s="272"/>
      <c r="I231" s="272">
        <v>1</v>
      </c>
      <c r="J231" s="272"/>
      <c r="K231" s="272"/>
      <c r="L231" s="272"/>
      <c r="M231" s="272"/>
      <c r="N231" s="272"/>
      <c r="O231" s="272">
        <v>1</v>
      </c>
    </row>
    <row r="232" spans="1:15" x14ac:dyDescent="0.25">
      <c r="A232" s="271">
        <v>19</v>
      </c>
      <c r="B232" s="272"/>
      <c r="C232" s="272">
        <v>2</v>
      </c>
      <c r="D232" s="272"/>
      <c r="E232" s="272"/>
      <c r="F232" s="272"/>
      <c r="G232" s="272">
        <v>8</v>
      </c>
      <c r="H232" s="272">
        <v>4</v>
      </c>
      <c r="I232" s="272">
        <v>20</v>
      </c>
      <c r="J232" s="272"/>
      <c r="K232" s="272"/>
      <c r="L232" s="272"/>
      <c r="M232" s="272">
        <v>1</v>
      </c>
      <c r="N232" s="272"/>
      <c r="O232" s="272">
        <v>35</v>
      </c>
    </row>
    <row r="233" spans="1:15" x14ac:dyDescent="0.25">
      <c r="A233" s="273" t="s">
        <v>3916</v>
      </c>
      <c r="B233" s="272"/>
      <c r="C233" s="272">
        <v>1</v>
      </c>
      <c r="D233" s="272"/>
      <c r="E233" s="272"/>
      <c r="F233" s="272"/>
      <c r="G233" s="272"/>
      <c r="H233" s="272"/>
      <c r="I233" s="272"/>
      <c r="J233" s="272"/>
      <c r="K233" s="272"/>
      <c r="L233" s="272"/>
      <c r="M233" s="272"/>
      <c r="N233" s="272"/>
      <c r="O233" s="272">
        <v>1</v>
      </c>
    </row>
    <row r="234" spans="1:15" x14ac:dyDescent="0.25">
      <c r="A234" s="273" t="s">
        <v>4023</v>
      </c>
      <c r="B234" s="272"/>
      <c r="C234" s="272"/>
      <c r="D234" s="272"/>
      <c r="E234" s="272"/>
      <c r="F234" s="272"/>
      <c r="G234" s="272"/>
      <c r="H234" s="272">
        <v>1</v>
      </c>
      <c r="I234" s="272"/>
      <c r="J234" s="272"/>
      <c r="K234" s="272"/>
      <c r="L234" s="272"/>
      <c r="M234" s="272"/>
      <c r="N234" s="272"/>
      <c r="O234" s="272">
        <v>1</v>
      </c>
    </row>
    <row r="235" spans="1:15" x14ac:dyDescent="0.25">
      <c r="A235" s="273" t="s">
        <v>4001</v>
      </c>
      <c r="B235" s="272"/>
      <c r="C235" s="272"/>
      <c r="D235" s="272"/>
      <c r="E235" s="272"/>
      <c r="F235" s="272"/>
      <c r="G235" s="272"/>
      <c r="H235" s="272">
        <v>1</v>
      </c>
      <c r="I235" s="272"/>
      <c r="J235" s="272"/>
      <c r="K235" s="272"/>
      <c r="L235" s="272"/>
      <c r="M235" s="272"/>
      <c r="N235" s="272"/>
      <c r="O235" s="272">
        <v>1</v>
      </c>
    </row>
    <row r="236" spans="1:15" x14ac:dyDescent="0.25">
      <c r="A236" s="273" t="s">
        <v>4011</v>
      </c>
      <c r="B236" s="272"/>
      <c r="C236" s="272"/>
      <c r="D236" s="272"/>
      <c r="E236" s="272"/>
      <c r="F236" s="272"/>
      <c r="G236" s="272"/>
      <c r="H236" s="272">
        <v>1</v>
      </c>
      <c r="I236" s="272"/>
      <c r="J236" s="272"/>
      <c r="K236" s="272"/>
      <c r="L236" s="272"/>
      <c r="M236" s="272"/>
      <c r="N236" s="272"/>
      <c r="O236" s="272">
        <v>1</v>
      </c>
    </row>
    <row r="237" spans="1:15" x14ac:dyDescent="0.25">
      <c r="A237" s="273" t="s">
        <v>4017</v>
      </c>
      <c r="B237" s="272"/>
      <c r="C237" s="272"/>
      <c r="D237" s="272"/>
      <c r="E237" s="272"/>
      <c r="F237" s="272"/>
      <c r="G237" s="272"/>
      <c r="H237" s="272">
        <v>1</v>
      </c>
      <c r="I237" s="272"/>
      <c r="J237" s="272"/>
      <c r="K237" s="272"/>
      <c r="L237" s="272"/>
      <c r="M237" s="272"/>
      <c r="N237" s="272"/>
      <c r="O237" s="272">
        <v>1</v>
      </c>
    </row>
    <row r="238" spans="1:15" x14ac:dyDescent="0.25">
      <c r="A238" s="273" t="s">
        <v>4058</v>
      </c>
      <c r="B238" s="272"/>
      <c r="C238" s="272"/>
      <c r="D238" s="272"/>
      <c r="E238" s="272"/>
      <c r="F238" s="272"/>
      <c r="G238" s="272"/>
      <c r="H238" s="272"/>
      <c r="I238" s="272">
        <v>1</v>
      </c>
      <c r="J238" s="272"/>
      <c r="K238" s="272"/>
      <c r="L238" s="272"/>
      <c r="M238" s="272"/>
      <c r="N238" s="272"/>
      <c r="O238" s="272">
        <v>1</v>
      </c>
    </row>
    <row r="239" spans="1:15" x14ac:dyDescent="0.25">
      <c r="A239" s="273" t="s">
        <v>4038</v>
      </c>
      <c r="B239" s="272"/>
      <c r="C239" s="272"/>
      <c r="D239" s="272"/>
      <c r="E239" s="272"/>
      <c r="F239" s="272"/>
      <c r="G239" s="272">
        <v>1</v>
      </c>
      <c r="H239" s="272"/>
      <c r="I239" s="272"/>
      <c r="J239" s="272"/>
      <c r="K239" s="272"/>
      <c r="L239" s="272"/>
      <c r="M239" s="272"/>
      <c r="N239" s="272"/>
      <c r="O239" s="272">
        <v>1</v>
      </c>
    </row>
    <row r="240" spans="1:15" x14ac:dyDescent="0.25">
      <c r="A240" s="273" t="s">
        <v>4241</v>
      </c>
      <c r="B240" s="272"/>
      <c r="C240" s="272"/>
      <c r="D240" s="272"/>
      <c r="E240" s="272"/>
      <c r="F240" s="272"/>
      <c r="G240" s="272">
        <v>1</v>
      </c>
      <c r="H240" s="272"/>
      <c r="I240" s="272"/>
      <c r="J240" s="272"/>
      <c r="K240" s="272"/>
      <c r="L240" s="272"/>
      <c r="M240" s="272"/>
      <c r="N240" s="272"/>
      <c r="O240" s="272">
        <v>1</v>
      </c>
    </row>
    <row r="241" spans="1:15" x14ac:dyDescent="0.25">
      <c r="A241" s="273" t="s">
        <v>4254</v>
      </c>
      <c r="B241" s="272"/>
      <c r="C241" s="272"/>
      <c r="D241" s="272"/>
      <c r="E241" s="272"/>
      <c r="F241" s="272"/>
      <c r="G241" s="272">
        <v>1</v>
      </c>
      <c r="H241" s="272"/>
      <c r="I241" s="272"/>
      <c r="J241" s="272"/>
      <c r="K241" s="272"/>
      <c r="L241" s="272"/>
      <c r="M241" s="272"/>
      <c r="N241" s="272"/>
      <c r="O241" s="272">
        <v>1</v>
      </c>
    </row>
    <row r="242" spans="1:15" x14ac:dyDescent="0.25">
      <c r="A242" s="273" t="s">
        <v>4262</v>
      </c>
      <c r="B242" s="272"/>
      <c r="C242" s="272"/>
      <c r="D242" s="272"/>
      <c r="E242" s="272"/>
      <c r="F242" s="272"/>
      <c r="G242" s="272">
        <v>1</v>
      </c>
      <c r="H242" s="272"/>
      <c r="I242" s="272"/>
      <c r="J242" s="272"/>
      <c r="K242" s="272"/>
      <c r="L242" s="272"/>
      <c r="M242" s="272"/>
      <c r="N242" s="272"/>
      <c r="O242" s="272">
        <v>1</v>
      </c>
    </row>
    <row r="243" spans="1:15" x14ac:dyDescent="0.25">
      <c r="A243" s="273" t="s">
        <v>3976</v>
      </c>
      <c r="B243" s="272"/>
      <c r="C243" s="272"/>
      <c r="D243" s="272"/>
      <c r="E243" s="272"/>
      <c r="F243" s="272"/>
      <c r="G243" s="272">
        <v>1</v>
      </c>
      <c r="H243" s="272"/>
      <c r="I243" s="272"/>
      <c r="J243" s="272"/>
      <c r="K243" s="272"/>
      <c r="L243" s="272"/>
      <c r="M243" s="272"/>
      <c r="N243" s="272"/>
      <c r="O243" s="272">
        <v>1</v>
      </c>
    </row>
    <row r="244" spans="1:15" x14ac:dyDescent="0.25">
      <c r="A244" s="273" t="s">
        <v>4229</v>
      </c>
      <c r="B244" s="272"/>
      <c r="C244" s="272"/>
      <c r="D244" s="272"/>
      <c r="E244" s="272"/>
      <c r="F244" s="272"/>
      <c r="G244" s="272">
        <v>1</v>
      </c>
      <c r="H244" s="272"/>
      <c r="I244" s="272"/>
      <c r="J244" s="272"/>
      <c r="K244" s="272"/>
      <c r="L244" s="272"/>
      <c r="M244" s="272"/>
      <c r="N244" s="272"/>
      <c r="O244" s="272">
        <v>1</v>
      </c>
    </row>
    <row r="245" spans="1:15" x14ac:dyDescent="0.25">
      <c r="A245" s="273" t="s">
        <v>4215</v>
      </c>
      <c r="B245" s="272"/>
      <c r="C245" s="272"/>
      <c r="D245" s="272"/>
      <c r="E245" s="272"/>
      <c r="F245" s="272"/>
      <c r="G245" s="272">
        <v>1</v>
      </c>
      <c r="H245" s="272"/>
      <c r="I245" s="272"/>
      <c r="J245" s="272"/>
      <c r="K245" s="272"/>
      <c r="L245" s="272"/>
      <c r="M245" s="272"/>
      <c r="N245" s="272"/>
      <c r="O245" s="272">
        <v>1</v>
      </c>
    </row>
    <row r="246" spans="1:15" x14ac:dyDescent="0.25">
      <c r="A246" s="273" t="s">
        <v>4204</v>
      </c>
      <c r="B246" s="272"/>
      <c r="C246" s="272"/>
      <c r="D246" s="272"/>
      <c r="E246" s="272"/>
      <c r="F246" s="272"/>
      <c r="G246" s="272"/>
      <c r="H246" s="272"/>
      <c r="I246" s="272">
        <v>1</v>
      </c>
      <c r="J246" s="272"/>
      <c r="K246" s="272"/>
      <c r="L246" s="272"/>
      <c r="M246" s="272"/>
      <c r="N246" s="272"/>
      <c r="O246" s="272">
        <v>1</v>
      </c>
    </row>
    <row r="247" spans="1:15" x14ac:dyDescent="0.25">
      <c r="A247" s="273" t="s">
        <v>4209</v>
      </c>
      <c r="B247" s="272"/>
      <c r="C247" s="272"/>
      <c r="D247" s="272"/>
      <c r="E247" s="272"/>
      <c r="F247" s="272"/>
      <c r="G247" s="272"/>
      <c r="H247" s="272"/>
      <c r="I247" s="272">
        <v>1</v>
      </c>
      <c r="J247" s="272"/>
      <c r="K247" s="272"/>
      <c r="L247" s="272"/>
      <c r="M247" s="272"/>
      <c r="N247" s="272"/>
      <c r="O247" s="272">
        <v>1</v>
      </c>
    </row>
    <row r="248" spans="1:15" x14ac:dyDescent="0.25">
      <c r="A248" s="273" t="s">
        <v>4176</v>
      </c>
      <c r="B248" s="272"/>
      <c r="C248" s="272"/>
      <c r="D248" s="272"/>
      <c r="E248" s="272"/>
      <c r="F248" s="272"/>
      <c r="G248" s="272"/>
      <c r="H248" s="272"/>
      <c r="I248" s="272">
        <v>1</v>
      </c>
      <c r="J248" s="272"/>
      <c r="K248" s="272"/>
      <c r="L248" s="272"/>
      <c r="M248" s="272"/>
      <c r="N248" s="272"/>
      <c r="O248" s="272">
        <v>1</v>
      </c>
    </row>
    <row r="249" spans="1:15" x14ac:dyDescent="0.25">
      <c r="A249" s="273" t="s">
        <v>4189</v>
      </c>
      <c r="B249" s="272"/>
      <c r="C249" s="272"/>
      <c r="D249" s="272"/>
      <c r="E249" s="272"/>
      <c r="F249" s="272"/>
      <c r="G249" s="272"/>
      <c r="H249" s="272"/>
      <c r="I249" s="272">
        <v>1</v>
      </c>
      <c r="J249" s="272"/>
      <c r="K249" s="272"/>
      <c r="L249" s="272"/>
      <c r="M249" s="272"/>
      <c r="N249" s="272"/>
      <c r="O249" s="272">
        <v>1</v>
      </c>
    </row>
    <row r="250" spans="1:15" x14ac:dyDescent="0.25">
      <c r="A250" s="273" t="s">
        <v>4183</v>
      </c>
      <c r="B250" s="272"/>
      <c r="C250" s="272"/>
      <c r="D250" s="272"/>
      <c r="E250" s="272"/>
      <c r="F250" s="272"/>
      <c r="G250" s="272"/>
      <c r="H250" s="272"/>
      <c r="I250" s="272">
        <v>1</v>
      </c>
      <c r="J250" s="272"/>
      <c r="K250" s="272"/>
      <c r="L250" s="272"/>
      <c r="M250" s="272"/>
      <c r="N250" s="272"/>
      <c r="O250" s="272">
        <v>1</v>
      </c>
    </row>
    <row r="251" spans="1:15" x14ac:dyDescent="0.25">
      <c r="A251" s="273" t="s">
        <v>4194</v>
      </c>
      <c r="B251" s="272"/>
      <c r="C251" s="272"/>
      <c r="D251" s="272"/>
      <c r="E251" s="272"/>
      <c r="F251" s="272"/>
      <c r="G251" s="272"/>
      <c r="H251" s="272"/>
      <c r="I251" s="272">
        <v>1</v>
      </c>
      <c r="J251" s="272"/>
      <c r="K251" s="272"/>
      <c r="L251" s="272"/>
      <c r="M251" s="272"/>
      <c r="N251" s="272"/>
      <c r="O251" s="272">
        <v>1</v>
      </c>
    </row>
    <row r="252" spans="1:15" x14ac:dyDescent="0.25">
      <c r="A252" s="273" t="s">
        <v>4199</v>
      </c>
      <c r="B252" s="272"/>
      <c r="C252" s="272"/>
      <c r="D252" s="272"/>
      <c r="E252" s="272"/>
      <c r="F252" s="272"/>
      <c r="G252" s="272"/>
      <c r="H252" s="272"/>
      <c r="I252" s="272">
        <v>1</v>
      </c>
      <c r="J252" s="272"/>
      <c r="K252" s="272"/>
      <c r="L252" s="272"/>
      <c r="M252" s="272"/>
      <c r="N252" s="272"/>
      <c r="O252" s="272">
        <v>1</v>
      </c>
    </row>
    <row r="253" spans="1:15" x14ac:dyDescent="0.25">
      <c r="A253" s="273" t="s">
        <v>4151</v>
      </c>
      <c r="B253" s="272"/>
      <c r="C253" s="272"/>
      <c r="D253" s="272"/>
      <c r="E253" s="272"/>
      <c r="F253" s="272"/>
      <c r="G253" s="272"/>
      <c r="H253" s="272"/>
      <c r="I253" s="272">
        <v>1</v>
      </c>
      <c r="J253" s="272"/>
      <c r="K253" s="272"/>
      <c r="L253" s="272"/>
      <c r="M253" s="272"/>
      <c r="N253" s="272"/>
      <c r="O253" s="272">
        <v>1</v>
      </c>
    </row>
    <row r="254" spans="1:15" x14ac:dyDescent="0.25">
      <c r="A254" s="273" t="s">
        <v>4146</v>
      </c>
      <c r="B254" s="272"/>
      <c r="C254" s="272"/>
      <c r="D254" s="272"/>
      <c r="E254" s="272"/>
      <c r="F254" s="272"/>
      <c r="G254" s="272"/>
      <c r="H254" s="272"/>
      <c r="I254" s="272">
        <v>1</v>
      </c>
      <c r="J254" s="272"/>
      <c r="K254" s="272"/>
      <c r="L254" s="272"/>
      <c r="M254" s="272"/>
      <c r="N254" s="272"/>
      <c r="O254" s="272">
        <v>1</v>
      </c>
    </row>
    <row r="255" spans="1:15" x14ac:dyDescent="0.25">
      <c r="A255" s="273" t="s">
        <v>4156</v>
      </c>
      <c r="B255" s="272"/>
      <c r="C255" s="272"/>
      <c r="D255" s="272"/>
      <c r="E255" s="272"/>
      <c r="F255" s="272"/>
      <c r="G255" s="272"/>
      <c r="H255" s="272"/>
      <c r="I255" s="272">
        <v>1</v>
      </c>
      <c r="J255" s="272"/>
      <c r="K255" s="272"/>
      <c r="L255" s="272"/>
      <c r="M255" s="272"/>
      <c r="N255" s="272"/>
      <c r="O255" s="272">
        <v>1</v>
      </c>
    </row>
    <row r="256" spans="1:15" x14ac:dyDescent="0.25">
      <c r="A256" s="273" t="s">
        <v>4166</v>
      </c>
      <c r="B256" s="272"/>
      <c r="C256" s="272"/>
      <c r="D256" s="272"/>
      <c r="E256" s="272"/>
      <c r="F256" s="272"/>
      <c r="G256" s="272"/>
      <c r="H256" s="272"/>
      <c r="I256" s="272">
        <v>1</v>
      </c>
      <c r="J256" s="272"/>
      <c r="K256" s="272"/>
      <c r="L256" s="272"/>
      <c r="M256" s="272"/>
      <c r="N256" s="272"/>
      <c r="O256" s="272">
        <v>1</v>
      </c>
    </row>
    <row r="257" spans="1:15" x14ac:dyDescent="0.25">
      <c r="A257" s="273" t="s">
        <v>4141</v>
      </c>
      <c r="B257" s="272"/>
      <c r="C257" s="272"/>
      <c r="D257" s="272"/>
      <c r="E257" s="272"/>
      <c r="F257" s="272"/>
      <c r="G257" s="272"/>
      <c r="H257" s="272"/>
      <c r="I257" s="272">
        <v>1</v>
      </c>
      <c r="J257" s="272"/>
      <c r="K257" s="272"/>
      <c r="L257" s="272"/>
      <c r="M257" s="272"/>
      <c r="N257" s="272"/>
      <c r="O257" s="272">
        <v>1</v>
      </c>
    </row>
    <row r="258" spans="1:15" x14ac:dyDescent="0.25">
      <c r="A258" s="273" t="s">
        <v>4171</v>
      </c>
      <c r="B258" s="272"/>
      <c r="C258" s="272"/>
      <c r="D258" s="272"/>
      <c r="E258" s="272"/>
      <c r="F258" s="272"/>
      <c r="G258" s="272"/>
      <c r="H258" s="272"/>
      <c r="I258" s="272">
        <v>1</v>
      </c>
      <c r="J258" s="272"/>
      <c r="K258" s="272"/>
      <c r="L258" s="272"/>
      <c r="M258" s="272"/>
      <c r="N258" s="272"/>
      <c r="O258" s="272">
        <v>1</v>
      </c>
    </row>
    <row r="259" spans="1:15" x14ac:dyDescent="0.25">
      <c r="A259" s="273" t="s">
        <v>4161</v>
      </c>
      <c r="B259" s="272"/>
      <c r="C259" s="272"/>
      <c r="D259" s="272"/>
      <c r="E259" s="272"/>
      <c r="F259" s="272"/>
      <c r="G259" s="272"/>
      <c r="H259" s="272"/>
      <c r="I259" s="272">
        <v>1</v>
      </c>
      <c r="J259" s="272"/>
      <c r="K259" s="272"/>
      <c r="L259" s="272"/>
      <c r="M259" s="272"/>
      <c r="N259" s="272"/>
      <c r="O259" s="272">
        <v>1</v>
      </c>
    </row>
    <row r="260" spans="1:15" x14ac:dyDescent="0.25">
      <c r="A260" s="273" t="s">
        <v>4114</v>
      </c>
      <c r="B260" s="272"/>
      <c r="C260" s="272"/>
      <c r="D260" s="272"/>
      <c r="E260" s="272"/>
      <c r="F260" s="272"/>
      <c r="G260" s="272"/>
      <c r="H260" s="272"/>
      <c r="I260" s="272">
        <v>1</v>
      </c>
      <c r="J260" s="272"/>
      <c r="K260" s="272"/>
      <c r="L260" s="272"/>
      <c r="M260" s="272"/>
      <c r="N260" s="272"/>
      <c r="O260" s="272">
        <v>1</v>
      </c>
    </row>
    <row r="261" spans="1:15" x14ac:dyDescent="0.25">
      <c r="A261" s="273" t="s">
        <v>4121</v>
      </c>
      <c r="B261" s="272"/>
      <c r="C261" s="272"/>
      <c r="D261" s="272"/>
      <c r="E261" s="272"/>
      <c r="F261" s="272"/>
      <c r="G261" s="272"/>
      <c r="H261" s="272"/>
      <c r="I261" s="272">
        <v>1</v>
      </c>
      <c r="J261" s="272"/>
      <c r="K261" s="272"/>
      <c r="L261" s="272"/>
      <c r="M261" s="272"/>
      <c r="N261" s="272"/>
      <c r="O261" s="272">
        <v>1</v>
      </c>
    </row>
    <row r="262" spans="1:15" x14ac:dyDescent="0.25">
      <c r="A262" s="273" t="s">
        <v>4129</v>
      </c>
      <c r="B262" s="272"/>
      <c r="C262" s="272"/>
      <c r="D262" s="272"/>
      <c r="E262" s="272"/>
      <c r="F262" s="272"/>
      <c r="G262" s="272"/>
      <c r="H262" s="272"/>
      <c r="I262" s="272">
        <v>1</v>
      </c>
      <c r="J262" s="272"/>
      <c r="K262" s="272"/>
      <c r="L262" s="272"/>
      <c r="M262" s="272"/>
      <c r="N262" s="272"/>
      <c r="O262" s="272">
        <v>1</v>
      </c>
    </row>
    <row r="263" spans="1:15" x14ac:dyDescent="0.25">
      <c r="A263" s="273" t="s">
        <v>4136</v>
      </c>
      <c r="B263" s="272"/>
      <c r="C263" s="272"/>
      <c r="D263" s="272"/>
      <c r="E263" s="272"/>
      <c r="F263" s="272"/>
      <c r="G263" s="272"/>
      <c r="H263" s="272"/>
      <c r="I263" s="272">
        <v>1</v>
      </c>
      <c r="J263" s="272"/>
      <c r="K263" s="272"/>
      <c r="L263" s="272"/>
      <c r="M263" s="272"/>
      <c r="N263" s="272"/>
      <c r="O263" s="272">
        <v>1</v>
      </c>
    </row>
    <row r="264" spans="1:15" x14ac:dyDescent="0.25">
      <c r="A264" s="273" t="s">
        <v>4101</v>
      </c>
      <c r="B264" s="272"/>
      <c r="C264" s="272"/>
      <c r="D264" s="272"/>
      <c r="E264" s="272"/>
      <c r="F264" s="272"/>
      <c r="G264" s="272"/>
      <c r="H264" s="272"/>
      <c r="I264" s="272">
        <v>1</v>
      </c>
      <c r="J264" s="272"/>
      <c r="K264" s="272"/>
      <c r="L264" s="272"/>
      <c r="M264" s="272"/>
      <c r="N264" s="272"/>
      <c r="O264" s="272">
        <v>1</v>
      </c>
    </row>
    <row r="265" spans="1:15" x14ac:dyDescent="0.25">
      <c r="A265" s="273" t="s">
        <v>4079</v>
      </c>
      <c r="B265" s="272"/>
      <c r="C265" s="272"/>
      <c r="D265" s="272"/>
      <c r="E265" s="272"/>
      <c r="F265" s="272"/>
      <c r="G265" s="272">
        <v>1</v>
      </c>
      <c r="H265" s="272"/>
      <c r="I265" s="272"/>
      <c r="J265" s="272"/>
      <c r="K265" s="272"/>
      <c r="L265" s="272"/>
      <c r="M265" s="272"/>
      <c r="N265" s="272"/>
      <c r="O265" s="272">
        <v>1</v>
      </c>
    </row>
    <row r="266" spans="1:15" x14ac:dyDescent="0.25">
      <c r="A266" s="273" t="s">
        <v>3935</v>
      </c>
      <c r="B266" s="272"/>
      <c r="C266" s="272">
        <v>1</v>
      </c>
      <c r="D266" s="272"/>
      <c r="E266" s="272"/>
      <c r="F266" s="272"/>
      <c r="G266" s="272"/>
      <c r="H266" s="272"/>
      <c r="I266" s="272"/>
      <c r="J266" s="272"/>
      <c r="K266" s="272"/>
      <c r="L266" s="272"/>
      <c r="M266" s="272"/>
      <c r="N266" s="272"/>
      <c r="O266" s="272">
        <v>1</v>
      </c>
    </row>
    <row r="267" spans="1:15" x14ac:dyDescent="0.25">
      <c r="A267" s="273" t="s">
        <v>3954</v>
      </c>
      <c r="B267" s="272"/>
      <c r="C267" s="272"/>
      <c r="D267" s="272"/>
      <c r="E267" s="272"/>
      <c r="F267" s="272"/>
      <c r="G267" s="272"/>
      <c r="H267" s="272"/>
      <c r="I267" s="272"/>
      <c r="J267" s="272"/>
      <c r="K267" s="272"/>
      <c r="L267" s="272"/>
      <c r="M267" s="272">
        <v>1</v>
      </c>
      <c r="N267" s="272"/>
      <c r="O267" s="272">
        <v>1</v>
      </c>
    </row>
    <row r="268" spans="1:15" x14ac:dyDescent="0.25">
      <c r="A268" s="271">
        <v>20</v>
      </c>
      <c r="B268" s="272"/>
      <c r="C268" s="272"/>
      <c r="D268" s="272"/>
      <c r="E268" s="272"/>
      <c r="F268" s="272">
        <v>11</v>
      </c>
      <c r="G268" s="272"/>
      <c r="H268" s="272"/>
      <c r="I268" s="272">
        <v>3</v>
      </c>
      <c r="J268" s="272">
        <v>1</v>
      </c>
      <c r="K268" s="272">
        <v>1</v>
      </c>
      <c r="L268" s="272"/>
      <c r="M268" s="272"/>
      <c r="N268" s="272"/>
      <c r="O268" s="272">
        <v>16</v>
      </c>
    </row>
    <row r="269" spans="1:15" x14ac:dyDescent="0.25">
      <c r="A269" s="273" t="s">
        <v>3570</v>
      </c>
      <c r="B269" s="272"/>
      <c r="C269" s="272"/>
      <c r="D269" s="272"/>
      <c r="E269" s="272"/>
      <c r="F269" s="272">
        <v>1</v>
      </c>
      <c r="G269" s="272"/>
      <c r="H269" s="272"/>
      <c r="I269" s="272"/>
      <c r="J269" s="272"/>
      <c r="K269" s="272"/>
      <c r="L269" s="272"/>
      <c r="M269" s="272"/>
      <c r="N269" s="272"/>
      <c r="O269" s="272">
        <v>1</v>
      </c>
    </row>
    <row r="270" spans="1:15" x14ac:dyDescent="0.25">
      <c r="A270" s="273" t="s">
        <v>3571</v>
      </c>
      <c r="B270" s="272"/>
      <c r="C270" s="272"/>
      <c r="D270" s="272"/>
      <c r="E270" s="272"/>
      <c r="F270" s="272">
        <v>1</v>
      </c>
      <c r="G270" s="272"/>
      <c r="H270" s="272"/>
      <c r="I270" s="272"/>
      <c r="J270" s="272"/>
      <c r="K270" s="272"/>
      <c r="L270" s="272"/>
      <c r="M270" s="272"/>
      <c r="N270" s="272"/>
      <c r="O270" s="272">
        <v>1</v>
      </c>
    </row>
    <row r="271" spans="1:15" x14ac:dyDescent="0.25">
      <c r="A271" s="273" t="s">
        <v>3572</v>
      </c>
      <c r="B271" s="272"/>
      <c r="C271" s="272"/>
      <c r="D271" s="272"/>
      <c r="E271" s="272"/>
      <c r="F271" s="272"/>
      <c r="G271" s="272"/>
      <c r="H271" s="272"/>
      <c r="I271" s="272"/>
      <c r="J271" s="272"/>
      <c r="K271" s="272">
        <v>1</v>
      </c>
      <c r="L271" s="272"/>
      <c r="M271" s="272"/>
      <c r="N271" s="272"/>
      <c r="O271" s="272">
        <v>1</v>
      </c>
    </row>
    <row r="272" spans="1:15" x14ac:dyDescent="0.25">
      <c r="A272" s="273" t="s">
        <v>2008</v>
      </c>
      <c r="B272" s="272"/>
      <c r="C272" s="272"/>
      <c r="D272" s="272"/>
      <c r="E272" s="272"/>
      <c r="F272" s="272">
        <v>1</v>
      </c>
      <c r="G272" s="272"/>
      <c r="H272" s="272"/>
      <c r="I272" s="272"/>
      <c r="J272" s="272"/>
      <c r="K272" s="272"/>
      <c r="L272" s="272"/>
      <c r="M272" s="272"/>
      <c r="N272" s="272"/>
      <c r="O272" s="272">
        <v>1</v>
      </c>
    </row>
    <row r="273" spans="1:15" x14ac:dyDescent="0.25">
      <c r="A273" s="273" t="s">
        <v>2072</v>
      </c>
      <c r="B273" s="272"/>
      <c r="C273" s="272"/>
      <c r="D273" s="272"/>
      <c r="E273" s="272"/>
      <c r="F273" s="272"/>
      <c r="G273" s="272"/>
      <c r="H273" s="272"/>
      <c r="I273" s="272"/>
      <c r="J273" s="272">
        <v>1</v>
      </c>
      <c r="K273" s="272"/>
      <c r="L273" s="272"/>
      <c r="M273" s="272"/>
      <c r="N273" s="272"/>
      <c r="O273" s="272">
        <v>1</v>
      </c>
    </row>
    <row r="274" spans="1:15" x14ac:dyDescent="0.25">
      <c r="A274" s="273" t="s">
        <v>2052</v>
      </c>
      <c r="B274" s="272"/>
      <c r="C274" s="272"/>
      <c r="D274" s="272"/>
      <c r="E274" s="272"/>
      <c r="F274" s="272">
        <v>1</v>
      </c>
      <c r="G274" s="272"/>
      <c r="H274" s="272"/>
      <c r="I274" s="272"/>
      <c r="J274" s="272"/>
      <c r="K274" s="272"/>
      <c r="L274" s="272"/>
      <c r="M274" s="272"/>
      <c r="N274" s="272"/>
      <c r="O274" s="272">
        <v>1</v>
      </c>
    </row>
    <row r="275" spans="1:15" x14ac:dyDescent="0.25">
      <c r="A275" s="273" t="s">
        <v>2081</v>
      </c>
      <c r="B275" s="272"/>
      <c r="C275" s="272"/>
      <c r="D275" s="272"/>
      <c r="E275" s="272"/>
      <c r="F275" s="272"/>
      <c r="G275" s="272"/>
      <c r="H275" s="272"/>
      <c r="I275" s="272">
        <v>1</v>
      </c>
      <c r="J275" s="272"/>
      <c r="K275" s="272"/>
      <c r="L275" s="272"/>
      <c r="M275" s="272"/>
      <c r="N275" s="272"/>
      <c r="O275" s="272">
        <v>1</v>
      </c>
    </row>
    <row r="276" spans="1:15" x14ac:dyDescent="0.25">
      <c r="A276" s="273" t="s">
        <v>2017</v>
      </c>
      <c r="B276" s="272"/>
      <c r="C276" s="272"/>
      <c r="D276" s="272"/>
      <c r="E276" s="272"/>
      <c r="F276" s="272">
        <v>1</v>
      </c>
      <c r="G276" s="272"/>
      <c r="H276" s="272"/>
      <c r="I276" s="272"/>
      <c r="J276" s="272"/>
      <c r="K276" s="272"/>
      <c r="L276" s="272"/>
      <c r="M276" s="272"/>
      <c r="N276" s="272"/>
      <c r="O276" s="272">
        <v>1</v>
      </c>
    </row>
    <row r="277" spans="1:15" x14ac:dyDescent="0.25">
      <c r="A277" s="273" t="s">
        <v>2025</v>
      </c>
      <c r="B277" s="272"/>
      <c r="C277" s="272"/>
      <c r="D277" s="272"/>
      <c r="E277" s="272"/>
      <c r="F277" s="272">
        <v>1</v>
      </c>
      <c r="G277" s="272"/>
      <c r="H277" s="272"/>
      <c r="I277" s="272"/>
      <c r="J277" s="272"/>
      <c r="K277" s="272"/>
      <c r="L277" s="272"/>
      <c r="M277" s="272"/>
      <c r="N277" s="272"/>
      <c r="O277" s="272">
        <v>1</v>
      </c>
    </row>
    <row r="278" spans="1:15" x14ac:dyDescent="0.25">
      <c r="A278" s="273" t="s">
        <v>2034</v>
      </c>
      <c r="B278" s="272"/>
      <c r="C278" s="272"/>
      <c r="D278" s="272"/>
      <c r="E278" s="272"/>
      <c r="F278" s="272">
        <v>1</v>
      </c>
      <c r="G278" s="272"/>
      <c r="H278" s="272"/>
      <c r="I278" s="272"/>
      <c r="J278" s="272"/>
      <c r="K278" s="272"/>
      <c r="L278" s="272"/>
      <c r="M278" s="272"/>
      <c r="N278" s="272"/>
      <c r="O278" s="272">
        <v>1</v>
      </c>
    </row>
    <row r="279" spans="1:15" x14ac:dyDescent="0.25">
      <c r="A279" s="273" t="s">
        <v>1999</v>
      </c>
      <c r="B279" s="272"/>
      <c r="C279" s="272"/>
      <c r="D279" s="272"/>
      <c r="E279" s="272"/>
      <c r="F279" s="272">
        <v>1</v>
      </c>
      <c r="G279" s="272"/>
      <c r="H279" s="272"/>
      <c r="I279" s="272"/>
      <c r="J279" s="272"/>
      <c r="K279" s="272"/>
      <c r="L279" s="272"/>
      <c r="M279" s="272"/>
      <c r="N279" s="272"/>
      <c r="O279" s="272">
        <v>1</v>
      </c>
    </row>
    <row r="280" spans="1:15" x14ac:dyDescent="0.25">
      <c r="A280" s="273" t="s">
        <v>1991</v>
      </c>
      <c r="B280" s="272"/>
      <c r="C280" s="272"/>
      <c r="D280" s="272"/>
      <c r="E280" s="272"/>
      <c r="F280" s="272">
        <v>1</v>
      </c>
      <c r="G280" s="272"/>
      <c r="H280" s="272"/>
      <c r="I280" s="272"/>
      <c r="J280" s="272"/>
      <c r="K280" s="272"/>
      <c r="L280" s="272"/>
      <c r="M280" s="272"/>
      <c r="N280" s="272"/>
      <c r="O280" s="272">
        <v>1</v>
      </c>
    </row>
    <row r="281" spans="1:15" x14ac:dyDescent="0.25">
      <c r="A281" s="273" t="s">
        <v>2061</v>
      </c>
      <c r="B281" s="272"/>
      <c r="C281" s="272"/>
      <c r="D281" s="272"/>
      <c r="E281" s="272"/>
      <c r="F281" s="272">
        <v>1</v>
      </c>
      <c r="G281" s="272"/>
      <c r="H281" s="272"/>
      <c r="I281" s="272"/>
      <c r="J281" s="272"/>
      <c r="K281" s="272"/>
      <c r="L281" s="272"/>
      <c r="M281" s="272"/>
      <c r="N281" s="272"/>
      <c r="O281" s="272">
        <v>1</v>
      </c>
    </row>
    <row r="282" spans="1:15" x14ac:dyDescent="0.25">
      <c r="A282" s="273" t="s">
        <v>2042</v>
      </c>
      <c r="B282" s="272"/>
      <c r="C282" s="272"/>
      <c r="D282" s="272"/>
      <c r="E282" s="272"/>
      <c r="F282" s="272">
        <v>1</v>
      </c>
      <c r="G282" s="272"/>
      <c r="H282" s="272"/>
      <c r="I282" s="272"/>
      <c r="J282" s="272"/>
      <c r="K282" s="272"/>
      <c r="L282" s="272"/>
      <c r="M282" s="272"/>
      <c r="N282" s="272"/>
      <c r="O282" s="272">
        <v>1</v>
      </c>
    </row>
    <row r="283" spans="1:15" x14ac:dyDescent="0.25">
      <c r="A283" s="273" t="s">
        <v>2107</v>
      </c>
      <c r="B283" s="272"/>
      <c r="C283" s="272"/>
      <c r="D283" s="272"/>
      <c r="E283" s="272"/>
      <c r="F283" s="272"/>
      <c r="G283" s="272"/>
      <c r="H283" s="272"/>
      <c r="I283" s="272">
        <v>1</v>
      </c>
      <c r="J283" s="272"/>
      <c r="K283" s="272"/>
      <c r="L283" s="272"/>
      <c r="M283" s="272"/>
      <c r="N283" s="272"/>
      <c r="O283" s="272">
        <v>1</v>
      </c>
    </row>
    <row r="284" spans="1:15" x14ac:dyDescent="0.25">
      <c r="A284" s="273" t="s">
        <v>2091</v>
      </c>
      <c r="B284" s="272"/>
      <c r="C284" s="272"/>
      <c r="D284" s="272"/>
      <c r="E284" s="272"/>
      <c r="F284" s="272"/>
      <c r="G284" s="272"/>
      <c r="H284" s="272"/>
      <c r="I284" s="272">
        <v>1</v>
      </c>
      <c r="J284" s="272"/>
      <c r="K284" s="272"/>
      <c r="L284" s="272"/>
      <c r="M284" s="272"/>
      <c r="N284" s="272"/>
      <c r="O284" s="272">
        <v>1</v>
      </c>
    </row>
    <row r="285" spans="1:15" x14ac:dyDescent="0.25">
      <c r="A285" s="271">
        <v>21</v>
      </c>
      <c r="B285" s="272"/>
      <c r="C285" s="272"/>
      <c r="D285" s="272"/>
      <c r="E285" s="272"/>
      <c r="F285" s="272">
        <v>9</v>
      </c>
      <c r="G285" s="272"/>
      <c r="H285" s="272"/>
      <c r="I285" s="272"/>
      <c r="J285" s="272"/>
      <c r="K285" s="272"/>
      <c r="L285" s="272"/>
      <c r="M285" s="272"/>
      <c r="N285" s="272"/>
      <c r="O285" s="272">
        <v>9</v>
      </c>
    </row>
    <row r="286" spans="1:15" x14ac:dyDescent="0.25">
      <c r="A286" s="273" t="s">
        <v>2135</v>
      </c>
      <c r="B286" s="272"/>
      <c r="C286" s="272"/>
      <c r="D286" s="272"/>
      <c r="E286" s="272"/>
      <c r="F286" s="272">
        <v>1</v>
      </c>
      <c r="G286" s="272"/>
      <c r="H286" s="272"/>
      <c r="I286" s="272"/>
      <c r="J286" s="272"/>
      <c r="K286" s="272"/>
      <c r="L286" s="272"/>
      <c r="M286" s="272"/>
      <c r="N286" s="272"/>
      <c r="O286" s="272">
        <v>1</v>
      </c>
    </row>
    <row r="287" spans="1:15" x14ac:dyDescent="0.25">
      <c r="A287" s="273" t="s">
        <v>2127</v>
      </c>
      <c r="B287" s="272"/>
      <c r="C287" s="272"/>
      <c r="D287" s="272"/>
      <c r="E287" s="272"/>
      <c r="F287" s="272">
        <v>1</v>
      </c>
      <c r="G287" s="272"/>
      <c r="H287" s="272"/>
      <c r="I287" s="272"/>
      <c r="J287" s="272"/>
      <c r="K287" s="272"/>
      <c r="L287" s="272"/>
      <c r="M287" s="272"/>
      <c r="N287" s="272"/>
      <c r="O287" s="272">
        <v>1</v>
      </c>
    </row>
    <row r="288" spans="1:15" x14ac:dyDescent="0.25">
      <c r="A288" s="273" t="s">
        <v>1920</v>
      </c>
      <c r="B288" s="272"/>
      <c r="C288" s="272"/>
      <c r="D288" s="272"/>
      <c r="E288" s="272"/>
      <c r="F288" s="272">
        <v>1</v>
      </c>
      <c r="G288" s="272"/>
      <c r="H288" s="272"/>
      <c r="I288" s="272"/>
      <c r="J288" s="272"/>
      <c r="K288" s="272"/>
      <c r="L288" s="272"/>
      <c r="M288" s="272"/>
      <c r="N288" s="272"/>
      <c r="O288" s="272">
        <v>1</v>
      </c>
    </row>
    <row r="289" spans="1:15" x14ac:dyDescent="0.25">
      <c r="A289" s="273" t="s">
        <v>2163</v>
      </c>
      <c r="B289" s="272"/>
      <c r="C289" s="272"/>
      <c r="D289" s="272"/>
      <c r="E289" s="272"/>
      <c r="F289" s="272">
        <v>1</v>
      </c>
      <c r="G289" s="272"/>
      <c r="H289" s="272"/>
      <c r="I289" s="272"/>
      <c r="J289" s="272"/>
      <c r="K289" s="272"/>
      <c r="L289" s="272"/>
      <c r="M289" s="272"/>
      <c r="N289" s="272"/>
      <c r="O289" s="272">
        <v>1</v>
      </c>
    </row>
    <row r="290" spans="1:15" x14ac:dyDescent="0.25">
      <c r="A290" s="273" t="s">
        <v>2152</v>
      </c>
      <c r="B290" s="272"/>
      <c r="C290" s="272"/>
      <c r="D290" s="272"/>
      <c r="E290" s="272"/>
      <c r="F290" s="272">
        <v>1</v>
      </c>
      <c r="G290" s="272"/>
      <c r="H290" s="272"/>
      <c r="I290" s="272"/>
      <c r="J290" s="272"/>
      <c r="K290" s="272"/>
      <c r="L290" s="272"/>
      <c r="M290" s="272"/>
      <c r="N290" s="272"/>
      <c r="O290" s="272">
        <v>1</v>
      </c>
    </row>
    <row r="291" spans="1:15" x14ac:dyDescent="0.25">
      <c r="A291" s="273" t="s">
        <v>2115</v>
      </c>
      <c r="B291" s="272"/>
      <c r="C291" s="272"/>
      <c r="D291" s="272"/>
      <c r="E291" s="272"/>
      <c r="F291" s="272">
        <v>1</v>
      </c>
      <c r="G291" s="272"/>
      <c r="H291" s="272"/>
      <c r="I291" s="272"/>
      <c r="J291" s="272"/>
      <c r="K291" s="272"/>
      <c r="L291" s="272"/>
      <c r="M291" s="272"/>
      <c r="N291" s="272"/>
      <c r="O291" s="272">
        <v>1</v>
      </c>
    </row>
    <row r="292" spans="1:15" x14ac:dyDescent="0.25">
      <c r="A292" s="273" t="s">
        <v>1932</v>
      </c>
      <c r="B292" s="272"/>
      <c r="C292" s="272"/>
      <c r="D292" s="272"/>
      <c r="E292" s="272"/>
      <c r="F292" s="272">
        <v>1</v>
      </c>
      <c r="G292" s="272"/>
      <c r="H292" s="272"/>
      <c r="I292" s="272"/>
      <c r="J292" s="272"/>
      <c r="K292" s="272"/>
      <c r="L292" s="272"/>
      <c r="M292" s="272"/>
      <c r="N292" s="272"/>
      <c r="O292" s="272">
        <v>1</v>
      </c>
    </row>
    <row r="293" spans="1:15" x14ac:dyDescent="0.25">
      <c r="A293" s="273" t="s">
        <v>2141</v>
      </c>
      <c r="B293" s="272"/>
      <c r="C293" s="272"/>
      <c r="D293" s="272"/>
      <c r="E293" s="272"/>
      <c r="F293" s="272">
        <v>1</v>
      </c>
      <c r="G293" s="272"/>
      <c r="H293" s="272"/>
      <c r="I293" s="272"/>
      <c r="J293" s="272"/>
      <c r="K293" s="272"/>
      <c r="L293" s="272"/>
      <c r="M293" s="272"/>
      <c r="N293" s="272"/>
      <c r="O293" s="272">
        <v>1</v>
      </c>
    </row>
    <row r="294" spans="1:15" x14ac:dyDescent="0.25">
      <c r="A294" s="273" t="s">
        <v>1941</v>
      </c>
      <c r="B294" s="272"/>
      <c r="C294" s="272"/>
      <c r="D294" s="272"/>
      <c r="E294" s="272"/>
      <c r="F294" s="272">
        <v>1</v>
      </c>
      <c r="G294" s="272"/>
      <c r="H294" s="272"/>
      <c r="I294" s="272"/>
      <c r="J294" s="272"/>
      <c r="K294" s="272"/>
      <c r="L294" s="272"/>
      <c r="M294" s="272"/>
      <c r="N294" s="272"/>
      <c r="O294" s="272">
        <v>1</v>
      </c>
    </row>
    <row r="295" spans="1:15" x14ac:dyDescent="0.25">
      <c r="A295" s="271">
        <v>22</v>
      </c>
      <c r="B295" s="272">
        <v>2</v>
      </c>
      <c r="C295" s="272"/>
      <c r="D295" s="272"/>
      <c r="E295" s="272"/>
      <c r="F295" s="272">
        <v>2</v>
      </c>
      <c r="G295" s="272"/>
      <c r="H295" s="272"/>
      <c r="I295" s="272">
        <v>3</v>
      </c>
      <c r="J295" s="272"/>
      <c r="K295" s="272"/>
      <c r="L295" s="272"/>
      <c r="M295" s="272"/>
      <c r="N295" s="272"/>
      <c r="O295" s="272">
        <v>7</v>
      </c>
    </row>
    <row r="296" spans="1:15" x14ac:dyDescent="0.25">
      <c r="A296" s="273" t="s">
        <v>3770</v>
      </c>
      <c r="B296" s="272"/>
      <c r="C296" s="272"/>
      <c r="D296" s="272"/>
      <c r="E296" s="272"/>
      <c r="F296" s="272"/>
      <c r="G296" s="272"/>
      <c r="H296" s="272"/>
      <c r="I296" s="272">
        <v>1</v>
      </c>
      <c r="J296" s="272"/>
      <c r="K296" s="272"/>
      <c r="L296" s="272"/>
      <c r="M296" s="272"/>
      <c r="N296" s="272"/>
      <c r="O296" s="272">
        <v>1</v>
      </c>
    </row>
    <row r="297" spans="1:15" x14ac:dyDescent="0.25">
      <c r="A297" s="273" t="s">
        <v>3777</v>
      </c>
      <c r="B297" s="272"/>
      <c r="C297" s="272"/>
      <c r="D297" s="272"/>
      <c r="E297" s="272"/>
      <c r="F297" s="272"/>
      <c r="G297" s="272"/>
      <c r="H297" s="272"/>
      <c r="I297" s="272">
        <v>1</v>
      </c>
      <c r="J297" s="272"/>
      <c r="K297" s="272"/>
      <c r="L297" s="272"/>
      <c r="M297" s="272"/>
      <c r="N297" s="272"/>
      <c r="O297" s="272">
        <v>1</v>
      </c>
    </row>
    <row r="298" spans="1:15" x14ac:dyDescent="0.25">
      <c r="A298" s="273" t="s">
        <v>3780</v>
      </c>
      <c r="B298" s="272"/>
      <c r="C298" s="272"/>
      <c r="D298" s="272"/>
      <c r="E298" s="272"/>
      <c r="F298" s="272"/>
      <c r="G298" s="272"/>
      <c r="H298" s="272"/>
      <c r="I298" s="272">
        <v>1</v>
      </c>
      <c r="J298" s="272"/>
      <c r="K298" s="272"/>
      <c r="L298" s="272"/>
      <c r="M298" s="272"/>
      <c r="N298" s="272"/>
      <c r="O298" s="272">
        <v>1</v>
      </c>
    </row>
    <row r="299" spans="1:15" x14ac:dyDescent="0.25">
      <c r="A299" s="273" t="s">
        <v>3826</v>
      </c>
      <c r="B299" s="272">
        <v>1</v>
      </c>
      <c r="C299" s="272"/>
      <c r="D299" s="272"/>
      <c r="E299" s="272"/>
      <c r="F299" s="272"/>
      <c r="G299" s="272"/>
      <c r="H299" s="272"/>
      <c r="I299" s="272"/>
      <c r="J299" s="272"/>
      <c r="K299" s="272"/>
      <c r="L299" s="272"/>
      <c r="M299" s="272"/>
      <c r="N299" s="272"/>
      <c r="O299" s="272">
        <v>1</v>
      </c>
    </row>
    <row r="300" spans="1:15" x14ac:dyDescent="0.25">
      <c r="A300" s="273" t="s">
        <v>3836</v>
      </c>
      <c r="B300" s="272">
        <v>1</v>
      </c>
      <c r="C300" s="272"/>
      <c r="D300" s="272"/>
      <c r="E300" s="272"/>
      <c r="F300" s="272"/>
      <c r="G300" s="272"/>
      <c r="H300" s="272"/>
      <c r="I300" s="272"/>
      <c r="J300" s="272"/>
      <c r="K300" s="272"/>
      <c r="L300" s="272"/>
      <c r="M300" s="272"/>
      <c r="N300" s="272"/>
      <c r="O300" s="272">
        <v>1</v>
      </c>
    </row>
    <row r="301" spans="1:15" x14ac:dyDescent="0.25">
      <c r="A301" s="273" t="s">
        <v>3813</v>
      </c>
      <c r="B301" s="272"/>
      <c r="C301" s="272"/>
      <c r="D301" s="272"/>
      <c r="E301" s="272"/>
      <c r="F301" s="272">
        <v>1</v>
      </c>
      <c r="G301" s="272"/>
      <c r="H301" s="272"/>
      <c r="I301" s="272"/>
      <c r="J301" s="272"/>
      <c r="K301" s="272"/>
      <c r="L301" s="272"/>
      <c r="M301" s="272"/>
      <c r="N301" s="272"/>
      <c r="O301" s="272">
        <v>1</v>
      </c>
    </row>
    <row r="302" spans="1:15" x14ac:dyDescent="0.25">
      <c r="A302" s="273" t="s">
        <v>3798</v>
      </c>
      <c r="B302" s="272"/>
      <c r="C302" s="272"/>
      <c r="D302" s="272"/>
      <c r="E302" s="272"/>
      <c r="F302" s="272">
        <v>1</v>
      </c>
      <c r="G302" s="272"/>
      <c r="H302" s="272"/>
      <c r="I302" s="272"/>
      <c r="J302" s="272"/>
      <c r="K302" s="272"/>
      <c r="L302" s="272"/>
      <c r="M302" s="272"/>
      <c r="N302" s="272"/>
      <c r="O302" s="272">
        <v>1</v>
      </c>
    </row>
    <row r="303" spans="1:15" x14ac:dyDescent="0.25">
      <c r="A303" s="271">
        <v>23</v>
      </c>
      <c r="B303" s="272">
        <v>5</v>
      </c>
      <c r="C303" s="272"/>
      <c r="D303" s="272"/>
      <c r="E303" s="272"/>
      <c r="F303" s="272"/>
      <c r="G303" s="272"/>
      <c r="H303" s="272"/>
      <c r="I303" s="272"/>
      <c r="J303" s="272"/>
      <c r="K303" s="272"/>
      <c r="L303" s="272"/>
      <c r="M303" s="272"/>
      <c r="N303" s="272">
        <v>1</v>
      </c>
      <c r="O303" s="272">
        <v>6</v>
      </c>
    </row>
    <row r="304" spans="1:15" x14ac:dyDescent="0.25">
      <c r="A304" s="273" t="s">
        <v>3549</v>
      </c>
      <c r="B304" s="272">
        <v>1</v>
      </c>
      <c r="C304" s="272"/>
      <c r="D304" s="272"/>
      <c r="E304" s="272"/>
      <c r="F304" s="272"/>
      <c r="G304" s="272"/>
      <c r="H304" s="272"/>
      <c r="I304" s="272"/>
      <c r="J304" s="272"/>
      <c r="K304" s="272"/>
      <c r="L304" s="272"/>
      <c r="M304" s="272"/>
      <c r="N304" s="272"/>
      <c r="O304" s="272">
        <v>1</v>
      </c>
    </row>
    <row r="305" spans="1:15" x14ac:dyDescent="0.25">
      <c r="A305" s="273" t="s">
        <v>3554</v>
      </c>
      <c r="B305" s="272">
        <v>1</v>
      </c>
      <c r="C305" s="272"/>
      <c r="D305" s="272"/>
      <c r="E305" s="272"/>
      <c r="F305" s="272"/>
      <c r="G305" s="272"/>
      <c r="H305" s="272"/>
      <c r="I305" s="272"/>
      <c r="J305" s="272"/>
      <c r="K305" s="272"/>
      <c r="L305" s="272"/>
      <c r="M305" s="272"/>
      <c r="N305" s="272"/>
      <c r="O305" s="272">
        <v>1</v>
      </c>
    </row>
    <row r="306" spans="1:15" x14ac:dyDescent="0.25">
      <c r="A306" s="273" t="s">
        <v>3552</v>
      </c>
      <c r="B306" s="272">
        <v>1</v>
      </c>
      <c r="C306" s="272"/>
      <c r="D306" s="272"/>
      <c r="E306" s="272"/>
      <c r="F306" s="272"/>
      <c r="G306" s="272"/>
      <c r="H306" s="272"/>
      <c r="I306" s="272"/>
      <c r="J306" s="272"/>
      <c r="K306" s="272"/>
      <c r="L306" s="272"/>
      <c r="M306" s="272"/>
      <c r="N306" s="272"/>
      <c r="O306" s="272">
        <v>1</v>
      </c>
    </row>
    <row r="307" spans="1:15" x14ac:dyDescent="0.25">
      <c r="A307" s="273" t="s">
        <v>3551</v>
      </c>
      <c r="B307" s="272">
        <v>1</v>
      </c>
      <c r="C307" s="272"/>
      <c r="D307" s="272"/>
      <c r="E307" s="272"/>
      <c r="F307" s="272"/>
      <c r="G307" s="272"/>
      <c r="H307" s="272"/>
      <c r="I307" s="272"/>
      <c r="J307" s="272"/>
      <c r="K307" s="272"/>
      <c r="L307" s="272"/>
      <c r="M307" s="272"/>
      <c r="N307" s="272"/>
      <c r="O307" s="272">
        <v>1</v>
      </c>
    </row>
    <row r="308" spans="1:15" x14ac:dyDescent="0.25">
      <c r="A308" s="273" t="s">
        <v>3553</v>
      </c>
      <c r="B308" s="272">
        <v>1</v>
      </c>
      <c r="C308" s="272"/>
      <c r="D308" s="272"/>
      <c r="E308" s="272"/>
      <c r="F308" s="272"/>
      <c r="G308" s="272"/>
      <c r="H308" s="272"/>
      <c r="I308" s="272"/>
      <c r="J308" s="272"/>
      <c r="K308" s="272"/>
      <c r="L308" s="272"/>
      <c r="M308" s="272"/>
      <c r="N308" s="272"/>
      <c r="O308" s="272">
        <v>1</v>
      </c>
    </row>
    <row r="309" spans="1:15" x14ac:dyDescent="0.25">
      <c r="A309" s="273" t="s">
        <v>3152</v>
      </c>
      <c r="B309" s="272"/>
      <c r="C309" s="272"/>
      <c r="D309" s="272"/>
      <c r="E309" s="272"/>
      <c r="F309" s="272"/>
      <c r="G309" s="272"/>
      <c r="H309" s="272"/>
      <c r="I309" s="272"/>
      <c r="J309" s="272"/>
      <c r="K309" s="272"/>
      <c r="L309" s="272"/>
      <c r="M309" s="272"/>
      <c r="N309" s="272">
        <v>1</v>
      </c>
      <c r="O309" s="272">
        <v>1</v>
      </c>
    </row>
    <row r="310" spans="1:15" x14ac:dyDescent="0.25">
      <c r="A310" s="271">
        <v>24</v>
      </c>
      <c r="B310" s="272"/>
      <c r="C310" s="272"/>
      <c r="D310" s="272"/>
      <c r="E310" s="272"/>
      <c r="F310" s="272">
        <v>6</v>
      </c>
      <c r="G310" s="272"/>
      <c r="H310" s="272"/>
      <c r="I310" s="272">
        <v>18</v>
      </c>
      <c r="J310" s="272"/>
      <c r="K310" s="272"/>
      <c r="L310" s="272"/>
      <c r="M310" s="272"/>
      <c r="N310" s="272"/>
      <c r="O310" s="272">
        <v>24</v>
      </c>
    </row>
    <row r="311" spans="1:15" x14ac:dyDescent="0.25">
      <c r="A311" s="273" t="s">
        <v>3719</v>
      </c>
      <c r="B311" s="272"/>
      <c r="C311" s="272"/>
      <c r="D311" s="272"/>
      <c r="E311" s="272"/>
      <c r="F311" s="272">
        <v>1</v>
      </c>
      <c r="G311" s="272"/>
      <c r="H311" s="272"/>
      <c r="I311" s="272"/>
      <c r="J311" s="272"/>
      <c r="K311" s="272"/>
      <c r="L311" s="272"/>
      <c r="M311" s="272"/>
      <c r="N311" s="272"/>
      <c r="O311" s="272">
        <v>1</v>
      </c>
    </row>
    <row r="312" spans="1:15" x14ac:dyDescent="0.25">
      <c r="A312" s="273" t="s">
        <v>3637</v>
      </c>
      <c r="B312" s="272"/>
      <c r="C312" s="272"/>
      <c r="D312" s="272"/>
      <c r="E312" s="272"/>
      <c r="F312" s="272"/>
      <c r="G312" s="272"/>
      <c r="H312" s="272"/>
      <c r="I312" s="272">
        <v>1</v>
      </c>
      <c r="J312" s="272"/>
      <c r="K312" s="272"/>
      <c r="L312" s="272"/>
      <c r="M312" s="272"/>
      <c r="N312" s="272"/>
      <c r="O312" s="272">
        <v>1</v>
      </c>
    </row>
    <row r="313" spans="1:15" x14ac:dyDescent="0.25">
      <c r="A313" s="273" t="s">
        <v>3667</v>
      </c>
      <c r="B313" s="272"/>
      <c r="C313" s="272"/>
      <c r="D313" s="272"/>
      <c r="E313" s="272"/>
      <c r="F313" s="272"/>
      <c r="G313" s="272"/>
      <c r="H313" s="272"/>
      <c r="I313" s="272">
        <v>1</v>
      </c>
      <c r="J313" s="272"/>
      <c r="K313" s="272"/>
      <c r="L313" s="272"/>
      <c r="M313" s="272"/>
      <c r="N313" s="272"/>
      <c r="O313" s="272">
        <v>1</v>
      </c>
    </row>
    <row r="314" spans="1:15" x14ac:dyDescent="0.25">
      <c r="A314" s="273" t="s">
        <v>3656</v>
      </c>
      <c r="B314" s="272"/>
      <c r="C314" s="272"/>
      <c r="D314" s="272"/>
      <c r="E314" s="272"/>
      <c r="F314" s="272"/>
      <c r="G314" s="272"/>
      <c r="H314" s="272"/>
      <c r="I314" s="272">
        <v>1</v>
      </c>
      <c r="J314" s="272"/>
      <c r="K314" s="272"/>
      <c r="L314" s="272"/>
      <c r="M314" s="272"/>
      <c r="N314" s="272"/>
      <c r="O314" s="272">
        <v>1</v>
      </c>
    </row>
    <row r="315" spans="1:15" x14ac:dyDescent="0.25">
      <c r="A315" s="273" t="s">
        <v>3649</v>
      </c>
      <c r="B315" s="272"/>
      <c r="C315" s="272"/>
      <c r="D315" s="272"/>
      <c r="E315" s="272"/>
      <c r="F315" s="272"/>
      <c r="G315" s="272"/>
      <c r="H315" s="272"/>
      <c r="I315" s="272">
        <v>1</v>
      </c>
      <c r="J315" s="272"/>
      <c r="K315" s="272"/>
      <c r="L315" s="272"/>
      <c r="M315" s="272"/>
      <c r="N315" s="272"/>
      <c r="O315" s="272">
        <v>1</v>
      </c>
    </row>
    <row r="316" spans="1:15" x14ac:dyDescent="0.25">
      <c r="A316" s="273" t="s">
        <v>3662</v>
      </c>
      <c r="B316" s="272"/>
      <c r="C316" s="272"/>
      <c r="D316" s="272"/>
      <c r="E316" s="272"/>
      <c r="F316" s="272"/>
      <c r="G316" s="272"/>
      <c r="H316" s="272"/>
      <c r="I316" s="272">
        <v>1</v>
      </c>
      <c r="J316" s="272"/>
      <c r="K316" s="272"/>
      <c r="L316" s="272"/>
      <c r="M316" s="272"/>
      <c r="N316" s="272"/>
      <c r="O316" s="272">
        <v>1</v>
      </c>
    </row>
    <row r="317" spans="1:15" x14ac:dyDescent="0.25">
      <c r="A317" s="273" t="s">
        <v>3615</v>
      </c>
      <c r="B317" s="272"/>
      <c r="C317" s="272"/>
      <c r="D317" s="272"/>
      <c r="E317" s="272"/>
      <c r="F317" s="272"/>
      <c r="G317" s="272"/>
      <c r="H317" s="272"/>
      <c r="I317" s="272">
        <v>1</v>
      </c>
      <c r="J317" s="272"/>
      <c r="K317" s="272"/>
      <c r="L317" s="272"/>
      <c r="M317" s="272"/>
      <c r="N317" s="272"/>
      <c r="O317" s="272">
        <v>1</v>
      </c>
    </row>
    <row r="318" spans="1:15" x14ac:dyDescent="0.25">
      <c r="A318" s="273" t="s">
        <v>3685</v>
      </c>
      <c r="B318" s="272"/>
      <c r="C318" s="272"/>
      <c r="D318" s="272"/>
      <c r="E318" s="272"/>
      <c r="F318" s="272"/>
      <c r="G318" s="272"/>
      <c r="H318" s="272"/>
      <c r="I318" s="272">
        <v>1</v>
      </c>
      <c r="J318" s="272"/>
      <c r="K318" s="272"/>
      <c r="L318" s="272"/>
      <c r="M318" s="272"/>
      <c r="N318" s="272"/>
      <c r="O318" s="272">
        <v>1</v>
      </c>
    </row>
    <row r="319" spans="1:15" x14ac:dyDescent="0.25">
      <c r="A319" s="273" t="s">
        <v>3678</v>
      </c>
      <c r="B319" s="272"/>
      <c r="C319" s="272"/>
      <c r="D319" s="272"/>
      <c r="E319" s="272"/>
      <c r="F319" s="272"/>
      <c r="G319" s="272"/>
      <c r="H319" s="272"/>
      <c r="I319" s="272">
        <v>1</v>
      </c>
      <c r="J319" s="272"/>
      <c r="K319" s="272"/>
      <c r="L319" s="272"/>
      <c r="M319" s="272"/>
      <c r="N319" s="272"/>
      <c r="O319" s="272">
        <v>1</v>
      </c>
    </row>
    <row r="320" spans="1:15" x14ac:dyDescent="0.25">
      <c r="A320" s="273" t="s">
        <v>3688</v>
      </c>
      <c r="B320" s="272"/>
      <c r="C320" s="272"/>
      <c r="D320" s="272"/>
      <c r="E320" s="272"/>
      <c r="F320" s="272"/>
      <c r="G320" s="272"/>
      <c r="H320" s="272"/>
      <c r="I320" s="272">
        <v>1</v>
      </c>
      <c r="J320" s="272"/>
      <c r="K320" s="272"/>
      <c r="L320" s="272"/>
      <c r="M320" s="272"/>
      <c r="N320" s="272"/>
      <c r="O320" s="272">
        <v>1</v>
      </c>
    </row>
    <row r="321" spans="1:15" x14ac:dyDescent="0.25">
      <c r="A321" s="273" t="s">
        <v>3689</v>
      </c>
      <c r="B321" s="272"/>
      <c r="C321" s="272"/>
      <c r="D321" s="272"/>
      <c r="E321" s="272"/>
      <c r="F321" s="272"/>
      <c r="G321" s="272"/>
      <c r="H321" s="272"/>
      <c r="I321" s="272">
        <v>1</v>
      </c>
      <c r="J321" s="272"/>
      <c r="K321" s="272"/>
      <c r="L321" s="272"/>
      <c r="M321" s="272"/>
      <c r="N321" s="272"/>
      <c r="O321" s="272">
        <v>1</v>
      </c>
    </row>
    <row r="322" spans="1:15" x14ac:dyDescent="0.25">
      <c r="A322" s="273" t="s">
        <v>3680</v>
      </c>
      <c r="B322" s="272"/>
      <c r="C322" s="272"/>
      <c r="D322" s="272"/>
      <c r="E322" s="272"/>
      <c r="F322" s="272"/>
      <c r="G322" s="272"/>
      <c r="H322" s="272"/>
      <c r="I322" s="272">
        <v>1</v>
      </c>
      <c r="J322" s="272"/>
      <c r="K322" s="272"/>
      <c r="L322" s="272"/>
      <c r="M322" s="272"/>
      <c r="N322" s="272"/>
      <c r="O322" s="272">
        <v>1</v>
      </c>
    </row>
    <row r="323" spans="1:15" x14ac:dyDescent="0.25">
      <c r="A323" s="273" t="s">
        <v>3672</v>
      </c>
      <c r="B323" s="272"/>
      <c r="C323" s="272"/>
      <c r="D323" s="272"/>
      <c r="E323" s="272"/>
      <c r="F323" s="272"/>
      <c r="G323" s="272"/>
      <c r="H323" s="272"/>
      <c r="I323" s="272">
        <v>1</v>
      </c>
      <c r="J323" s="272"/>
      <c r="K323" s="272"/>
      <c r="L323" s="272"/>
      <c r="M323" s="272"/>
      <c r="N323" s="272"/>
      <c r="O323" s="272">
        <v>1</v>
      </c>
    </row>
    <row r="324" spans="1:15" x14ac:dyDescent="0.25">
      <c r="A324" s="273" t="s">
        <v>3686</v>
      </c>
      <c r="B324" s="272"/>
      <c r="C324" s="272"/>
      <c r="D324" s="272"/>
      <c r="E324" s="272"/>
      <c r="F324" s="272"/>
      <c r="G324" s="272"/>
      <c r="H324" s="272"/>
      <c r="I324" s="272">
        <v>1</v>
      </c>
      <c r="J324" s="272"/>
      <c r="K324" s="272"/>
      <c r="L324" s="272"/>
      <c r="M324" s="272"/>
      <c r="N324" s="272"/>
      <c r="O324" s="272">
        <v>1</v>
      </c>
    </row>
    <row r="325" spans="1:15" x14ac:dyDescent="0.25">
      <c r="A325" s="273" t="s">
        <v>3681</v>
      </c>
      <c r="B325" s="272"/>
      <c r="C325" s="272"/>
      <c r="D325" s="272"/>
      <c r="E325" s="272"/>
      <c r="F325" s="272"/>
      <c r="G325" s="272"/>
      <c r="H325" s="272"/>
      <c r="I325" s="272">
        <v>1</v>
      </c>
      <c r="J325" s="272"/>
      <c r="K325" s="272"/>
      <c r="L325" s="272"/>
      <c r="M325" s="272"/>
      <c r="N325" s="272"/>
      <c r="O325" s="272">
        <v>1</v>
      </c>
    </row>
    <row r="326" spans="1:15" x14ac:dyDescent="0.25">
      <c r="A326" s="273" t="s">
        <v>3677</v>
      </c>
      <c r="B326" s="272"/>
      <c r="C326" s="272"/>
      <c r="D326" s="272"/>
      <c r="E326" s="272"/>
      <c r="F326" s="272"/>
      <c r="G326" s="272"/>
      <c r="H326" s="272"/>
      <c r="I326" s="272">
        <v>1</v>
      </c>
      <c r="J326" s="272"/>
      <c r="K326" s="272"/>
      <c r="L326" s="272"/>
      <c r="M326" s="272"/>
      <c r="N326" s="272"/>
      <c r="O326" s="272">
        <v>1</v>
      </c>
    </row>
    <row r="327" spans="1:15" x14ac:dyDescent="0.25">
      <c r="A327" s="273" t="s">
        <v>3687</v>
      </c>
      <c r="B327" s="272"/>
      <c r="C327" s="272"/>
      <c r="D327" s="272"/>
      <c r="E327" s="272"/>
      <c r="F327" s="272"/>
      <c r="G327" s="272"/>
      <c r="H327" s="272"/>
      <c r="I327" s="272">
        <v>1</v>
      </c>
      <c r="J327" s="272"/>
      <c r="K327" s="272"/>
      <c r="L327" s="272"/>
      <c r="M327" s="272"/>
      <c r="N327" s="272"/>
      <c r="O327" s="272">
        <v>1</v>
      </c>
    </row>
    <row r="328" spans="1:15" x14ac:dyDescent="0.25">
      <c r="A328" s="273" t="s">
        <v>3682</v>
      </c>
      <c r="B328" s="272"/>
      <c r="C328" s="272"/>
      <c r="D328" s="272"/>
      <c r="E328" s="272"/>
      <c r="F328" s="272"/>
      <c r="G328" s="272"/>
      <c r="H328" s="272"/>
      <c r="I328" s="272">
        <v>1</v>
      </c>
      <c r="J328" s="272"/>
      <c r="K328" s="272"/>
      <c r="L328" s="272"/>
      <c r="M328" s="272"/>
      <c r="N328" s="272"/>
      <c r="O328" s="272">
        <v>1</v>
      </c>
    </row>
    <row r="329" spans="1:15" x14ac:dyDescent="0.25">
      <c r="A329" s="273" t="s">
        <v>3600</v>
      </c>
      <c r="B329" s="272"/>
      <c r="C329" s="272"/>
      <c r="D329" s="272"/>
      <c r="E329" s="272"/>
      <c r="F329" s="272">
        <v>1</v>
      </c>
      <c r="G329" s="272"/>
      <c r="H329" s="272"/>
      <c r="I329" s="272"/>
      <c r="J329" s="272"/>
      <c r="K329" s="272"/>
      <c r="L329" s="272"/>
      <c r="M329" s="272"/>
      <c r="N329" s="272"/>
      <c r="O329" s="272">
        <v>1</v>
      </c>
    </row>
    <row r="330" spans="1:15" x14ac:dyDescent="0.25">
      <c r="A330" s="273" t="s">
        <v>3692</v>
      </c>
      <c r="B330" s="272"/>
      <c r="C330" s="272"/>
      <c r="D330" s="272"/>
      <c r="E330" s="272"/>
      <c r="F330" s="272">
        <v>1</v>
      </c>
      <c r="G330" s="272"/>
      <c r="H330" s="272"/>
      <c r="I330" s="272"/>
      <c r="J330" s="272"/>
      <c r="K330" s="272"/>
      <c r="L330" s="272"/>
      <c r="M330" s="272"/>
      <c r="N330" s="272"/>
      <c r="O330" s="272">
        <v>1</v>
      </c>
    </row>
    <row r="331" spans="1:15" x14ac:dyDescent="0.25">
      <c r="A331" s="273" t="s">
        <v>3730</v>
      </c>
      <c r="B331" s="272"/>
      <c r="C331" s="272"/>
      <c r="D331" s="272"/>
      <c r="E331" s="272"/>
      <c r="F331" s="272">
        <v>1</v>
      </c>
      <c r="G331" s="272"/>
      <c r="H331" s="272"/>
      <c r="I331" s="272"/>
      <c r="J331" s="272"/>
      <c r="K331" s="272"/>
      <c r="L331" s="272"/>
      <c r="M331" s="272"/>
      <c r="N331" s="272"/>
      <c r="O331" s="272">
        <v>1</v>
      </c>
    </row>
    <row r="332" spans="1:15" x14ac:dyDescent="0.25">
      <c r="A332" s="273" t="s">
        <v>3703</v>
      </c>
      <c r="B332" s="272"/>
      <c r="C332" s="272"/>
      <c r="D332" s="272"/>
      <c r="E332" s="272"/>
      <c r="F332" s="272">
        <v>1</v>
      </c>
      <c r="G332" s="272"/>
      <c r="H332" s="272"/>
      <c r="I332" s="272"/>
      <c r="J332" s="272"/>
      <c r="K332" s="272"/>
      <c r="L332" s="272"/>
      <c r="M332" s="272"/>
      <c r="N332" s="272"/>
      <c r="O332" s="272">
        <v>1</v>
      </c>
    </row>
    <row r="333" spans="1:15" x14ac:dyDescent="0.25">
      <c r="A333" s="273" t="s">
        <v>3737</v>
      </c>
      <c r="B333" s="272"/>
      <c r="C333" s="272"/>
      <c r="D333" s="272"/>
      <c r="E333" s="272"/>
      <c r="F333" s="272">
        <v>1</v>
      </c>
      <c r="G333" s="272"/>
      <c r="H333" s="272"/>
      <c r="I333" s="272"/>
      <c r="J333" s="272"/>
      <c r="K333" s="272"/>
      <c r="L333" s="272"/>
      <c r="M333" s="272"/>
      <c r="N333" s="272"/>
      <c r="O333" s="272">
        <v>1</v>
      </c>
    </row>
    <row r="334" spans="1:15" x14ac:dyDescent="0.25">
      <c r="A334" s="273" t="s">
        <v>3623</v>
      </c>
      <c r="B334" s="272"/>
      <c r="C334" s="272"/>
      <c r="D334" s="272"/>
      <c r="E334" s="272"/>
      <c r="F334" s="272"/>
      <c r="G334" s="272"/>
      <c r="H334" s="272"/>
      <c r="I334" s="272">
        <v>1</v>
      </c>
      <c r="J334" s="272"/>
      <c r="K334" s="272"/>
      <c r="L334" s="272"/>
      <c r="M334" s="272"/>
      <c r="N334" s="272"/>
      <c r="O334" s="272">
        <v>1</v>
      </c>
    </row>
    <row r="335" spans="1:15" x14ac:dyDescent="0.25">
      <c r="A335" s="271">
        <v>25</v>
      </c>
      <c r="B335" s="272">
        <v>1</v>
      </c>
      <c r="C335" s="272"/>
      <c r="D335" s="272"/>
      <c r="E335" s="272"/>
      <c r="F335" s="272"/>
      <c r="G335" s="272"/>
      <c r="H335" s="272"/>
      <c r="I335" s="272">
        <v>1</v>
      </c>
      <c r="J335" s="272"/>
      <c r="K335" s="272"/>
      <c r="L335" s="272"/>
      <c r="M335" s="272"/>
      <c r="N335" s="272"/>
      <c r="O335" s="272">
        <v>2</v>
      </c>
    </row>
    <row r="336" spans="1:15" x14ac:dyDescent="0.25">
      <c r="A336" s="273" t="s">
        <v>3744</v>
      </c>
      <c r="B336" s="272"/>
      <c r="C336" s="272"/>
      <c r="D336" s="272"/>
      <c r="E336" s="272"/>
      <c r="F336" s="272"/>
      <c r="G336" s="272"/>
      <c r="H336" s="272"/>
      <c r="I336" s="272">
        <v>1</v>
      </c>
      <c r="J336" s="272"/>
      <c r="K336" s="272"/>
      <c r="L336" s="272"/>
      <c r="M336" s="272"/>
      <c r="N336" s="272"/>
      <c r="O336" s="272">
        <v>1</v>
      </c>
    </row>
    <row r="337" spans="1:17" x14ac:dyDescent="0.25">
      <c r="A337" s="273" t="s">
        <v>3758</v>
      </c>
      <c r="B337" s="272">
        <v>1</v>
      </c>
      <c r="C337" s="272"/>
      <c r="D337" s="272"/>
      <c r="E337" s="272"/>
      <c r="F337" s="272"/>
      <c r="G337" s="272"/>
      <c r="H337" s="272"/>
      <c r="I337" s="272"/>
      <c r="J337" s="272"/>
      <c r="K337" s="272"/>
      <c r="L337" s="272"/>
      <c r="M337" s="272"/>
      <c r="N337" s="272"/>
      <c r="O337" s="272">
        <v>1</v>
      </c>
    </row>
    <row r="338" spans="1:17" x14ac:dyDescent="0.25">
      <c r="A338" s="271">
        <v>26</v>
      </c>
      <c r="B338" s="272">
        <v>1</v>
      </c>
      <c r="C338" s="272"/>
      <c r="D338" s="272"/>
      <c r="E338" s="272"/>
      <c r="F338" s="272"/>
      <c r="G338" s="272"/>
      <c r="H338" s="272"/>
      <c r="I338" s="272">
        <v>3</v>
      </c>
      <c r="J338" s="272"/>
      <c r="K338" s="272"/>
      <c r="L338" s="272"/>
      <c r="M338" s="272"/>
      <c r="N338" s="272"/>
      <c r="O338" s="272">
        <v>4</v>
      </c>
    </row>
    <row r="339" spans="1:17" x14ac:dyDescent="0.25">
      <c r="A339" s="273" t="s">
        <v>3879</v>
      </c>
      <c r="B339" s="272"/>
      <c r="C339" s="272"/>
      <c r="D339" s="272"/>
      <c r="E339" s="272"/>
      <c r="F339" s="272"/>
      <c r="G339" s="272"/>
      <c r="H339" s="272"/>
      <c r="I339" s="272">
        <v>1</v>
      </c>
      <c r="J339" s="272"/>
      <c r="K339" s="272"/>
      <c r="L339" s="272"/>
      <c r="M339" s="272"/>
      <c r="N339" s="272"/>
      <c r="O339" s="272">
        <v>1</v>
      </c>
    </row>
    <row r="340" spans="1:17" x14ac:dyDescent="0.25">
      <c r="A340" s="273" t="s">
        <v>3867</v>
      </c>
      <c r="B340" s="272">
        <v>1</v>
      </c>
      <c r="C340" s="272"/>
      <c r="D340" s="272"/>
      <c r="E340" s="272"/>
      <c r="F340" s="272"/>
      <c r="G340" s="272"/>
      <c r="H340" s="272"/>
      <c r="I340" s="272"/>
      <c r="J340" s="272"/>
      <c r="K340" s="272"/>
      <c r="L340" s="272"/>
      <c r="M340" s="272"/>
      <c r="N340" s="272"/>
      <c r="O340" s="272">
        <v>1</v>
      </c>
    </row>
    <row r="341" spans="1:17" x14ac:dyDescent="0.25">
      <c r="A341" s="273" t="s">
        <v>3843</v>
      </c>
      <c r="B341" s="272"/>
      <c r="C341" s="272"/>
      <c r="D341" s="272"/>
      <c r="E341" s="272"/>
      <c r="F341" s="272"/>
      <c r="G341" s="272"/>
      <c r="H341" s="272"/>
      <c r="I341" s="272">
        <v>1</v>
      </c>
      <c r="J341" s="272"/>
      <c r="K341" s="272"/>
      <c r="L341" s="272"/>
      <c r="M341" s="272"/>
      <c r="N341" s="272"/>
      <c r="O341" s="272">
        <v>1</v>
      </c>
    </row>
    <row r="342" spans="1:17" x14ac:dyDescent="0.25">
      <c r="A342" s="273" t="s">
        <v>3853</v>
      </c>
      <c r="B342" s="272"/>
      <c r="C342" s="272"/>
      <c r="D342" s="272"/>
      <c r="E342" s="272"/>
      <c r="F342" s="272"/>
      <c r="G342" s="272"/>
      <c r="H342" s="272"/>
      <c r="I342" s="272">
        <v>1</v>
      </c>
      <c r="J342" s="272"/>
      <c r="K342" s="272"/>
      <c r="L342" s="272"/>
      <c r="M342" s="272"/>
      <c r="N342" s="272"/>
      <c r="O342" s="272">
        <v>1</v>
      </c>
    </row>
    <row r="343" spans="1:17" x14ac:dyDescent="0.25">
      <c r="A343" s="271">
        <v>27</v>
      </c>
      <c r="B343" s="272"/>
      <c r="C343" s="272"/>
      <c r="D343" s="272"/>
      <c r="E343" s="272"/>
      <c r="F343" s="272">
        <v>3</v>
      </c>
      <c r="G343" s="272"/>
      <c r="H343" s="272"/>
      <c r="I343" s="272"/>
      <c r="J343" s="272"/>
      <c r="K343" s="272"/>
      <c r="L343" s="272"/>
      <c r="M343" s="272"/>
      <c r="N343" s="272"/>
      <c r="O343" s="272">
        <v>3</v>
      </c>
    </row>
    <row r="344" spans="1:17" x14ac:dyDescent="0.25">
      <c r="A344" s="273" t="s">
        <v>3072</v>
      </c>
      <c r="B344" s="272"/>
      <c r="C344" s="272"/>
      <c r="D344" s="272"/>
      <c r="E344" s="272"/>
      <c r="F344" s="272">
        <v>1</v>
      </c>
      <c r="G344" s="272"/>
      <c r="H344" s="272"/>
      <c r="I344" s="272"/>
      <c r="J344" s="272"/>
      <c r="K344" s="272"/>
      <c r="L344" s="272"/>
      <c r="M344" s="272"/>
      <c r="N344" s="272"/>
      <c r="O344" s="272">
        <v>1</v>
      </c>
    </row>
    <row r="345" spans="1:17" x14ac:dyDescent="0.25">
      <c r="A345" s="273" t="s">
        <v>3066</v>
      </c>
      <c r="B345" s="272"/>
      <c r="C345" s="272"/>
      <c r="D345" s="272"/>
      <c r="E345" s="272"/>
      <c r="F345" s="272">
        <v>1</v>
      </c>
      <c r="G345" s="272"/>
      <c r="H345" s="272"/>
      <c r="I345" s="272"/>
      <c r="J345" s="272"/>
      <c r="K345" s="272"/>
      <c r="L345" s="272"/>
      <c r="M345" s="272"/>
      <c r="N345" s="272"/>
      <c r="O345" s="272">
        <v>1</v>
      </c>
    </row>
    <row r="346" spans="1:17" x14ac:dyDescent="0.25">
      <c r="A346" s="273" t="s">
        <v>3054</v>
      </c>
      <c r="B346" s="272"/>
      <c r="C346" s="272"/>
      <c r="D346" s="272"/>
      <c r="E346" s="272"/>
      <c r="F346" s="272">
        <v>1</v>
      </c>
      <c r="G346" s="272"/>
      <c r="H346" s="272"/>
      <c r="I346" s="272"/>
      <c r="J346" s="272"/>
      <c r="K346" s="272"/>
      <c r="L346" s="272"/>
      <c r="M346" s="272"/>
      <c r="N346" s="272"/>
      <c r="O346" s="272">
        <v>1</v>
      </c>
    </row>
    <row r="347" spans="1:17" x14ac:dyDescent="0.25">
      <c r="A347" s="271" t="s">
        <v>805</v>
      </c>
      <c r="B347" s="272">
        <v>54</v>
      </c>
      <c r="C347" s="272">
        <v>2</v>
      </c>
      <c r="D347" s="272">
        <v>2</v>
      </c>
      <c r="E347" s="272">
        <v>1</v>
      </c>
      <c r="F347" s="272">
        <v>95</v>
      </c>
      <c r="G347" s="272">
        <v>8</v>
      </c>
      <c r="H347" s="272">
        <v>4</v>
      </c>
      <c r="I347" s="272">
        <v>156</v>
      </c>
      <c r="J347" s="272">
        <v>1</v>
      </c>
      <c r="K347" s="272">
        <v>1</v>
      </c>
      <c r="L347" s="272">
        <v>1</v>
      </c>
      <c r="M347" s="272">
        <v>1</v>
      </c>
      <c r="N347" s="272">
        <v>5</v>
      </c>
      <c r="O347" s="272">
        <v>331</v>
      </c>
    </row>
    <row r="349" spans="1:17" x14ac:dyDescent="0.25">
      <c r="B349">
        <v>4</v>
      </c>
      <c r="C349">
        <v>1</v>
      </c>
      <c r="F349">
        <v>2</v>
      </c>
      <c r="I349">
        <v>7</v>
      </c>
      <c r="Q349">
        <f>331-16</f>
        <v>315</v>
      </c>
    </row>
    <row r="351" spans="1:17" x14ac:dyDescent="0.25">
      <c r="C351" t="s">
        <v>3166</v>
      </c>
    </row>
    <row r="352" spans="1:17" x14ac:dyDescent="0.25">
      <c r="C352" t="s">
        <v>4573</v>
      </c>
    </row>
    <row r="353" spans="2:7" x14ac:dyDescent="0.25">
      <c r="C353" t="s">
        <v>3166</v>
      </c>
    </row>
    <row r="356" spans="2:7" x14ac:dyDescent="0.25">
      <c r="B356" t="s">
        <v>4574</v>
      </c>
      <c r="C356">
        <f>+B347-B349+C349</f>
        <v>51</v>
      </c>
      <c r="D356">
        <f>+I347-I349</f>
        <v>149</v>
      </c>
      <c r="E356">
        <f>+J347+K347+L347+M347</f>
        <v>4</v>
      </c>
      <c r="G356">
        <f>SUM(C356:F356)</f>
        <v>204</v>
      </c>
    </row>
    <row r="357" spans="2:7" x14ac:dyDescent="0.25">
      <c r="B357" t="s">
        <v>1773</v>
      </c>
      <c r="C357">
        <f>+E347</f>
        <v>1</v>
      </c>
      <c r="D357">
        <f>+F347-F349</f>
        <v>93</v>
      </c>
      <c r="E357">
        <f>+G347+H347</f>
        <v>12</v>
      </c>
      <c r="G357">
        <f>SUM(C357:F357)</f>
        <v>106</v>
      </c>
    </row>
    <row r="358" spans="2:7" x14ac:dyDescent="0.25">
      <c r="B358" t="s">
        <v>3166</v>
      </c>
      <c r="C358">
        <v>5</v>
      </c>
      <c r="G358">
        <f>SUM(C358:F358)</f>
        <v>5</v>
      </c>
    </row>
    <row r="359" spans="2:7" x14ac:dyDescent="0.25">
      <c r="G359">
        <f>SUM(G356:G358)</f>
        <v>315</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3:O31"/>
  <sheetViews>
    <sheetView workbookViewId="0">
      <selection activeCell="J3" sqref="J3:J10"/>
    </sheetView>
  </sheetViews>
  <sheetFormatPr baseColWidth="10" defaultRowHeight="15" x14ac:dyDescent="0.25"/>
  <cols>
    <col min="1" max="1" width="17.5703125" customWidth="1"/>
    <col min="2" max="2" width="32.28515625" customWidth="1"/>
    <col min="3" max="3" width="7.28515625" bestFit="1" customWidth="1"/>
    <col min="4" max="5" width="8.140625" bestFit="1" customWidth="1"/>
    <col min="6" max="6" width="11" bestFit="1" customWidth="1"/>
    <col min="7" max="7" width="12.5703125" bestFit="1" customWidth="1"/>
  </cols>
  <sheetData>
    <row r="3" spans="1:10" x14ac:dyDescent="0.25">
      <c r="A3" s="270" t="s">
        <v>803</v>
      </c>
      <c r="B3" t="s">
        <v>4572</v>
      </c>
      <c r="J3">
        <f>+H4+H5+H6+H7</f>
        <v>32</v>
      </c>
    </row>
    <row r="4" spans="1:10" x14ac:dyDescent="0.25">
      <c r="A4" s="271">
        <v>1</v>
      </c>
      <c r="B4" s="272">
        <v>4</v>
      </c>
      <c r="G4">
        <v>1</v>
      </c>
      <c r="H4">
        <v>4</v>
      </c>
      <c r="J4">
        <f>+H8+H9+H10+H11+H12+H13</f>
        <v>71</v>
      </c>
    </row>
    <row r="5" spans="1:10" x14ac:dyDescent="0.25">
      <c r="A5" s="271">
        <v>2</v>
      </c>
      <c r="B5" s="272">
        <v>7</v>
      </c>
      <c r="G5">
        <v>2</v>
      </c>
      <c r="H5">
        <v>7</v>
      </c>
      <c r="J5">
        <f>+H14</f>
        <v>29</v>
      </c>
    </row>
    <row r="6" spans="1:10" x14ac:dyDescent="0.25">
      <c r="A6" s="271">
        <v>3</v>
      </c>
      <c r="B6" s="272">
        <v>10</v>
      </c>
      <c r="G6">
        <v>3</v>
      </c>
      <c r="H6">
        <v>10</v>
      </c>
      <c r="J6">
        <f>+H15+H16+H17+H18+H19+H20+H21</f>
        <v>77</v>
      </c>
    </row>
    <row r="7" spans="1:10" x14ac:dyDescent="0.25">
      <c r="A7" s="271">
        <v>4</v>
      </c>
      <c r="B7" s="272">
        <v>11</v>
      </c>
      <c r="G7">
        <v>4</v>
      </c>
      <c r="H7">
        <v>11</v>
      </c>
      <c r="J7">
        <f>+H22</f>
        <v>35</v>
      </c>
    </row>
    <row r="8" spans="1:10" x14ac:dyDescent="0.25">
      <c r="A8" s="271">
        <v>5</v>
      </c>
      <c r="B8" s="272">
        <v>28</v>
      </c>
      <c r="G8">
        <v>5</v>
      </c>
      <c r="H8">
        <f>28-9</f>
        <v>19</v>
      </c>
      <c r="J8">
        <f>+H23+H24</f>
        <v>25</v>
      </c>
    </row>
    <row r="9" spans="1:10" x14ac:dyDescent="0.25">
      <c r="A9" s="271">
        <v>6</v>
      </c>
      <c r="B9" s="272">
        <v>13</v>
      </c>
      <c r="G9">
        <v>6</v>
      </c>
      <c r="H9">
        <f>13-1</f>
        <v>12</v>
      </c>
      <c r="J9">
        <f>+H25+H26+H27+H28+H29</f>
        <v>43</v>
      </c>
    </row>
    <row r="10" spans="1:10" x14ac:dyDescent="0.25">
      <c r="A10" s="271">
        <v>7</v>
      </c>
      <c r="B10" s="272">
        <v>8</v>
      </c>
      <c r="G10">
        <v>7</v>
      </c>
      <c r="H10">
        <v>8</v>
      </c>
      <c r="J10">
        <f>+H30</f>
        <v>3</v>
      </c>
    </row>
    <row r="11" spans="1:10" x14ac:dyDescent="0.25">
      <c r="A11" s="271">
        <v>8</v>
      </c>
      <c r="B11" s="272">
        <v>21</v>
      </c>
      <c r="G11">
        <v>8</v>
      </c>
      <c r="H11">
        <v>21</v>
      </c>
    </row>
    <row r="12" spans="1:10" x14ac:dyDescent="0.25">
      <c r="A12" s="271">
        <v>9</v>
      </c>
      <c r="B12" s="272">
        <v>6</v>
      </c>
      <c r="G12">
        <v>9</v>
      </c>
      <c r="H12">
        <v>6</v>
      </c>
    </row>
    <row r="13" spans="1:10" x14ac:dyDescent="0.25">
      <c r="A13" s="271">
        <v>10</v>
      </c>
      <c r="B13" s="272">
        <v>5</v>
      </c>
      <c r="G13">
        <v>10</v>
      </c>
      <c r="H13">
        <v>5</v>
      </c>
    </row>
    <row r="14" spans="1:10" x14ac:dyDescent="0.25">
      <c r="A14" s="271">
        <v>11</v>
      </c>
      <c r="B14" s="272">
        <v>30</v>
      </c>
      <c r="G14">
        <v>11</v>
      </c>
      <c r="H14">
        <f>30-1</f>
        <v>29</v>
      </c>
    </row>
    <row r="15" spans="1:10" x14ac:dyDescent="0.25">
      <c r="A15" s="271">
        <v>12</v>
      </c>
      <c r="B15" s="272">
        <v>8</v>
      </c>
      <c r="G15">
        <v>12</v>
      </c>
      <c r="H15">
        <f>8-1</f>
        <v>7</v>
      </c>
    </row>
    <row r="16" spans="1:10" x14ac:dyDescent="0.25">
      <c r="A16" s="271">
        <v>13</v>
      </c>
      <c r="B16" s="272">
        <v>5</v>
      </c>
      <c r="G16">
        <v>13</v>
      </c>
      <c r="H16">
        <f>5-1</f>
        <v>4</v>
      </c>
    </row>
    <row r="17" spans="1:15" x14ac:dyDescent="0.25">
      <c r="A17" s="271">
        <v>14</v>
      </c>
      <c r="B17" s="272">
        <v>35</v>
      </c>
      <c r="G17">
        <v>14</v>
      </c>
      <c r="H17">
        <f>35-1</f>
        <v>34</v>
      </c>
    </row>
    <row r="18" spans="1:15" x14ac:dyDescent="0.25">
      <c r="A18" s="271">
        <v>15</v>
      </c>
      <c r="B18" s="272">
        <v>9</v>
      </c>
      <c r="G18">
        <v>15</v>
      </c>
      <c r="H18">
        <v>9</v>
      </c>
      <c r="O18" s="274"/>
    </row>
    <row r="19" spans="1:15" x14ac:dyDescent="0.25">
      <c r="A19" s="271">
        <v>16</v>
      </c>
      <c r="B19" s="272">
        <v>8</v>
      </c>
      <c r="G19">
        <v>16</v>
      </c>
      <c r="H19">
        <v>8</v>
      </c>
      <c r="O19" s="274"/>
    </row>
    <row r="20" spans="1:15" x14ac:dyDescent="0.25">
      <c r="A20" s="271">
        <v>17</v>
      </c>
      <c r="B20" s="272">
        <v>8</v>
      </c>
      <c r="G20">
        <v>17</v>
      </c>
      <c r="H20">
        <f>8-2</f>
        <v>6</v>
      </c>
      <c r="O20" s="274"/>
    </row>
    <row r="21" spans="1:15" x14ac:dyDescent="0.25">
      <c r="A21" s="271">
        <v>18</v>
      </c>
      <c r="B21" s="272">
        <v>9</v>
      </c>
      <c r="G21">
        <v>18</v>
      </c>
      <c r="H21">
        <f>+B21</f>
        <v>9</v>
      </c>
      <c r="O21" s="274"/>
    </row>
    <row r="22" spans="1:15" x14ac:dyDescent="0.25">
      <c r="A22" s="271">
        <v>19</v>
      </c>
      <c r="B22" s="272">
        <v>35</v>
      </c>
      <c r="G22">
        <v>19</v>
      </c>
      <c r="H22">
        <f t="shared" ref="H22:H30" si="0">+B22</f>
        <v>35</v>
      </c>
    </row>
    <row r="23" spans="1:15" x14ac:dyDescent="0.25">
      <c r="A23" s="271">
        <v>20</v>
      </c>
      <c r="B23" s="272">
        <v>16</v>
      </c>
      <c r="G23">
        <v>20</v>
      </c>
      <c r="H23">
        <f t="shared" si="0"/>
        <v>16</v>
      </c>
    </row>
    <row r="24" spans="1:15" x14ac:dyDescent="0.25">
      <c r="A24" s="271">
        <v>21</v>
      </c>
      <c r="B24" s="272">
        <v>9</v>
      </c>
      <c r="G24">
        <v>21</v>
      </c>
      <c r="H24">
        <f t="shared" si="0"/>
        <v>9</v>
      </c>
    </row>
    <row r="25" spans="1:15" x14ac:dyDescent="0.25">
      <c r="A25" s="271">
        <v>22</v>
      </c>
      <c r="B25" s="272">
        <v>7</v>
      </c>
      <c r="G25">
        <v>22</v>
      </c>
      <c r="H25">
        <f t="shared" si="0"/>
        <v>7</v>
      </c>
    </row>
    <row r="26" spans="1:15" x14ac:dyDescent="0.25">
      <c r="A26" s="271">
        <v>23</v>
      </c>
      <c r="B26" s="272">
        <v>6</v>
      </c>
      <c r="G26">
        <v>23</v>
      </c>
      <c r="H26">
        <f t="shared" si="0"/>
        <v>6</v>
      </c>
    </row>
    <row r="27" spans="1:15" x14ac:dyDescent="0.25">
      <c r="A27" s="271">
        <v>24</v>
      </c>
      <c r="B27" s="272">
        <v>24</v>
      </c>
      <c r="G27">
        <v>24</v>
      </c>
      <c r="H27">
        <f t="shared" si="0"/>
        <v>24</v>
      </c>
    </row>
    <row r="28" spans="1:15" x14ac:dyDescent="0.25">
      <c r="A28" s="271">
        <v>25</v>
      </c>
      <c r="B28" s="272">
        <v>2</v>
      </c>
      <c r="G28">
        <v>25</v>
      </c>
      <c r="H28">
        <f t="shared" si="0"/>
        <v>2</v>
      </c>
    </row>
    <row r="29" spans="1:15" x14ac:dyDescent="0.25">
      <c r="A29" s="271">
        <v>26</v>
      </c>
      <c r="B29" s="272">
        <v>4</v>
      </c>
      <c r="G29">
        <v>26</v>
      </c>
      <c r="H29">
        <f t="shared" si="0"/>
        <v>4</v>
      </c>
    </row>
    <row r="30" spans="1:15" x14ac:dyDescent="0.25">
      <c r="A30" s="271">
        <v>27</v>
      </c>
      <c r="B30" s="272">
        <v>3</v>
      </c>
      <c r="G30">
        <v>27</v>
      </c>
      <c r="H30">
        <f t="shared" si="0"/>
        <v>3</v>
      </c>
    </row>
    <row r="31" spans="1:15" x14ac:dyDescent="0.25">
      <c r="A31" s="271" t="s">
        <v>805</v>
      </c>
      <c r="B31" s="272">
        <v>331</v>
      </c>
      <c r="H31">
        <f>SUM(H4:H30)</f>
        <v>315</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3:G20"/>
  <sheetViews>
    <sheetView workbookViewId="0">
      <selection activeCell="I32" sqref="I32"/>
    </sheetView>
  </sheetViews>
  <sheetFormatPr baseColWidth="10" defaultRowHeight="15" x14ac:dyDescent="0.25"/>
  <cols>
    <col min="1" max="1" width="17.5703125" customWidth="1"/>
    <col min="2" max="2" width="32.28515625" bestFit="1" customWidth="1"/>
  </cols>
  <sheetData>
    <row r="3" spans="1:7" x14ac:dyDescent="0.25">
      <c r="A3" s="270" t="s">
        <v>803</v>
      </c>
      <c r="B3" t="s">
        <v>4572</v>
      </c>
    </row>
    <row r="4" spans="1:7" x14ac:dyDescent="0.25">
      <c r="A4" s="271">
        <v>1</v>
      </c>
      <c r="B4" s="272">
        <v>11</v>
      </c>
      <c r="F4">
        <v>1</v>
      </c>
      <c r="G4">
        <f>11+15</f>
        <v>26</v>
      </c>
    </row>
    <row r="5" spans="1:7" x14ac:dyDescent="0.25">
      <c r="A5" s="271">
        <v>10</v>
      </c>
      <c r="B5" s="272">
        <v>25</v>
      </c>
      <c r="F5">
        <v>2</v>
      </c>
      <c r="G5">
        <f>52-1</f>
        <v>51</v>
      </c>
    </row>
    <row r="6" spans="1:7" x14ac:dyDescent="0.25">
      <c r="A6" s="271">
        <v>11</v>
      </c>
      <c r="B6" s="272">
        <v>27</v>
      </c>
      <c r="F6">
        <v>3</v>
      </c>
      <c r="G6">
        <f>64-9</f>
        <v>55</v>
      </c>
    </row>
    <row r="7" spans="1:7" x14ac:dyDescent="0.25">
      <c r="A7" s="271">
        <v>12</v>
      </c>
      <c r="B7" s="272">
        <v>3</v>
      </c>
      <c r="F7">
        <v>4</v>
      </c>
      <c r="G7">
        <v>8</v>
      </c>
    </row>
    <row r="8" spans="1:7" x14ac:dyDescent="0.25">
      <c r="A8" s="271" t="s">
        <v>1265</v>
      </c>
      <c r="B8" s="272">
        <v>15</v>
      </c>
      <c r="F8">
        <v>5</v>
      </c>
      <c r="G8">
        <v>34</v>
      </c>
    </row>
    <row r="9" spans="1:7" x14ac:dyDescent="0.25">
      <c r="A9" s="271" t="s">
        <v>1266</v>
      </c>
      <c r="B9" s="272">
        <v>52</v>
      </c>
      <c r="F9">
        <v>6</v>
      </c>
      <c r="G9">
        <f>47-2</f>
        <v>45</v>
      </c>
    </row>
    <row r="10" spans="1:7" x14ac:dyDescent="0.25">
      <c r="A10" s="271" t="s">
        <v>1267</v>
      </c>
      <c r="B10" s="272">
        <v>64</v>
      </c>
      <c r="F10">
        <v>7</v>
      </c>
      <c r="G10">
        <f>19-2</f>
        <v>17</v>
      </c>
    </row>
    <row r="11" spans="1:7" x14ac:dyDescent="0.25">
      <c r="A11" s="271" t="s">
        <v>1268</v>
      </c>
      <c r="B11" s="272">
        <v>8</v>
      </c>
      <c r="F11">
        <v>8</v>
      </c>
      <c r="G11">
        <v>13</v>
      </c>
    </row>
    <row r="12" spans="1:7" x14ac:dyDescent="0.25">
      <c r="A12" s="271" t="s">
        <v>3905</v>
      </c>
      <c r="B12" s="272">
        <v>34</v>
      </c>
      <c r="F12">
        <v>9</v>
      </c>
      <c r="G12">
        <v>4</v>
      </c>
    </row>
    <row r="13" spans="1:7" x14ac:dyDescent="0.25">
      <c r="A13" s="271" t="s">
        <v>1269</v>
      </c>
      <c r="B13" s="272">
        <v>47</v>
      </c>
      <c r="F13">
        <v>10</v>
      </c>
      <c r="G13">
        <v>25</v>
      </c>
    </row>
    <row r="14" spans="1:7" x14ac:dyDescent="0.25">
      <c r="A14" s="271" t="s">
        <v>1270</v>
      </c>
      <c r="B14" s="272">
        <v>19</v>
      </c>
      <c r="F14">
        <v>11</v>
      </c>
      <c r="G14">
        <f>27+3-1</f>
        <v>29</v>
      </c>
    </row>
    <row r="15" spans="1:7" x14ac:dyDescent="0.25">
      <c r="A15" s="271" t="s">
        <v>1271</v>
      </c>
      <c r="B15" s="272">
        <v>13</v>
      </c>
      <c r="F15">
        <v>12</v>
      </c>
      <c r="G15">
        <v>3</v>
      </c>
    </row>
    <row r="16" spans="1:7" x14ac:dyDescent="0.25">
      <c r="A16" s="271" t="s">
        <v>1272</v>
      </c>
      <c r="B16" s="272">
        <v>4</v>
      </c>
      <c r="F16" t="s">
        <v>3166</v>
      </c>
      <c r="G16">
        <v>5</v>
      </c>
    </row>
    <row r="17" spans="1:7" x14ac:dyDescent="0.25">
      <c r="A17" s="271" t="s">
        <v>1274</v>
      </c>
      <c r="B17" s="272">
        <v>3</v>
      </c>
      <c r="G17">
        <f>SUM(G4:G16)</f>
        <v>315</v>
      </c>
    </row>
    <row r="18" spans="1:7" x14ac:dyDescent="0.25">
      <c r="A18" s="271" t="s">
        <v>3166</v>
      </c>
      <c r="B18" s="272">
        <v>1</v>
      </c>
    </row>
    <row r="19" spans="1:7" x14ac:dyDescent="0.25">
      <c r="A19" s="271" t="s">
        <v>804</v>
      </c>
      <c r="B19" s="272">
        <v>5</v>
      </c>
    </row>
    <row r="20" spans="1:7" x14ac:dyDescent="0.25">
      <c r="A20" s="271" t="s">
        <v>805</v>
      </c>
      <c r="B20" s="272">
        <v>331</v>
      </c>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EM334"/>
  <sheetViews>
    <sheetView tabSelected="1" zoomScale="55" zoomScaleNormal="55" workbookViewId="0">
      <selection activeCell="G3" sqref="G3"/>
    </sheetView>
  </sheetViews>
  <sheetFormatPr baseColWidth="10" defaultColWidth="16.28515625" defaultRowHeight="15" x14ac:dyDescent="0.25"/>
  <cols>
    <col min="1" max="1" width="16.42578125" style="39" bestFit="1" customWidth="1"/>
    <col min="2" max="2" width="16.42578125" style="26" bestFit="1" customWidth="1"/>
    <col min="3" max="3" width="7.140625" style="26" customWidth="1"/>
    <col min="4" max="4" width="16.28515625" style="26"/>
    <col min="5" max="5" width="9.7109375" style="26" customWidth="1"/>
    <col min="6" max="6" width="16.28515625" style="26"/>
    <col min="7" max="7" width="9.85546875" style="27" customWidth="1"/>
    <col min="8" max="8" width="12.28515625" style="27" customWidth="1"/>
    <col min="9" max="9" width="13.7109375" style="27" customWidth="1"/>
    <col min="10" max="10" width="16.28515625" style="27"/>
    <col min="11" max="11" width="16.42578125" style="27" bestFit="1" customWidth="1"/>
    <col min="12" max="12" width="21.7109375" style="26" customWidth="1"/>
    <col min="13" max="13" width="16.28515625" style="28"/>
    <col min="14" max="14" width="16.42578125" style="26" bestFit="1" customWidth="1"/>
    <col min="15" max="15" width="16.28515625" style="26"/>
    <col min="16" max="18" width="16.42578125" style="26" bestFit="1" customWidth="1"/>
    <col min="19" max="19" width="16.42578125" style="29" bestFit="1" customWidth="1"/>
    <col min="20" max="20" width="10.28515625" style="26" customWidth="1"/>
    <col min="21" max="22" width="16.42578125" style="26" bestFit="1" customWidth="1"/>
    <col min="23" max="23" width="16.42578125" style="30" bestFit="1" customWidth="1"/>
    <col min="24" max="24" width="16.42578125" style="26" bestFit="1" customWidth="1"/>
    <col min="25" max="26" width="11.5703125" style="26" customWidth="1"/>
    <col min="27" max="28" width="16.42578125" style="26" bestFit="1" customWidth="1"/>
    <col min="29" max="29" width="16.42578125" style="28" bestFit="1" customWidth="1"/>
    <col min="30" max="30" width="26.85546875" style="26" customWidth="1"/>
    <col min="31" max="32" width="16.28515625" style="26"/>
    <col min="33" max="33" width="16.28515625" style="31"/>
    <col min="34" max="34" width="16.42578125" style="26" bestFit="1" customWidth="1"/>
    <col min="35" max="35" width="16.42578125" style="32" bestFit="1" customWidth="1"/>
    <col min="36" max="36" width="16.42578125" style="26" bestFit="1" customWidth="1"/>
    <col min="37" max="38" width="16.28515625" style="26"/>
    <col min="39" max="39" width="16.42578125" style="33" bestFit="1" customWidth="1"/>
    <col min="40" max="41" width="16.28515625" style="26"/>
    <col min="42" max="42" width="16.28515625" style="34"/>
    <col min="43" max="43" width="54.85546875" style="34" customWidth="1"/>
    <col min="44" max="44" width="16.28515625" style="34"/>
    <col min="45" max="45" width="16.42578125" style="34" bestFit="1" customWidth="1"/>
    <col min="46" max="47" width="16.28515625" style="34"/>
    <col min="48" max="48" width="16.42578125" style="34" bestFit="1" customWidth="1"/>
    <col min="49" max="49" width="26" style="34" customWidth="1"/>
    <col min="50" max="50" width="16.42578125" style="32" bestFit="1" customWidth="1"/>
    <col min="51" max="51" width="16.42578125" style="26" bestFit="1" customWidth="1"/>
    <col min="52" max="55" width="16.28515625" style="26"/>
    <col min="56" max="57" width="16.42578125" style="26" bestFit="1" customWidth="1"/>
    <col min="58" max="60" width="16.28515625" style="26"/>
    <col min="61" max="61" width="22.28515625" style="26" customWidth="1"/>
    <col min="62" max="63" width="16.28515625" style="26"/>
    <col min="64" max="69" width="16.42578125" style="26" bestFit="1" customWidth="1"/>
    <col min="70" max="70" width="16.42578125" style="32" bestFit="1" customWidth="1"/>
    <col min="71" max="80" width="16.42578125" style="26" bestFit="1" customWidth="1"/>
    <col min="81" max="81" width="16.85546875" style="26" bestFit="1" customWidth="1"/>
    <col min="82" max="84" width="16.42578125" style="26" bestFit="1" customWidth="1"/>
    <col min="85" max="85" width="16.85546875" style="26" bestFit="1" customWidth="1"/>
    <col min="86" max="88" width="16.42578125" style="26" bestFit="1" customWidth="1"/>
    <col min="89" max="89" width="16.85546875" style="26" bestFit="1" customWidth="1"/>
    <col min="90" max="91" width="16.42578125" style="26" bestFit="1" customWidth="1"/>
    <col min="92" max="16384" width="16.28515625" style="26"/>
  </cols>
  <sheetData>
    <row r="1" spans="1:143" s="1" customFormat="1" ht="15" customHeight="1" x14ac:dyDescent="0.25">
      <c r="A1" s="38"/>
      <c r="B1" s="289" t="s">
        <v>22</v>
      </c>
      <c r="C1" s="289"/>
      <c r="D1" s="289"/>
      <c r="E1" s="289"/>
      <c r="F1" s="289"/>
      <c r="G1" s="289"/>
      <c r="H1" s="289"/>
      <c r="I1" s="289"/>
      <c r="J1" s="289"/>
      <c r="K1" s="289"/>
      <c r="L1" s="289"/>
      <c r="M1" s="291" t="s">
        <v>1333</v>
      </c>
      <c r="N1" s="291"/>
      <c r="O1" s="291"/>
      <c r="P1" s="291"/>
      <c r="Q1" s="291"/>
      <c r="R1" s="291"/>
      <c r="S1" s="291"/>
      <c r="T1" s="291"/>
      <c r="U1" s="291"/>
      <c r="V1" s="291"/>
      <c r="W1" s="291"/>
      <c r="X1" s="291"/>
      <c r="Y1" s="291"/>
      <c r="Z1" s="291"/>
      <c r="AA1" s="291"/>
      <c r="AB1" s="25"/>
      <c r="AC1" s="294" t="s">
        <v>1238</v>
      </c>
      <c r="AD1" s="294"/>
      <c r="AE1" s="294"/>
      <c r="AF1" s="294"/>
      <c r="AG1" s="294"/>
      <c r="AH1" s="290" t="s">
        <v>23</v>
      </c>
      <c r="AI1" s="290"/>
      <c r="AJ1" s="290"/>
      <c r="AK1" s="290"/>
      <c r="AL1" s="290"/>
      <c r="AM1" s="290"/>
      <c r="AN1" s="290"/>
      <c r="AO1" s="290"/>
      <c r="AP1" s="290"/>
      <c r="AQ1" s="290"/>
      <c r="AR1" s="290"/>
      <c r="AS1" s="290"/>
      <c r="AT1" s="290"/>
      <c r="AU1" s="290"/>
      <c r="AV1" s="290"/>
      <c r="AW1" s="290"/>
      <c r="AX1" s="290" t="s">
        <v>24</v>
      </c>
      <c r="AY1" s="290"/>
      <c r="AZ1" s="290"/>
      <c r="BA1" s="290"/>
      <c r="BB1" s="290"/>
      <c r="BC1" s="290"/>
      <c r="BD1" s="290"/>
      <c r="BE1" s="290"/>
      <c r="BF1" s="290"/>
      <c r="BG1" s="290"/>
      <c r="BH1" s="290"/>
      <c r="BI1" s="290"/>
      <c r="BJ1" s="290"/>
      <c r="BK1" s="290"/>
      <c r="BL1" s="290"/>
      <c r="BM1" s="290" t="s">
        <v>25</v>
      </c>
      <c r="BN1" s="290"/>
      <c r="BO1" s="290"/>
      <c r="BP1" s="290"/>
      <c r="BQ1" s="290"/>
      <c r="BR1" s="290"/>
      <c r="BS1" s="290" t="s">
        <v>1</v>
      </c>
      <c r="BT1" s="290"/>
      <c r="BU1" s="290"/>
      <c r="BV1" s="290"/>
      <c r="BW1" s="290"/>
      <c r="BX1" s="290"/>
      <c r="BY1" s="290"/>
      <c r="BZ1" s="290"/>
      <c r="CA1" s="290"/>
      <c r="CB1" s="290"/>
      <c r="CC1" s="290"/>
      <c r="CD1" s="290"/>
      <c r="CE1" s="290"/>
      <c r="CF1" s="290"/>
      <c r="CG1" s="290"/>
      <c r="CH1" s="290"/>
      <c r="CI1" s="290"/>
      <c r="CJ1" s="290"/>
      <c r="CK1" s="290"/>
      <c r="CL1" s="290"/>
      <c r="CM1" s="292" t="s">
        <v>1243</v>
      </c>
      <c r="CN1" s="292"/>
      <c r="CO1" s="293" t="s">
        <v>1263</v>
      </c>
      <c r="CP1" s="293"/>
      <c r="CQ1" s="293"/>
    </row>
    <row r="2" spans="1:143" s="1" customFormat="1" ht="18.75" x14ac:dyDescent="0.25">
      <c r="A2" s="38"/>
      <c r="B2" s="289"/>
      <c r="C2" s="289"/>
      <c r="D2" s="289"/>
      <c r="E2" s="289"/>
      <c r="F2" s="289"/>
      <c r="G2" s="289"/>
      <c r="H2" s="289"/>
      <c r="I2" s="289"/>
      <c r="J2" s="289"/>
      <c r="K2" s="289"/>
      <c r="L2" s="289"/>
      <c r="M2" s="291"/>
      <c r="N2" s="291"/>
      <c r="O2" s="291"/>
      <c r="P2" s="291"/>
      <c r="Q2" s="291"/>
      <c r="R2" s="291"/>
      <c r="S2" s="291"/>
      <c r="T2" s="291"/>
      <c r="U2" s="291"/>
      <c r="V2" s="291"/>
      <c r="W2" s="291"/>
      <c r="X2" s="291"/>
      <c r="Y2" s="291"/>
      <c r="Z2" s="291"/>
      <c r="AA2" s="291"/>
      <c r="AB2" s="35"/>
      <c r="AC2" s="294"/>
      <c r="AD2" s="294"/>
      <c r="AE2" s="294"/>
      <c r="AF2" s="294"/>
      <c r="AG2" s="294"/>
      <c r="AH2" s="290"/>
      <c r="AI2" s="290"/>
      <c r="AJ2" s="290"/>
      <c r="AK2" s="290"/>
      <c r="AL2" s="290"/>
      <c r="AM2" s="290"/>
      <c r="AN2" s="290"/>
      <c r="AO2" s="290"/>
      <c r="AP2" s="290"/>
      <c r="AQ2" s="290"/>
      <c r="AR2" s="290"/>
      <c r="AS2" s="290"/>
      <c r="AT2" s="290"/>
      <c r="AU2" s="290"/>
      <c r="AV2" s="290"/>
      <c r="AW2" s="290"/>
      <c r="AX2" s="290"/>
      <c r="AY2" s="290"/>
      <c r="AZ2" s="290"/>
      <c r="BA2" s="290"/>
      <c r="BB2" s="290"/>
      <c r="BC2" s="290"/>
      <c r="BD2" s="290"/>
      <c r="BE2" s="290"/>
      <c r="BF2" s="290"/>
      <c r="BG2" s="290"/>
      <c r="BH2" s="290"/>
      <c r="BI2" s="290"/>
      <c r="BJ2" s="290"/>
      <c r="BK2" s="290"/>
      <c r="BL2" s="290"/>
      <c r="BM2" s="290"/>
      <c r="BN2" s="290"/>
      <c r="BO2" s="290"/>
      <c r="BP2" s="290"/>
      <c r="BQ2" s="290"/>
      <c r="BR2" s="290"/>
      <c r="BS2" s="290"/>
      <c r="BT2" s="290"/>
      <c r="BU2" s="290"/>
      <c r="BV2" s="290"/>
      <c r="BW2" s="290"/>
      <c r="BX2" s="290"/>
      <c r="BY2" s="290"/>
      <c r="BZ2" s="290"/>
      <c r="CA2" s="290"/>
      <c r="CB2" s="290"/>
      <c r="CC2" s="290"/>
      <c r="CD2" s="290"/>
      <c r="CE2" s="290"/>
      <c r="CF2" s="290"/>
      <c r="CG2" s="290"/>
      <c r="CH2" s="290"/>
      <c r="CI2" s="290"/>
      <c r="CJ2" s="290"/>
      <c r="CK2" s="290"/>
      <c r="CL2" s="290"/>
      <c r="CM2" s="292"/>
      <c r="CN2" s="292"/>
      <c r="CO2" s="293"/>
      <c r="CP2" s="293"/>
      <c r="CQ2" s="293"/>
    </row>
    <row r="3" spans="1:143" s="2" customFormat="1" ht="266.25" x14ac:dyDescent="0.2">
      <c r="A3" s="171" t="s">
        <v>1619</v>
      </c>
      <c r="B3" s="54" t="s">
        <v>1337</v>
      </c>
      <c r="C3" s="55" t="s">
        <v>806</v>
      </c>
      <c r="D3" s="56" t="s">
        <v>27</v>
      </c>
      <c r="E3" s="56" t="s">
        <v>807</v>
      </c>
      <c r="F3" s="56" t="s">
        <v>29</v>
      </c>
      <c r="G3" s="54" t="s">
        <v>1338</v>
      </c>
      <c r="H3" s="56" t="s">
        <v>30</v>
      </c>
      <c r="I3" s="56" t="s">
        <v>31</v>
      </c>
      <c r="J3" s="56" t="s">
        <v>32</v>
      </c>
      <c r="K3" s="56" t="s">
        <v>1367</v>
      </c>
      <c r="L3" s="56" t="s">
        <v>33</v>
      </c>
      <c r="M3" s="56" t="s">
        <v>34</v>
      </c>
      <c r="N3" s="56" t="s">
        <v>35</v>
      </c>
      <c r="O3" s="57" t="s">
        <v>1219</v>
      </c>
      <c r="P3" s="58" t="s">
        <v>801</v>
      </c>
      <c r="Q3" s="58" t="s">
        <v>802</v>
      </c>
      <c r="R3" s="58" t="s">
        <v>1242</v>
      </c>
      <c r="S3" s="58" t="s">
        <v>36</v>
      </c>
      <c r="T3" s="58" t="s">
        <v>37</v>
      </c>
      <c r="U3" s="58" t="s">
        <v>38</v>
      </c>
      <c r="V3" s="58" t="s">
        <v>39</v>
      </c>
      <c r="W3" s="58" t="s">
        <v>40</v>
      </c>
      <c r="X3" s="58" t="s">
        <v>41</v>
      </c>
      <c r="Y3" s="58" t="s">
        <v>1340</v>
      </c>
      <c r="Z3" s="58" t="s">
        <v>1341</v>
      </c>
      <c r="AA3" s="59" t="s">
        <v>1218</v>
      </c>
      <c r="AB3" s="60" t="s">
        <v>42</v>
      </c>
      <c r="AC3" s="61" t="s">
        <v>1237</v>
      </c>
      <c r="AD3" s="61" t="s">
        <v>1244</v>
      </c>
      <c r="AE3" s="61" t="s">
        <v>1335</v>
      </c>
      <c r="AF3" s="61" t="s">
        <v>1336</v>
      </c>
      <c r="AG3" s="62" t="s">
        <v>1342</v>
      </c>
      <c r="AH3" s="54" t="s">
        <v>1339</v>
      </c>
      <c r="AI3" s="63" t="s">
        <v>1343</v>
      </c>
      <c r="AJ3" s="63" t="s">
        <v>1344</v>
      </c>
      <c r="AK3" s="64" t="s">
        <v>1232</v>
      </c>
      <c r="AL3" s="65" t="s">
        <v>1334</v>
      </c>
      <c r="AM3" s="66" t="s">
        <v>1351</v>
      </c>
      <c r="AN3" s="63" t="s">
        <v>1256</v>
      </c>
      <c r="AO3" s="63" t="s">
        <v>1233</v>
      </c>
      <c r="AP3" s="63" t="s">
        <v>1246</v>
      </c>
      <c r="AQ3" s="63" t="s">
        <v>1249</v>
      </c>
      <c r="AR3" s="63" t="s">
        <v>1247</v>
      </c>
      <c r="AS3" s="63" t="s">
        <v>1250</v>
      </c>
      <c r="AT3" s="63" t="s">
        <v>1251</v>
      </c>
      <c r="AU3" s="63" t="s">
        <v>1252</v>
      </c>
      <c r="AV3" s="63" t="s">
        <v>1230</v>
      </c>
      <c r="AW3" s="63" t="s">
        <v>1248</v>
      </c>
      <c r="AX3" s="63" t="s">
        <v>1346</v>
      </c>
      <c r="AY3" s="63" t="s">
        <v>1345</v>
      </c>
      <c r="AZ3" s="63" t="s">
        <v>1368</v>
      </c>
      <c r="BA3" s="63" t="s">
        <v>1226</v>
      </c>
      <c r="BB3" s="63" t="s">
        <v>1231</v>
      </c>
      <c r="BC3" s="63" t="s">
        <v>1258</v>
      </c>
      <c r="BD3" s="63" t="s">
        <v>1234</v>
      </c>
      <c r="BE3" s="63" t="s">
        <v>1227</v>
      </c>
      <c r="BF3" s="63" t="s">
        <v>1228</v>
      </c>
      <c r="BG3" s="63" t="s">
        <v>1245</v>
      </c>
      <c r="BH3" s="63" t="s">
        <v>2</v>
      </c>
      <c r="BI3" s="63" t="s">
        <v>1352</v>
      </c>
      <c r="BJ3" s="63" t="s">
        <v>1353</v>
      </c>
      <c r="BK3" s="63" t="s">
        <v>1355</v>
      </c>
      <c r="BL3" s="63" t="s">
        <v>1354</v>
      </c>
      <c r="BM3" s="67" t="s">
        <v>43</v>
      </c>
      <c r="BN3" s="67" t="s">
        <v>44</v>
      </c>
      <c r="BO3" s="68" t="s">
        <v>1356</v>
      </c>
      <c r="BP3" s="68" t="s">
        <v>1253</v>
      </c>
      <c r="BQ3" s="68" t="s">
        <v>1254</v>
      </c>
      <c r="BR3" s="68" t="s">
        <v>1255</v>
      </c>
      <c r="BS3" s="67" t="s">
        <v>45</v>
      </c>
      <c r="BT3" s="69" t="s">
        <v>3</v>
      </c>
      <c r="BU3" s="70" t="s">
        <v>46</v>
      </c>
      <c r="BV3" s="71" t="s">
        <v>47</v>
      </c>
      <c r="BW3" s="67" t="s">
        <v>48</v>
      </c>
      <c r="BX3" s="69" t="s">
        <v>4</v>
      </c>
      <c r="BY3" s="70" t="s">
        <v>49</v>
      </c>
      <c r="BZ3" s="71" t="s">
        <v>50</v>
      </c>
      <c r="CA3" s="67" t="s">
        <v>51</v>
      </c>
      <c r="CB3" s="69" t="s">
        <v>5</v>
      </c>
      <c r="CC3" s="70" t="s">
        <v>52</v>
      </c>
      <c r="CD3" s="71" t="s">
        <v>53</v>
      </c>
      <c r="CE3" s="67" t="s">
        <v>54</v>
      </c>
      <c r="CF3" s="69" t="s">
        <v>6</v>
      </c>
      <c r="CG3" s="70" t="s">
        <v>55</v>
      </c>
      <c r="CH3" s="71" t="s">
        <v>56</v>
      </c>
      <c r="CI3" s="67" t="s">
        <v>57</v>
      </c>
      <c r="CJ3" s="69" t="s">
        <v>7</v>
      </c>
      <c r="CK3" s="70" t="s">
        <v>58</v>
      </c>
      <c r="CL3" s="71" t="s">
        <v>8</v>
      </c>
      <c r="CM3" s="72" t="s">
        <v>1264</v>
      </c>
      <c r="CN3" s="72" t="s">
        <v>1362</v>
      </c>
      <c r="CO3" s="73" t="s">
        <v>1260</v>
      </c>
      <c r="CP3" s="74" t="s">
        <v>1261</v>
      </c>
      <c r="CQ3" s="75" t="s">
        <v>1262</v>
      </c>
      <c r="CS3" s="2">
        <v>3</v>
      </c>
    </row>
    <row r="4" spans="1:143" s="5" customFormat="1" ht="171" customHeight="1" x14ac:dyDescent="0.2">
      <c r="A4" s="276">
        <v>1</v>
      </c>
      <c r="B4" s="216" t="s">
        <v>4580</v>
      </c>
      <c r="C4" s="195" t="s">
        <v>1265</v>
      </c>
      <c r="D4" s="189" t="s">
        <v>0</v>
      </c>
      <c r="E4" s="269" t="s">
        <v>1265</v>
      </c>
      <c r="F4" s="189" t="s">
        <v>59</v>
      </c>
      <c r="G4" s="269" t="s">
        <v>3391</v>
      </c>
      <c r="H4" s="276" t="s">
        <v>60</v>
      </c>
      <c r="I4" s="276">
        <v>1</v>
      </c>
      <c r="J4" s="276" t="s">
        <v>60</v>
      </c>
      <c r="K4" s="276" t="str">
        <f>CONCATENATE(C4,E4,G4)</f>
        <v>0101001</v>
      </c>
      <c r="L4" s="189" t="s">
        <v>14</v>
      </c>
      <c r="M4" s="276" t="s">
        <v>61</v>
      </c>
      <c r="N4" s="189" t="s">
        <v>61</v>
      </c>
      <c r="O4" s="189" t="s">
        <v>62</v>
      </c>
      <c r="P4" s="276" t="s">
        <v>63</v>
      </c>
      <c r="Q4" s="276" t="s">
        <v>64</v>
      </c>
      <c r="R4" s="276">
        <v>1</v>
      </c>
      <c r="S4" s="276"/>
      <c r="T4" s="276" t="s">
        <v>65</v>
      </c>
      <c r="U4" s="276"/>
      <c r="V4" s="276">
        <v>1</v>
      </c>
      <c r="W4" s="189" t="s">
        <v>66</v>
      </c>
      <c r="X4" s="173" t="e">
        <f>100/COUNTIFS(($B$4:$B$7),C4,($D$4:$D$7),E4)</f>
        <v>#DIV/0!</v>
      </c>
      <c r="Y4" s="276">
        <f>COUNTIF(T4,"RS")</f>
        <v>1</v>
      </c>
      <c r="Z4" s="276">
        <v>0</v>
      </c>
      <c r="AA4" s="276" t="s">
        <v>1220</v>
      </c>
      <c r="AB4" s="276">
        <v>1</v>
      </c>
      <c r="AC4" s="275">
        <v>1</v>
      </c>
      <c r="AD4" s="189" t="s">
        <v>3588</v>
      </c>
      <c r="AE4" s="189" t="s">
        <v>1275</v>
      </c>
      <c r="AF4" s="79"/>
      <c r="AG4" s="276" t="s">
        <v>1235</v>
      </c>
      <c r="AH4" s="180">
        <f>100/(COUNTA(AG4:AG7))</f>
        <v>25</v>
      </c>
      <c r="AI4" s="269" t="s">
        <v>3157</v>
      </c>
      <c r="AJ4" s="83" t="str">
        <f>CONCATENATE(K4,AI4)</f>
        <v>01010011</v>
      </c>
      <c r="AK4" s="276" t="s">
        <v>3392</v>
      </c>
      <c r="AL4" s="276" t="s">
        <v>1259</v>
      </c>
      <c r="AM4" s="276" t="s">
        <v>1349</v>
      </c>
      <c r="AN4" s="189" t="s">
        <v>3393</v>
      </c>
      <c r="AO4" s="276" t="s">
        <v>3394</v>
      </c>
      <c r="AP4" s="163" t="s">
        <v>3538</v>
      </c>
      <c r="AQ4" s="77"/>
      <c r="AR4" s="83" t="s">
        <v>3395</v>
      </c>
      <c r="AS4" s="83" t="s">
        <v>3396</v>
      </c>
      <c r="AT4" s="83" t="s">
        <v>3397</v>
      </c>
      <c r="AU4" s="83" t="s">
        <v>3396</v>
      </c>
      <c r="AV4" s="189" t="s">
        <v>3398</v>
      </c>
      <c r="AW4" s="83" t="s">
        <v>3399</v>
      </c>
      <c r="AX4" s="276">
        <v>1</v>
      </c>
      <c r="AY4" s="276" t="str">
        <f>CONCATENATE(AJ4,AX4)</f>
        <v>010100111</v>
      </c>
      <c r="AZ4" s="276" t="s">
        <v>3400</v>
      </c>
      <c r="BA4" s="276" t="s">
        <v>16</v>
      </c>
      <c r="BB4" s="276" t="s">
        <v>1514</v>
      </c>
      <c r="BC4" s="276" t="s">
        <v>11</v>
      </c>
      <c r="BD4" s="189" t="s">
        <v>3398</v>
      </c>
      <c r="BE4" s="276" t="s">
        <v>9</v>
      </c>
      <c r="BF4" s="275" t="s">
        <v>17</v>
      </c>
      <c r="BG4" s="276" t="s">
        <v>3159</v>
      </c>
      <c r="BH4" s="276" t="s">
        <v>3160</v>
      </c>
      <c r="BI4" s="276" t="s">
        <v>3161</v>
      </c>
      <c r="BJ4" s="276" t="s">
        <v>3162</v>
      </c>
      <c r="BK4" s="276" t="s">
        <v>3163</v>
      </c>
      <c r="BL4" s="276" t="s">
        <v>3164</v>
      </c>
      <c r="BM4" s="144">
        <v>42309</v>
      </c>
      <c r="BN4" s="187">
        <v>0.16839999999999999</v>
      </c>
      <c r="BO4" s="187">
        <v>9.5000000000000001E-2</v>
      </c>
      <c r="BP4" s="276"/>
      <c r="BQ4" s="187">
        <f>+BO4-BN4</f>
        <v>-7.3399999999999993E-2</v>
      </c>
      <c r="BR4" s="276">
        <v>5</v>
      </c>
      <c r="BS4" s="188">
        <f>+BN4-(((BQ4)/5)*(-1))</f>
        <v>0.15372</v>
      </c>
      <c r="BT4" s="89">
        <v>0.18280879999999999</v>
      </c>
      <c r="BU4" s="188">
        <f>+BT4-BN4</f>
        <v>1.4408799999999999E-2</v>
      </c>
      <c r="BV4" s="188">
        <f>+BU4/BQ4</f>
        <v>-0.19630517711171663</v>
      </c>
      <c r="BW4" s="188">
        <f>+BN4-(((BQ4)/5)*(-2))</f>
        <v>0.13904</v>
      </c>
      <c r="BX4" s="188">
        <v>0.17119999999999999</v>
      </c>
      <c r="BY4" s="188">
        <f>+BX4-BN4</f>
        <v>2.7999999999999969E-3</v>
      </c>
      <c r="BZ4" s="89">
        <f>+BY4/BQ4</f>
        <v>-3.8147138964577616E-2</v>
      </c>
      <c r="CA4" s="188">
        <f>+BN4-(((BQ4)/5)*(-3))</f>
        <v>0.12436</v>
      </c>
      <c r="CB4" s="188"/>
      <c r="CC4" s="188">
        <f>+CB4-BN4</f>
        <v>-0.16839999999999999</v>
      </c>
      <c r="CD4" s="188">
        <f>+CC4/BQ4</f>
        <v>2.2942779291553137</v>
      </c>
      <c r="CE4" s="188">
        <f>+BN4-(((BQ4)/5)*(-4))</f>
        <v>0.10968</v>
      </c>
      <c r="CF4" s="188"/>
      <c r="CG4" s="188">
        <f>+CF4-BN4</f>
        <v>-0.16839999999999999</v>
      </c>
      <c r="CH4" s="188">
        <f>+CG4/BQ4</f>
        <v>2.2942779291553137</v>
      </c>
      <c r="CI4" s="188">
        <f>+BN4-(((BQ4)/5)*(-5))</f>
        <v>9.5000000000000001E-2</v>
      </c>
      <c r="CJ4" s="188"/>
      <c r="CK4" s="188">
        <f>+CJ4-BN4</f>
        <v>-0.16839999999999999</v>
      </c>
      <c r="CL4" s="89">
        <f>+CK4/BQ4</f>
        <v>2.2942779291553137</v>
      </c>
      <c r="CM4" s="89" t="s">
        <v>11</v>
      </c>
      <c r="CN4" s="188" t="s">
        <v>1363</v>
      </c>
      <c r="CO4" s="188" t="s">
        <v>1365</v>
      </c>
      <c r="CP4" s="188"/>
      <c r="CQ4" s="188"/>
      <c r="CR4" s="24"/>
      <c r="CS4" s="24">
        <v>4</v>
      </c>
      <c r="CT4" s="24"/>
      <c r="CU4" s="24"/>
      <c r="CV4" s="24"/>
      <c r="CW4" s="24"/>
      <c r="CX4" s="24"/>
      <c r="CY4" s="24"/>
      <c r="CZ4" s="24"/>
      <c r="DA4" s="24"/>
      <c r="DB4" s="24"/>
      <c r="DC4" s="24"/>
      <c r="DD4" s="24"/>
      <c r="DE4" s="24"/>
      <c r="DF4" s="24"/>
      <c r="DG4" s="24"/>
      <c r="DH4" s="24"/>
      <c r="DI4" s="24"/>
      <c r="DJ4" s="24"/>
      <c r="DK4" s="24"/>
      <c r="DL4" s="24"/>
      <c r="DM4" s="24"/>
      <c r="DN4" s="24"/>
      <c r="DO4" s="24"/>
      <c r="DP4" s="24"/>
      <c r="DQ4" s="24"/>
      <c r="DR4" s="24"/>
      <c r="DS4" s="24"/>
      <c r="DT4" s="24"/>
      <c r="DU4" s="24"/>
      <c r="DV4" s="24"/>
      <c r="DW4" s="24"/>
      <c r="DX4" s="24"/>
      <c r="DY4" s="24"/>
      <c r="DZ4" s="24"/>
      <c r="EA4" s="24"/>
      <c r="EB4" s="24"/>
      <c r="EC4" s="24"/>
      <c r="ED4" s="24"/>
      <c r="EE4" s="24"/>
      <c r="EF4" s="24"/>
      <c r="EG4" s="24"/>
      <c r="EH4" s="24"/>
      <c r="EI4" s="24"/>
      <c r="EJ4" s="24"/>
      <c r="EK4" s="24"/>
      <c r="EL4" s="24"/>
      <c r="EM4" s="24"/>
    </row>
    <row r="5" spans="1:143" s="5" customFormat="1" ht="171" customHeight="1" x14ac:dyDescent="0.2">
      <c r="A5" s="276">
        <v>1</v>
      </c>
      <c r="B5" s="216" t="s">
        <v>4580</v>
      </c>
      <c r="C5" s="269" t="s">
        <v>1265</v>
      </c>
      <c r="D5" s="189" t="s">
        <v>0</v>
      </c>
      <c r="E5" s="269" t="s">
        <v>1265</v>
      </c>
      <c r="F5" s="189" t="s">
        <v>59</v>
      </c>
      <c r="G5" s="269" t="s">
        <v>3401</v>
      </c>
      <c r="H5" s="276" t="s">
        <v>67</v>
      </c>
      <c r="I5" s="276">
        <v>2</v>
      </c>
      <c r="J5" s="276" t="s">
        <v>67</v>
      </c>
      <c r="K5" s="276" t="str">
        <f>CONCATENATE(C5,E5,G5)</f>
        <v>0101002</v>
      </c>
      <c r="L5" s="189" t="s">
        <v>3402</v>
      </c>
      <c r="M5" s="276" t="s">
        <v>61</v>
      </c>
      <c r="N5" s="189" t="s">
        <v>61</v>
      </c>
      <c r="O5" s="189" t="s">
        <v>62</v>
      </c>
      <c r="P5" s="276" t="s">
        <v>63</v>
      </c>
      <c r="Q5" s="276" t="s">
        <v>64</v>
      </c>
      <c r="R5" s="276">
        <v>1</v>
      </c>
      <c r="S5" s="276"/>
      <c r="T5" s="276" t="s">
        <v>65</v>
      </c>
      <c r="U5" s="276"/>
      <c r="V5" s="276">
        <v>1</v>
      </c>
      <c r="W5" s="83" t="s">
        <v>66</v>
      </c>
      <c r="X5" s="173" t="e">
        <f>100/COUNTIFS(($B$4:$B$7),C5,($D$4:$D$7),E5)</f>
        <v>#DIV/0!</v>
      </c>
      <c r="Y5" s="276">
        <f>COUNTIF(T5,"RS")</f>
        <v>1</v>
      </c>
      <c r="Z5" s="276">
        <v>0</v>
      </c>
      <c r="AA5" s="276" t="s">
        <v>1220</v>
      </c>
      <c r="AB5" s="276">
        <v>1</v>
      </c>
      <c r="AC5" s="275">
        <v>1</v>
      </c>
      <c r="AD5" s="189" t="s">
        <v>3588</v>
      </c>
      <c r="AE5" s="189" t="s">
        <v>1275</v>
      </c>
      <c r="AF5" s="79"/>
      <c r="AG5" s="276" t="s">
        <v>1235</v>
      </c>
      <c r="AH5" s="180">
        <f>100/(COUNTA(AG4:AG7))</f>
        <v>25</v>
      </c>
      <c r="AI5" s="216" t="s">
        <v>3157</v>
      </c>
      <c r="AJ5" s="83" t="str">
        <f>CONCATENATE(K5,AI5)</f>
        <v>01010021</v>
      </c>
      <c r="AK5" s="276" t="s">
        <v>3403</v>
      </c>
      <c r="AL5" s="276" t="s">
        <v>1259</v>
      </c>
      <c r="AM5" s="276" t="s">
        <v>1349</v>
      </c>
      <c r="AN5" s="189" t="s">
        <v>3393</v>
      </c>
      <c r="AO5" s="276" t="s">
        <v>3404</v>
      </c>
      <c r="AP5" s="163" t="s">
        <v>3539</v>
      </c>
      <c r="AQ5" s="77"/>
      <c r="AR5" s="83" t="s">
        <v>3405</v>
      </c>
      <c r="AS5" s="83" t="s">
        <v>3396</v>
      </c>
      <c r="AT5" s="83" t="s">
        <v>3397</v>
      </c>
      <c r="AU5" s="83" t="s">
        <v>3396</v>
      </c>
      <c r="AV5" s="189" t="s">
        <v>3398</v>
      </c>
      <c r="AW5" s="83" t="s">
        <v>3406</v>
      </c>
      <c r="AX5" s="275">
        <v>1</v>
      </c>
      <c r="AY5" s="276" t="str">
        <f>CONCATENATE(AJ5,AX5)</f>
        <v>010100211</v>
      </c>
      <c r="AZ5" s="276" t="s">
        <v>2501</v>
      </c>
      <c r="BA5" s="276" t="s">
        <v>16</v>
      </c>
      <c r="BB5" s="276" t="s">
        <v>1514</v>
      </c>
      <c r="BC5" s="276" t="s">
        <v>11</v>
      </c>
      <c r="BD5" s="189" t="s">
        <v>3398</v>
      </c>
      <c r="BE5" s="276" t="s">
        <v>9</v>
      </c>
      <c r="BF5" s="275" t="s">
        <v>17</v>
      </c>
      <c r="BG5" s="276" t="s">
        <v>3159</v>
      </c>
      <c r="BH5" s="276" t="s">
        <v>3160</v>
      </c>
      <c r="BI5" s="276" t="s">
        <v>3161</v>
      </c>
      <c r="BJ5" s="276" t="s">
        <v>3162</v>
      </c>
      <c r="BK5" s="276" t="s">
        <v>3163</v>
      </c>
      <c r="BL5" s="276" t="s">
        <v>3164</v>
      </c>
      <c r="BM5" s="144">
        <v>42309</v>
      </c>
      <c r="BN5" s="188">
        <v>0.3856</v>
      </c>
      <c r="BO5" s="187">
        <v>0.24</v>
      </c>
      <c r="BP5" s="276"/>
      <c r="BQ5" s="187">
        <f>+BO5-BN5</f>
        <v>-0.14560000000000001</v>
      </c>
      <c r="BR5" s="276">
        <v>5</v>
      </c>
      <c r="BS5" s="188">
        <f>+BN5-(((BQ5)/5)*(-1))</f>
        <v>0.35648000000000002</v>
      </c>
      <c r="BT5" s="89">
        <v>0.39449260000000003</v>
      </c>
      <c r="BU5" s="188">
        <f>+BT5-BN5</f>
        <v>8.8926000000000283E-3</v>
      </c>
      <c r="BV5" s="188">
        <f>+BU5/BQ5</f>
        <v>-6.1075549450549639E-2</v>
      </c>
      <c r="BW5" s="188">
        <f>+BN5-(((BQ5)/5)*(-2))</f>
        <v>0.32735999999999998</v>
      </c>
      <c r="BX5" s="188">
        <v>0.3644</v>
      </c>
      <c r="BY5" s="188">
        <f>+BX5-BN5</f>
        <v>-2.1199999999999997E-2</v>
      </c>
      <c r="BZ5" s="89">
        <f>+BY5/BQ5</f>
        <v>0.14560439560439559</v>
      </c>
      <c r="CA5" s="188">
        <f>+BN5-(((BQ5)/5)*(-3))</f>
        <v>0.29824000000000001</v>
      </c>
      <c r="CB5" s="188"/>
      <c r="CC5" s="188">
        <f>+CB5-BN5</f>
        <v>-0.3856</v>
      </c>
      <c r="CD5" s="188">
        <f>+CC5/BQ5</f>
        <v>2.6483516483516483</v>
      </c>
      <c r="CE5" s="188">
        <f>+BN5-(((BQ5)/5)*(-4))</f>
        <v>0.26912000000000003</v>
      </c>
      <c r="CF5" s="188"/>
      <c r="CG5" s="188">
        <f>+CF5-BN5</f>
        <v>-0.3856</v>
      </c>
      <c r="CH5" s="188">
        <f>+CG5/BQ5</f>
        <v>2.6483516483516483</v>
      </c>
      <c r="CI5" s="188">
        <f>+BN5-(((BQ5)/5)*(-5))</f>
        <v>0.24</v>
      </c>
      <c r="CJ5" s="188"/>
      <c r="CK5" s="188">
        <f>+CJ5-BN5</f>
        <v>-0.3856</v>
      </c>
      <c r="CL5" s="89">
        <f>+CK5/BQ5</f>
        <v>2.6483516483516483</v>
      </c>
      <c r="CM5" s="89" t="s">
        <v>11</v>
      </c>
      <c r="CN5" s="188" t="s">
        <v>1363</v>
      </c>
      <c r="CO5" s="188" t="s">
        <v>1365</v>
      </c>
      <c r="CP5" s="188"/>
      <c r="CQ5" s="188"/>
      <c r="CR5" s="24"/>
      <c r="CS5" s="24">
        <v>5</v>
      </c>
      <c r="CT5" s="24"/>
      <c r="CU5" s="24"/>
      <c r="CV5" s="24"/>
      <c r="CW5" s="24"/>
      <c r="CX5" s="24"/>
      <c r="CY5" s="24"/>
      <c r="CZ5" s="24"/>
      <c r="DA5" s="24"/>
      <c r="DB5" s="24"/>
      <c r="DC5" s="24"/>
      <c r="DD5" s="24"/>
      <c r="DE5" s="24"/>
      <c r="DF5" s="24"/>
      <c r="DG5" s="24"/>
      <c r="DH5" s="24"/>
      <c r="DI5" s="24"/>
      <c r="DJ5" s="24"/>
      <c r="DK5" s="24"/>
      <c r="DL5" s="24"/>
      <c r="DM5" s="24"/>
      <c r="DN5" s="24"/>
      <c r="DO5" s="24"/>
      <c r="DP5" s="24"/>
      <c r="DQ5" s="24"/>
      <c r="DR5" s="24"/>
      <c r="DS5" s="24"/>
      <c r="DT5" s="24"/>
      <c r="DU5" s="24"/>
      <c r="DV5" s="24"/>
      <c r="DW5" s="24"/>
      <c r="DX5" s="24"/>
      <c r="DY5" s="24"/>
      <c r="DZ5" s="24"/>
      <c r="EA5" s="24"/>
      <c r="EB5" s="24"/>
      <c r="EC5" s="24"/>
      <c r="ED5" s="24"/>
      <c r="EE5" s="24"/>
      <c r="EF5" s="24"/>
      <c r="EG5" s="24"/>
      <c r="EH5" s="24"/>
      <c r="EI5" s="24"/>
      <c r="EJ5" s="24"/>
      <c r="EK5" s="24"/>
      <c r="EL5" s="24"/>
      <c r="EM5" s="24"/>
    </row>
    <row r="6" spans="1:143" s="5" customFormat="1" ht="185.25" customHeight="1" x14ac:dyDescent="0.2">
      <c r="A6" s="276">
        <v>1</v>
      </c>
      <c r="B6" s="216" t="s">
        <v>4580</v>
      </c>
      <c r="C6" s="269" t="s">
        <v>1265</v>
      </c>
      <c r="D6" s="189" t="s">
        <v>0</v>
      </c>
      <c r="E6" s="269" t="s">
        <v>1265</v>
      </c>
      <c r="F6" s="189" t="s">
        <v>59</v>
      </c>
      <c r="G6" s="269" t="s">
        <v>3407</v>
      </c>
      <c r="H6" s="276" t="s">
        <v>68</v>
      </c>
      <c r="I6" s="276">
        <v>3</v>
      </c>
      <c r="J6" s="276" t="s">
        <v>68</v>
      </c>
      <c r="K6" s="276" t="str">
        <f>CONCATENATE(C6,E6,G6)</f>
        <v>0101003</v>
      </c>
      <c r="L6" s="189" t="s">
        <v>69</v>
      </c>
      <c r="M6" s="276" t="s">
        <v>61</v>
      </c>
      <c r="N6" s="189" t="s">
        <v>61</v>
      </c>
      <c r="O6" s="189" t="s">
        <v>62</v>
      </c>
      <c r="P6" s="276" t="s">
        <v>63</v>
      </c>
      <c r="Q6" s="276" t="s">
        <v>64</v>
      </c>
      <c r="R6" s="276">
        <v>1</v>
      </c>
      <c r="S6" s="276"/>
      <c r="T6" s="276" t="s">
        <v>65</v>
      </c>
      <c r="U6" s="276"/>
      <c r="V6" s="276">
        <v>1</v>
      </c>
      <c r="W6" s="83" t="s">
        <v>66</v>
      </c>
      <c r="X6" s="173" t="e">
        <f>100/COUNTIFS(($B$4:$B$7),C6,($D$4:$D$7),E6)</f>
        <v>#DIV/0!</v>
      </c>
      <c r="Y6" s="276">
        <f>COUNTIF(T6,"RS")</f>
        <v>1</v>
      </c>
      <c r="Z6" s="276">
        <v>0</v>
      </c>
      <c r="AA6" s="276" t="s">
        <v>1225</v>
      </c>
      <c r="AB6" s="276">
        <v>1</v>
      </c>
      <c r="AC6" s="275">
        <v>1</v>
      </c>
      <c r="AD6" s="189" t="s">
        <v>3589</v>
      </c>
      <c r="AE6" s="189" t="s">
        <v>1276</v>
      </c>
      <c r="AF6" s="79"/>
      <c r="AG6" s="276" t="s">
        <v>1235</v>
      </c>
      <c r="AH6" s="180">
        <f>100/(COUNTA(AG4:AG7))</f>
        <v>25</v>
      </c>
      <c r="AI6" s="216" t="s">
        <v>3157</v>
      </c>
      <c r="AJ6" s="83" t="str">
        <f>CONCATENATE(K6,AI6)</f>
        <v>01010031</v>
      </c>
      <c r="AK6" s="276" t="s">
        <v>3408</v>
      </c>
      <c r="AL6" s="276" t="s">
        <v>1259</v>
      </c>
      <c r="AM6" s="276" t="s">
        <v>1349</v>
      </c>
      <c r="AN6" s="83" t="s">
        <v>3540</v>
      </c>
      <c r="AO6" s="276" t="s">
        <v>10</v>
      </c>
      <c r="AP6" s="83" t="s">
        <v>3409</v>
      </c>
      <c r="AQ6" s="77"/>
      <c r="AR6" s="83" t="s">
        <v>3410</v>
      </c>
      <c r="AS6" s="83" t="s">
        <v>3411</v>
      </c>
      <c r="AT6" s="83" t="s">
        <v>3412</v>
      </c>
      <c r="AU6" s="83" t="s">
        <v>3411</v>
      </c>
      <c r="AV6" s="189" t="s">
        <v>3415</v>
      </c>
      <c r="AW6" s="83"/>
      <c r="AX6" s="275">
        <v>1</v>
      </c>
      <c r="AY6" s="276" t="str">
        <f>CONCATENATE(AJ6,AX6)</f>
        <v>010100311</v>
      </c>
      <c r="AZ6" s="276" t="s">
        <v>3413</v>
      </c>
      <c r="BA6" s="276" t="s">
        <v>3411</v>
      </c>
      <c r="BB6" s="276" t="s">
        <v>2248</v>
      </c>
      <c r="BC6" s="276" t="s">
        <v>3414</v>
      </c>
      <c r="BD6" s="189" t="s">
        <v>3415</v>
      </c>
      <c r="BE6" s="276" t="s">
        <v>9</v>
      </c>
      <c r="BF6" s="275" t="s">
        <v>71</v>
      </c>
      <c r="BG6" s="276" t="s">
        <v>3416</v>
      </c>
      <c r="BH6" s="276" t="s">
        <v>3417</v>
      </c>
      <c r="BI6" s="276" t="s">
        <v>3161</v>
      </c>
      <c r="BJ6" s="276" t="s">
        <v>3418</v>
      </c>
      <c r="BK6" s="276" t="s">
        <v>3163</v>
      </c>
      <c r="BL6" s="276" t="s">
        <v>3164</v>
      </c>
      <c r="BM6" s="275">
        <v>2012</v>
      </c>
      <c r="BN6" s="89">
        <v>0.44900000000000001</v>
      </c>
      <c r="BO6" s="186">
        <v>0.22</v>
      </c>
      <c r="BP6" s="276"/>
      <c r="BQ6" s="187">
        <f>+BO6-BN6</f>
        <v>-0.22900000000000001</v>
      </c>
      <c r="BR6" s="275">
        <v>5</v>
      </c>
      <c r="BS6" s="188">
        <f>+BN6-(((BQ6)/5)*(-1))</f>
        <v>0.4032</v>
      </c>
      <c r="BT6" s="188"/>
      <c r="BU6" s="188">
        <f>+BT6-BN6</f>
        <v>-0.44900000000000001</v>
      </c>
      <c r="BV6" s="188">
        <f>+BU6/BQ6</f>
        <v>1.9606986899563319</v>
      </c>
      <c r="BW6" s="188">
        <f>+BN6-(((BQ6)/5)*(-2))</f>
        <v>0.3574</v>
      </c>
      <c r="BX6" s="188"/>
      <c r="BY6" s="188">
        <f>+BX6-BN6</f>
        <v>-0.44900000000000001</v>
      </c>
      <c r="BZ6" s="89">
        <f>+BY6/BQ6</f>
        <v>1.9606986899563319</v>
      </c>
      <c r="CA6" s="188">
        <f>+BN6-(((BQ6)/5)*(-3))</f>
        <v>0.31159999999999999</v>
      </c>
      <c r="CB6" s="188"/>
      <c r="CC6" s="188">
        <f>+CB6-BN6</f>
        <v>-0.44900000000000001</v>
      </c>
      <c r="CD6" s="188">
        <f>+CC6/BQ6</f>
        <v>1.9606986899563319</v>
      </c>
      <c r="CE6" s="188">
        <f>+BN6-(((BQ6)/5)*(-4))</f>
        <v>0.26580000000000004</v>
      </c>
      <c r="CF6" s="188"/>
      <c r="CG6" s="188">
        <f>+CF6-BN6</f>
        <v>-0.44900000000000001</v>
      </c>
      <c r="CH6" s="188">
        <f>+CG6/BQ6</f>
        <v>1.9606986899563319</v>
      </c>
      <c r="CI6" s="188">
        <f>+BN6-(((BQ6)/5)*(-5))</f>
        <v>0.22</v>
      </c>
      <c r="CJ6" s="188"/>
      <c r="CK6" s="188">
        <f>+CJ6-BN6</f>
        <v>-0.44900000000000001</v>
      </c>
      <c r="CL6" s="89">
        <f>+CK6/BQ6</f>
        <v>1.9606986899563319</v>
      </c>
      <c r="CM6" s="89"/>
      <c r="CN6" s="188"/>
      <c r="CO6" s="188" t="s">
        <v>1365</v>
      </c>
      <c r="CP6" s="188"/>
      <c r="CQ6" s="188"/>
      <c r="CR6" s="24"/>
      <c r="CS6" s="2">
        <v>6</v>
      </c>
      <c r="CT6" s="24"/>
      <c r="CU6" s="24"/>
      <c r="CV6" s="24"/>
      <c r="CW6" s="24"/>
      <c r="CX6" s="24"/>
      <c r="CY6" s="24"/>
      <c r="CZ6" s="24"/>
      <c r="DA6" s="24"/>
      <c r="DB6" s="24"/>
      <c r="DC6" s="24"/>
      <c r="DD6" s="24"/>
      <c r="DE6" s="24"/>
      <c r="DF6" s="24"/>
      <c r="DG6" s="24"/>
      <c r="DH6" s="24"/>
      <c r="DI6" s="24"/>
      <c r="DJ6" s="24"/>
      <c r="DK6" s="24"/>
      <c r="DL6" s="24"/>
      <c r="DM6" s="24"/>
      <c r="DN6" s="24"/>
      <c r="DO6" s="24"/>
      <c r="DP6" s="24"/>
      <c r="DQ6" s="24"/>
      <c r="DR6" s="24"/>
      <c r="DS6" s="24"/>
      <c r="DT6" s="24"/>
      <c r="DU6" s="24"/>
      <c r="DV6" s="24"/>
      <c r="DW6" s="24"/>
      <c r="DX6" s="24"/>
      <c r="DY6" s="24"/>
      <c r="DZ6" s="24"/>
      <c r="EA6" s="24"/>
      <c r="EB6" s="24"/>
      <c r="EC6" s="24"/>
      <c r="ED6" s="24"/>
      <c r="EE6" s="24"/>
      <c r="EF6" s="24"/>
      <c r="EG6" s="24"/>
      <c r="EH6" s="24"/>
      <c r="EI6" s="24"/>
      <c r="EJ6" s="24"/>
      <c r="EK6" s="24"/>
      <c r="EL6" s="24"/>
      <c r="EM6" s="24"/>
    </row>
    <row r="7" spans="1:143" s="5" customFormat="1" ht="171" customHeight="1" x14ac:dyDescent="0.25">
      <c r="A7" s="276">
        <v>1</v>
      </c>
      <c r="B7" s="216" t="s">
        <v>4580</v>
      </c>
      <c r="C7" s="269" t="s">
        <v>1265</v>
      </c>
      <c r="D7" s="189" t="s">
        <v>0</v>
      </c>
      <c r="E7" s="269" t="s">
        <v>1265</v>
      </c>
      <c r="F7" s="189" t="s">
        <v>59</v>
      </c>
      <c r="G7" s="269" t="s">
        <v>3419</v>
      </c>
      <c r="H7" s="276" t="s">
        <v>72</v>
      </c>
      <c r="I7" s="276">
        <v>4</v>
      </c>
      <c r="J7" s="276" t="s">
        <v>72</v>
      </c>
      <c r="K7" s="276" t="str">
        <f>CONCATENATE(C7,E7,G7)</f>
        <v>0101004</v>
      </c>
      <c r="L7" s="189" t="s">
        <v>20</v>
      </c>
      <c r="M7" s="276" t="s">
        <v>61</v>
      </c>
      <c r="N7" s="189" t="s">
        <v>61</v>
      </c>
      <c r="O7" s="189" t="s">
        <v>62</v>
      </c>
      <c r="P7" s="276" t="s">
        <v>63</v>
      </c>
      <c r="Q7" s="276" t="s">
        <v>64</v>
      </c>
      <c r="R7" s="276">
        <v>1</v>
      </c>
      <c r="S7" s="276"/>
      <c r="T7" s="276" t="s">
        <v>65</v>
      </c>
      <c r="U7" s="276"/>
      <c r="V7" s="276">
        <v>1</v>
      </c>
      <c r="W7" s="83"/>
      <c r="X7" s="173" t="e">
        <f>100/COUNTIFS(($B$4:$B$7),C7,($D$4:$D$7),E7)</f>
        <v>#DIV/0!</v>
      </c>
      <c r="Y7" s="276">
        <f>COUNTIF(T7,"RS")</f>
        <v>1</v>
      </c>
      <c r="Z7" s="276">
        <v>0</v>
      </c>
      <c r="AA7" s="276" t="s">
        <v>1220</v>
      </c>
      <c r="AB7" s="276">
        <v>1</v>
      </c>
      <c r="AC7" s="275">
        <v>10</v>
      </c>
      <c r="AD7" s="189" t="s">
        <v>3590</v>
      </c>
      <c r="AE7" s="189" t="s">
        <v>3420</v>
      </c>
      <c r="AF7" s="79"/>
      <c r="AG7" s="276" t="s">
        <v>1236</v>
      </c>
      <c r="AH7" s="180">
        <f>100/(COUNTA(AG4:AG7))</f>
        <v>25</v>
      </c>
      <c r="AI7" s="275">
        <v>1</v>
      </c>
      <c r="AJ7" s="83" t="str">
        <f>CONCATENATE(K7,AI7)</f>
        <v>01010041</v>
      </c>
      <c r="AK7" s="189" t="s">
        <v>3541</v>
      </c>
      <c r="AL7" s="189" t="s">
        <v>1259</v>
      </c>
      <c r="AM7" s="189" t="s">
        <v>1349</v>
      </c>
      <c r="AN7" s="189" t="s">
        <v>3421</v>
      </c>
      <c r="AO7" s="276" t="s">
        <v>3422</v>
      </c>
      <c r="AP7" s="83" t="s">
        <v>3542</v>
      </c>
      <c r="AQ7" s="83"/>
      <c r="AR7" s="83" t="s">
        <v>3543</v>
      </c>
      <c r="AS7" s="83" t="s">
        <v>3396</v>
      </c>
      <c r="AT7" s="83" t="s">
        <v>3544</v>
      </c>
      <c r="AU7" s="83" t="s">
        <v>3396</v>
      </c>
      <c r="AV7" s="189" t="s">
        <v>13</v>
      </c>
      <c r="AW7" s="83"/>
      <c r="AX7" s="275">
        <v>1</v>
      </c>
      <c r="AY7" s="276" t="str">
        <f>CONCATENATE(AJ7,AX7)</f>
        <v>010100411</v>
      </c>
      <c r="AZ7" s="276" t="s">
        <v>2501</v>
      </c>
      <c r="BA7" s="276" t="s">
        <v>16</v>
      </c>
      <c r="BB7" s="276" t="s">
        <v>1514</v>
      </c>
      <c r="BC7" s="276" t="s">
        <v>11</v>
      </c>
      <c r="BD7" s="189" t="s">
        <v>3398</v>
      </c>
      <c r="BE7" s="276" t="s">
        <v>9</v>
      </c>
      <c r="BF7" s="276" t="s">
        <v>3423</v>
      </c>
      <c r="BG7" s="276" t="s">
        <v>3159</v>
      </c>
      <c r="BH7" s="276" t="s">
        <v>3160</v>
      </c>
      <c r="BI7" s="276" t="s">
        <v>3424</v>
      </c>
      <c r="BJ7" s="276" t="s">
        <v>3425</v>
      </c>
      <c r="BK7" s="276" t="s">
        <v>3425</v>
      </c>
      <c r="BL7" s="276" t="s">
        <v>3426</v>
      </c>
      <c r="BM7" s="144">
        <v>42309</v>
      </c>
      <c r="BN7" s="176">
        <v>37.168955269879596</v>
      </c>
      <c r="BO7" s="217">
        <v>25</v>
      </c>
      <c r="BP7" s="276"/>
      <c r="BQ7" s="173">
        <f>BO7-BN7</f>
        <v>-12.168955269879596</v>
      </c>
      <c r="BR7" s="276">
        <v>5</v>
      </c>
      <c r="BS7" s="94">
        <f>BN7-(((BQ7)/5)*(-1))</f>
        <v>34.73516421590368</v>
      </c>
      <c r="BT7" s="218">
        <v>46.1</v>
      </c>
      <c r="BU7" s="94">
        <f>+BT7-BN7</f>
        <v>8.931044730120405</v>
      </c>
      <c r="BV7" s="188">
        <f>+BU7/BQ7</f>
        <v>-0.73392041732837854</v>
      </c>
      <c r="BW7" s="94">
        <f>+BN7-(((BQ7)/5)*(-2))</f>
        <v>32.301373161927756</v>
      </c>
      <c r="BX7" s="176">
        <v>39.995744734650046</v>
      </c>
      <c r="BY7" s="94">
        <f>+BX7-BN7</f>
        <v>2.8267894647704495</v>
      </c>
      <c r="BZ7" s="89">
        <f>+BY7/BQ7</f>
        <v>-0.2322951643817176</v>
      </c>
      <c r="CA7" s="94">
        <f>+BN7-(((BQ7)/5)*(-3))</f>
        <v>29.86758210795184</v>
      </c>
      <c r="CB7" s="188"/>
      <c r="CC7" s="94">
        <f>+CB7-BN7</f>
        <v>-37.168955269879596</v>
      </c>
      <c r="CD7" s="188">
        <f>+CC7/BQ7</f>
        <v>3.0544080774032918</v>
      </c>
      <c r="CE7" s="188">
        <f>+BN7-(((BQ7)/5)*(-4))</f>
        <v>27.43379105397592</v>
      </c>
      <c r="CF7" s="188"/>
      <c r="CG7" s="188">
        <f>+CF7-BN7</f>
        <v>-37.168955269879596</v>
      </c>
      <c r="CH7" s="188">
        <f>+CG7/BQ7</f>
        <v>3.0544080774032918</v>
      </c>
      <c r="CI7" s="188">
        <f>+BN7-(((BQ7)/5)*(-5))</f>
        <v>25</v>
      </c>
      <c r="CJ7" s="188"/>
      <c r="CK7" s="188">
        <f>+CJ7-BN7</f>
        <v>-37.168955269879596</v>
      </c>
      <c r="CL7" s="89">
        <f>+CK7/BQ7</f>
        <v>3.0544080774032918</v>
      </c>
      <c r="CM7" s="89" t="s">
        <v>11</v>
      </c>
      <c r="CN7" s="188"/>
      <c r="CO7" s="188" t="s">
        <v>1365</v>
      </c>
      <c r="CP7" s="188"/>
      <c r="CQ7" s="188"/>
      <c r="CR7" s="24"/>
      <c r="CS7" s="24">
        <v>7</v>
      </c>
      <c r="CT7" s="24"/>
      <c r="CU7" s="24"/>
      <c r="CV7" s="24"/>
      <c r="CW7" s="24"/>
      <c r="CX7" s="24"/>
      <c r="CY7" s="24"/>
      <c r="CZ7" s="24"/>
      <c r="DA7" s="24"/>
      <c r="DB7" s="24"/>
      <c r="DC7" s="24"/>
      <c r="DD7" s="24"/>
      <c r="DE7" s="24"/>
      <c r="DF7" s="24"/>
      <c r="DG7" s="24"/>
      <c r="DH7" s="24"/>
      <c r="DI7" s="24"/>
      <c r="DJ7" s="24"/>
      <c r="DK7" s="24"/>
      <c r="DL7" s="24"/>
      <c r="DM7" s="24"/>
      <c r="DN7" s="24"/>
      <c r="DO7" s="24"/>
      <c r="DP7" s="24"/>
      <c r="DQ7" s="24"/>
      <c r="DR7" s="24"/>
      <c r="DS7" s="24"/>
      <c r="DT7" s="24"/>
      <c r="DU7" s="24"/>
      <c r="DV7" s="24"/>
      <c r="DW7" s="24"/>
      <c r="DX7" s="24"/>
      <c r="DY7" s="24"/>
      <c r="DZ7" s="24"/>
      <c r="EA7" s="24"/>
      <c r="EB7" s="24"/>
      <c r="EC7" s="24"/>
      <c r="ED7" s="24"/>
      <c r="EE7" s="24"/>
      <c r="EF7" s="24"/>
      <c r="EG7" s="24"/>
      <c r="EH7" s="24"/>
      <c r="EI7" s="24"/>
      <c r="EJ7" s="24"/>
      <c r="EK7" s="24"/>
      <c r="EL7" s="24"/>
      <c r="EM7" s="24"/>
    </row>
    <row r="8" spans="1:143" s="5" customFormat="1" ht="171" customHeight="1" x14ac:dyDescent="0.25">
      <c r="A8" s="276">
        <v>4</v>
      </c>
      <c r="B8" s="269" t="s">
        <v>4576</v>
      </c>
      <c r="C8" s="195" t="s">
        <v>1265</v>
      </c>
      <c r="D8" s="206" t="s">
        <v>3283</v>
      </c>
      <c r="E8" s="206">
        <v>101</v>
      </c>
      <c r="F8" s="206" t="s">
        <v>3284</v>
      </c>
      <c r="G8" s="78">
        <v>7</v>
      </c>
      <c r="H8" s="78">
        <v>10107</v>
      </c>
      <c r="I8" s="78">
        <v>7</v>
      </c>
      <c r="J8" s="78" t="s">
        <v>76</v>
      </c>
      <c r="K8" s="153" t="s">
        <v>815</v>
      </c>
      <c r="L8" s="83" t="s">
        <v>3578</v>
      </c>
      <c r="M8" s="206" t="s">
        <v>3231</v>
      </c>
      <c r="N8" s="206" t="s">
        <v>3232</v>
      </c>
      <c r="O8" s="207" t="s">
        <v>62</v>
      </c>
      <c r="P8" s="78"/>
      <c r="Q8" s="78"/>
      <c r="R8" s="78"/>
      <c r="S8" s="78"/>
      <c r="T8" s="78"/>
      <c r="U8" s="78"/>
      <c r="V8" s="78"/>
      <c r="W8" s="78"/>
      <c r="X8" s="78"/>
      <c r="Y8" s="78">
        <v>1</v>
      </c>
      <c r="Z8" s="78">
        <v>0</v>
      </c>
      <c r="AA8" s="83" t="s">
        <v>1220</v>
      </c>
      <c r="AB8" s="78"/>
      <c r="AC8" s="78"/>
      <c r="AD8" s="83"/>
      <c r="AE8" s="78"/>
      <c r="AF8" s="83"/>
      <c r="AG8" s="78" t="s">
        <v>1364</v>
      </c>
      <c r="AH8" s="78"/>
      <c r="AI8" s="78"/>
      <c r="AJ8" s="78"/>
      <c r="AK8" s="83" t="s">
        <v>3285</v>
      </c>
      <c r="AL8" s="78" t="s">
        <v>1259</v>
      </c>
      <c r="AM8" s="78" t="s">
        <v>1347</v>
      </c>
      <c r="AN8" s="83" t="s">
        <v>3286</v>
      </c>
      <c r="AO8" s="78" t="s">
        <v>10</v>
      </c>
      <c r="AP8" s="83" t="s">
        <v>3287</v>
      </c>
      <c r="AQ8" s="83" t="s">
        <v>3288</v>
      </c>
      <c r="AR8" s="83" t="s">
        <v>3289</v>
      </c>
      <c r="AS8" s="83" t="s">
        <v>3290</v>
      </c>
      <c r="AT8" s="83" t="s">
        <v>3291</v>
      </c>
      <c r="AU8" s="83" t="s">
        <v>3290</v>
      </c>
      <c r="AV8" s="83">
        <v>2014</v>
      </c>
      <c r="AW8" s="83" t="s">
        <v>3292</v>
      </c>
      <c r="AX8" s="78"/>
      <c r="AY8" s="78"/>
      <c r="AZ8" s="78" t="s">
        <v>3293</v>
      </c>
      <c r="BA8" s="83" t="s">
        <v>3294</v>
      </c>
      <c r="BB8" s="83" t="s">
        <v>3295</v>
      </c>
      <c r="BC8" s="78" t="s">
        <v>1364</v>
      </c>
      <c r="BD8" s="78">
        <v>2014</v>
      </c>
      <c r="BE8" s="78" t="s">
        <v>9</v>
      </c>
      <c r="BF8" s="78" t="s">
        <v>3296</v>
      </c>
      <c r="BG8" s="83" t="s">
        <v>3297</v>
      </c>
      <c r="BH8" s="83" t="s">
        <v>3298</v>
      </c>
      <c r="BI8" s="83" t="s">
        <v>2729</v>
      </c>
      <c r="BJ8" s="78"/>
      <c r="BK8" s="78"/>
      <c r="BL8" s="78"/>
      <c r="BM8" s="78">
        <v>2014</v>
      </c>
      <c r="BN8" s="169">
        <f>1258/8369</f>
        <v>0.15031664476042539</v>
      </c>
      <c r="BO8" s="208">
        <v>0.2</v>
      </c>
      <c r="BP8" s="169" t="s">
        <v>1323</v>
      </c>
      <c r="BQ8" s="169">
        <f>((BO8-[1]Matriz_Metadatos_P1M1!BN214)/(2020-[1]Matriz_Metadatos_P1M1!BM214))*5</f>
        <v>4.9504950495049506E-4</v>
      </c>
      <c r="BR8" s="78"/>
      <c r="BS8" s="169">
        <f>(((BO8-[1]Matriz_Metadatos_P1M1!BN214)/(2020-[1]Matriz_Metadatos_P1M1!BM214))*(2016-[1]Matriz_Metadatos_P1M1!BM214))+[1]Matriz_Metadatos_P1M1!BN214</f>
        <v>0.19960396039603961</v>
      </c>
      <c r="BT8" s="78"/>
      <c r="BU8" s="78"/>
      <c r="BV8" s="78"/>
      <c r="BW8" s="169">
        <f>(((BO8-[1]Matriz_Metadatos_P1M1!BN214)/(2020-[1]Matriz_Metadatos_P1M1!BM214))*(2017-[1]Matriz_Metadatos_P1M1!BM214))+[1]Matriz_Metadatos_P1M1!BN214</f>
        <v>0.19970297029702971</v>
      </c>
      <c r="BX8" s="78"/>
      <c r="BY8" s="78"/>
      <c r="BZ8" s="78"/>
      <c r="CA8" s="169">
        <f>(((BO8-[1]Matriz_Metadatos_P1M1!BN214)/(2020-[1]Matriz_Metadatos_P1M1!BM214))*(2018-[1]Matriz_Metadatos_P1M1!BM214))+[1]Matriz_Metadatos_P1M1!BN214</f>
        <v>0.19980198019801981</v>
      </c>
      <c r="CB8" s="78"/>
      <c r="CC8" s="78"/>
      <c r="CD8" s="78"/>
      <c r="CE8" s="169">
        <f>(((BO8-[1]Matriz_Metadatos_P1M1!BN214)/(2020-[1]Matriz_Metadatos_P1M1!BM214))*(2019-[1]Matriz_Metadatos_P1M1!BM214))+[1]Matriz_Metadatos_P1M1!BN214</f>
        <v>0.19990099009900991</v>
      </c>
      <c r="CF8" s="78"/>
      <c r="CG8" s="78"/>
      <c r="CH8" s="78"/>
      <c r="CI8" s="169">
        <f>(((BO8-[1]Matriz_Metadatos_P1M1!BN214)/(2020-[1]Matriz_Metadatos_P1M1!BM214))*(2020-[1]Matriz_Metadatos_P1M1!BM214))+[1]Matriz_Metadatos_P1M1!BN214</f>
        <v>0.2</v>
      </c>
      <c r="CJ8" s="78"/>
      <c r="CK8" s="78"/>
      <c r="CL8" s="78"/>
      <c r="CM8" s="78"/>
      <c r="CN8" s="78"/>
      <c r="CO8" s="78"/>
      <c r="CP8" s="78"/>
      <c r="CQ8" s="78"/>
      <c r="CR8" s="24"/>
      <c r="CS8" s="24">
        <v>8</v>
      </c>
      <c r="CT8" s="24"/>
      <c r="CU8" s="24"/>
      <c r="CV8" s="24"/>
      <c r="CW8" s="24"/>
      <c r="CX8" s="24"/>
      <c r="CY8" s="24"/>
      <c r="CZ8" s="24"/>
      <c r="DA8" s="24"/>
      <c r="DB8" s="24"/>
      <c r="DC8" s="24"/>
      <c r="DD8" s="24"/>
      <c r="DE8" s="24"/>
      <c r="DF8" s="24"/>
      <c r="DG8" s="24"/>
      <c r="DH8" s="24"/>
      <c r="DI8" s="24"/>
      <c r="DJ8" s="24"/>
      <c r="DK8" s="24"/>
      <c r="DL8" s="24"/>
      <c r="DM8" s="24"/>
      <c r="DN8" s="24"/>
      <c r="DO8" s="24"/>
      <c r="DP8" s="24"/>
      <c r="DQ8" s="24"/>
      <c r="DR8" s="24"/>
      <c r="DS8" s="24"/>
      <c r="DT8" s="24"/>
      <c r="DU8" s="24"/>
      <c r="DV8" s="24"/>
      <c r="DW8" s="24"/>
      <c r="DX8" s="24"/>
      <c r="DY8" s="24"/>
      <c r="DZ8" s="24"/>
      <c r="EA8" s="24"/>
      <c r="EB8" s="24"/>
      <c r="EC8" s="24"/>
      <c r="ED8" s="24"/>
      <c r="EE8" s="24"/>
      <c r="EF8" s="24"/>
      <c r="EG8" s="24"/>
      <c r="EH8" s="24"/>
      <c r="EI8" s="24"/>
      <c r="EJ8" s="24"/>
      <c r="EK8" s="24"/>
      <c r="EL8" s="24"/>
      <c r="EM8" s="24"/>
    </row>
    <row r="9" spans="1:143" s="5" customFormat="1" ht="185.25" customHeight="1" x14ac:dyDescent="0.2">
      <c r="A9" s="276">
        <v>3</v>
      </c>
      <c r="B9" s="195" t="s">
        <v>3167</v>
      </c>
      <c r="C9" s="195" t="s">
        <v>1265</v>
      </c>
      <c r="D9" s="189" t="s">
        <v>0</v>
      </c>
      <c r="E9" s="189" t="s">
        <v>93</v>
      </c>
      <c r="F9" s="189" t="s">
        <v>85</v>
      </c>
      <c r="G9" s="196">
        <v>1</v>
      </c>
      <c r="H9" s="189" t="s">
        <v>86</v>
      </c>
      <c r="I9" s="189">
        <v>13</v>
      </c>
      <c r="J9" s="189" t="s">
        <v>87</v>
      </c>
      <c r="K9" s="189" t="s">
        <v>821</v>
      </c>
      <c r="L9" s="90" t="s">
        <v>88</v>
      </c>
      <c r="M9" s="189" t="s">
        <v>89</v>
      </c>
      <c r="N9" s="189" t="s">
        <v>90</v>
      </c>
      <c r="O9" s="189" t="s">
        <v>78</v>
      </c>
      <c r="P9" s="189" t="s">
        <v>91</v>
      </c>
      <c r="Q9" s="189" t="s">
        <v>92</v>
      </c>
      <c r="R9" s="189"/>
      <c r="S9" s="189"/>
      <c r="T9" s="189" t="s">
        <v>79</v>
      </c>
      <c r="U9" s="189"/>
      <c r="V9" s="189"/>
      <c r="W9" s="189"/>
      <c r="X9" s="214"/>
      <c r="Y9" s="189">
        <f>COUNTIF(T9,"RS")</f>
        <v>0</v>
      </c>
      <c r="Z9" s="189">
        <v>1</v>
      </c>
      <c r="AA9" s="189" t="s">
        <v>1220</v>
      </c>
      <c r="AB9" s="189"/>
      <c r="AC9" s="79"/>
      <c r="AD9" s="189"/>
      <c r="AE9" s="189"/>
      <c r="AF9" s="79"/>
      <c r="AG9" s="77" t="s">
        <v>1364</v>
      </c>
      <c r="AH9" s="79"/>
      <c r="AI9" s="275">
        <v>1</v>
      </c>
      <c r="AJ9" s="189" t="str">
        <f>CONCATENATE(K9,AI9)</f>
        <v>01020131</v>
      </c>
      <c r="AK9" s="189" t="s">
        <v>3168</v>
      </c>
      <c r="AL9" s="189" t="s">
        <v>1259</v>
      </c>
      <c r="AM9" s="189"/>
      <c r="AN9" s="275" t="s">
        <v>1405</v>
      </c>
      <c r="AO9" s="189" t="s">
        <v>10</v>
      </c>
      <c r="AP9" s="189" t="s">
        <v>3169</v>
      </c>
      <c r="AQ9" s="189" t="s">
        <v>3170</v>
      </c>
      <c r="AR9" s="90" t="s">
        <v>3171</v>
      </c>
      <c r="AS9" s="90" t="s">
        <v>3057</v>
      </c>
      <c r="AT9" s="90" t="s">
        <v>3172</v>
      </c>
      <c r="AU9" s="90" t="s">
        <v>3173</v>
      </c>
      <c r="AV9" s="276" t="s">
        <v>3058</v>
      </c>
      <c r="AW9" s="276" t="s">
        <v>1405</v>
      </c>
      <c r="AX9" s="275">
        <v>1</v>
      </c>
      <c r="AY9" s="276" t="str">
        <f>CONCATENATE(AJ9,AX9)</f>
        <v>010201311</v>
      </c>
      <c r="AZ9" s="189" t="s">
        <v>3174</v>
      </c>
      <c r="BA9" s="189" t="s">
        <v>3175</v>
      </c>
      <c r="BB9" s="189" t="s">
        <v>1229</v>
      </c>
      <c r="BC9" s="189" t="s">
        <v>11</v>
      </c>
      <c r="BD9" s="276" t="s">
        <v>2673</v>
      </c>
      <c r="BE9" s="189" t="s">
        <v>9</v>
      </c>
      <c r="BF9" s="276" t="s">
        <v>1405</v>
      </c>
      <c r="BG9" s="189" t="s">
        <v>3176</v>
      </c>
      <c r="BH9" s="90" t="s">
        <v>3177</v>
      </c>
      <c r="BI9" s="90" t="s">
        <v>3062</v>
      </c>
      <c r="BJ9" s="90" t="s">
        <v>3178</v>
      </c>
      <c r="BK9" s="90" t="s">
        <v>3179</v>
      </c>
      <c r="BL9" s="276" t="s">
        <v>3180</v>
      </c>
      <c r="BM9" s="276">
        <v>2015</v>
      </c>
      <c r="BN9" s="150">
        <f>12/14700</f>
        <v>8.1632653061224493E-4</v>
      </c>
      <c r="BO9" s="170">
        <f>700/14700</f>
        <v>4.7619047619047616E-2</v>
      </c>
      <c r="BP9" s="79"/>
      <c r="BQ9" s="169">
        <f>((BO9-BN9)/(2020-BM9))*5</f>
        <v>4.6802721088435369E-2</v>
      </c>
      <c r="BR9" s="78"/>
      <c r="BS9" s="169">
        <f>(((BO9-BN9)/(2020-BM9))*(2016-BM9))+BN9</f>
        <v>1.0176870748299318E-2</v>
      </c>
      <c r="BT9" s="78"/>
      <c r="BU9" s="78"/>
      <c r="BV9" s="78"/>
      <c r="BW9" s="169">
        <f>(((BO9-BN9)/(2020-BM9))*(2017-BM9))+BN9</f>
        <v>1.9537414965986391E-2</v>
      </c>
      <c r="BX9" s="78"/>
      <c r="BY9" s="78"/>
      <c r="BZ9" s="78"/>
      <c r="CA9" s="169">
        <f>(((BO9-BN9)/(2020-BM9))*(2018-BM9))+BN9</f>
        <v>2.8897959183673463E-2</v>
      </c>
      <c r="CB9" s="78"/>
      <c r="CC9" s="78"/>
      <c r="CD9" s="78"/>
      <c r="CE9" s="169">
        <f>(((BO9-BN9)/(2020-BM9))*(2019-BM9))+BN9</f>
        <v>3.8258503401360541E-2</v>
      </c>
      <c r="CF9" s="78"/>
      <c r="CG9" s="78"/>
      <c r="CH9" s="78"/>
      <c r="CI9" s="169">
        <f>(((BO9-BN9)/(2020-BM9))*(2020-BM9))+BN9</f>
        <v>4.7619047619047616E-2</v>
      </c>
      <c r="CJ9" s="102"/>
      <c r="CK9" s="102" t="s">
        <v>3181</v>
      </c>
      <c r="CL9" s="104" t="s">
        <v>3181</v>
      </c>
      <c r="CM9" s="104"/>
      <c r="CN9" s="215"/>
      <c r="CO9" s="215"/>
      <c r="CP9" s="215"/>
      <c r="CQ9" s="215"/>
      <c r="CR9" s="24"/>
      <c r="CS9" s="2">
        <v>9</v>
      </c>
      <c r="CT9" s="24"/>
      <c r="CU9" s="24"/>
      <c r="CV9" s="24"/>
      <c r="CW9" s="24"/>
      <c r="CX9" s="24"/>
      <c r="CY9" s="24"/>
      <c r="CZ9" s="24"/>
      <c r="DA9" s="24"/>
      <c r="DB9" s="24"/>
      <c r="DC9" s="24"/>
      <c r="DD9" s="24"/>
      <c r="DE9" s="24"/>
      <c r="DF9" s="24"/>
      <c r="DG9" s="24"/>
      <c r="DH9" s="24"/>
      <c r="DI9" s="24"/>
      <c r="DJ9" s="24"/>
      <c r="DK9" s="24"/>
      <c r="DL9" s="24"/>
      <c r="DM9" s="24"/>
      <c r="DN9" s="24"/>
      <c r="DO9" s="24"/>
      <c r="DP9" s="24"/>
      <c r="DQ9" s="24"/>
      <c r="DR9" s="24"/>
      <c r="DS9" s="24"/>
      <c r="DT9" s="24"/>
      <c r="DU9" s="24"/>
      <c r="DV9" s="24"/>
      <c r="DW9" s="24"/>
      <c r="DX9" s="24"/>
      <c r="DY9" s="24"/>
      <c r="DZ9" s="24"/>
      <c r="EA9" s="24"/>
      <c r="EB9" s="24"/>
      <c r="EC9" s="24"/>
      <c r="ED9" s="24"/>
      <c r="EE9" s="24"/>
      <c r="EF9" s="24"/>
      <c r="EG9" s="24"/>
      <c r="EH9" s="24"/>
      <c r="EI9" s="24"/>
      <c r="EJ9" s="24"/>
      <c r="EK9" s="24"/>
      <c r="EL9" s="24"/>
      <c r="EM9" s="24"/>
    </row>
    <row r="10" spans="1:143" s="5" customFormat="1" ht="171" customHeight="1" x14ac:dyDescent="0.2">
      <c r="A10" s="276">
        <v>3</v>
      </c>
      <c r="B10" s="195" t="s">
        <v>3182</v>
      </c>
      <c r="C10" s="195" t="s">
        <v>1265</v>
      </c>
      <c r="D10" s="189" t="s">
        <v>0</v>
      </c>
      <c r="E10" s="189" t="s">
        <v>93</v>
      </c>
      <c r="F10" s="189" t="s">
        <v>85</v>
      </c>
      <c r="G10" s="196">
        <v>6</v>
      </c>
      <c r="H10" s="189" t="s">
        <v>99</v>
      </c>
      <c r="I10" s="189">
        <v>18</v>
      </c>
      <c r="J10" s="189" t="s">
        <v>100</v>
      </c>
      <c r="K10" s="189" t="s">
        <v>826</v>
      </c>
      <c r="L10" s="90" t="s">
        <v>101</v>
      </c>
      <c r="M10" s="189" t="s">
        <v>89</v>
      </c>
      <c r="N10" s="189" t="s">
        <v>90</v>
      </c>
      <c r="O10" s="189" t="s">
        <v>62</v>
      </c>
      <c r="P10" s="189" t="s">
        <v>91</v>
      </c>
      <c r="Q10" s="189" t="s">
        <v>92</v>
      </c>
      <c r="R10" s="189"/>
      <c r="S10" s="189"/>
      <c r="T10" s="189" t="s">
        <v>65</v>
      </c>
      <c r="U10" s="189">
        <v>1</v>
      </c>
      <c r="V10" s="189"/>
      <c r="W10" s="189" t="s">
        <v>102</v>
      </c>
      <c r="X10" s="214"/>
      <c r="Y10" s="189">
        <f>COUNTIF(T10,"RS")</f>
        <v>1</v>
      </c>
      <c r="Z10" s="189">
        <f>SUMIFS(Q10,Q10,"PD",Q10,"PC")</f>
        <v>0</v>
      </c>
      <c r="AA10" s="189" t="s">
        <v>1220</v>
      </c>
      <c r="AB10" s="189"/>
      <c r="AC10" s="79"/>
      <c r="AD10" s="189"/>
      <c r="AE10" s="189"/>
      <c r="AF10" s="189" t="s">
        <v>1321</v>
      </c>
      <c r="AG10" s="77" t="s">
        <v>1364</v>
      </c>
      <c r="AH10" s="79"/>
      <c r="AI10" s="275">
        <v>1</v>
      </c>
      <c r="AJ10" s="189" t="str">
        <f>CONCATENATE(K10,AI10)</f>
        <v>01020181</v>
      </c>
      <c r="AK10" s="189" t="s">
        <v>3183</v>
      </c>
      <c r="AL10" s="189" t="s">
        <v>1259</v>
      </c>
      <c r="AM10" s="189"/>
      <c r="AN10" s="275" t="s">
        <v>1405</v>
      </c>
      <c r="AO10" s="189" t="s">
        <v>10</v>
      </c>
      <c r="AP10" s="90" t="s">
        <v>3184</v>
      </c>
      <c r="AQ10" s="90" t="s">
        <v>3185</v>
      </c>
      <c r="AR10" s="90" t="s">
        <v>3186</v>
      </c>
      <c r="AS10" s="90" t="s">
        <v>3057</v>
      </c>
      <c r="AT10" s="90" t="s">
        <v>3187</v>
      </c>
      <c r="AU10" s="90" t="s">
        <v>3188</v>
      </c>
      <c r="AV10" s="276" t="s">
        <v>2484</v>
      </c>
      <c r="AW10" s="276" t="s">
        <v>1405</v>
      </c>
      <c r="AX10" s="275">
        <v>1</v>
      </c>
      <c r="AY10" s="276" t="str">
        <f>CONCATENATE(AJ10,AX10)</f>
        <v>010201811</v>
      </c>
      <c r="AZ10" s="189" t="s">
        <v>3174</v>
      </c>
      <c r="BA10" s="189" t="s">
        <v>3175</v>
      </c>
      <c r="BB10" s="189" t="s">
        <v>1229</v>
      </c>
      <c r="BC10" s="189" t="s">
        <v>11</v>
      </c>
      <c r="BD10" s="276" t="s">
        <v>2484</v>
      </c>
      <c r="BE10" s="189" t="s">
        <v>9</v>
      </c>
      <c r="BF10" s="276" t="s">
        <v>9</v>
      </c>
      <c r="BG10" s="189" t="s">
        <v>3189</v>
      </c>
      <c r="BH10" s="90" t="s">
        <v>3177</v>
      </c>
      <c r="BI10" s="90" t="s">
        <v>3062</v>
      </c>
      <c r="BJ10" s="90" t="s">
        <v>3178</v>
      </c>
      <c r="BK10" s="90" t="s">
        <v>3179</v>
      </c>
      <c r="BL10" s="276" t="s">
        <v>3190</v>
      </c>
      <c r="BM10" s="276">
        <v>2015</v>
      </c>
      <c r="BN10" s="81">
        <f>17/339</f>
        <v>5.0147492625368731E-2</v>
      </c>
      <c r="BO10" s="139">
        <v>0.1</v>
      </c>
      <c r="BP10" s="79"/>
      <c r="BQ10" s="169">
        <f>((BO10-BN10)/(2020-BM10))*5</f>
        <v>4.9852507374631275E-2</v>
      </c>
      <c r="BR10" s="78"/>
      <c r="BS10" s="169">
        <f>(((BO10-BN10)/(2020-BM10))*(2016-BM10))+BN10</f>
        <v>6.0117994100294989E-2</v>
      </c>
      <c r="BT10" s="78"/>
      <c r="BU10" s="78"/>
      <c r="BV10" s="78"/>
      <c r="BW10" s="169">
        <f>(((BO10-BN10)/(2020-BM10))*(2017-BM10))+BN10</f>
        <v>7.0088495575221232E-2</v>
      </c>
      <c r="BX10" s="78"/>
      <c r="BY10" s="78"/>
      <c r="BZ10" s="78"/>
      <c r="CA10" s="169">
        <f>(((BO10-BN10)/(2020-BM10))*(2018-BM10))+BN10</f>
        <v>8.005899705014749E-2</v>
      </c>
      <c r="CB10" s="78"/>
      <c r="CC10" s="78"/>
      <c r="CD10" s="78"/>
      <c r="CE10" s="169">
        <f>(((BO10-BN10)/(2020-BM10))*(2019-BM10))+BN10</f>
        <v>9.0029498525073748E-2</v>
      </c>
      <c r="CF10" s="78"/>
      <c r="CG10" s="78"/>
      <c r="CH10" s="78"/>
      <c r="CI10" s="169">
        <f>(((BO10-BN10)/(2020-BM10))*(2020-BM10))+BN10</f>
        <v>0.1</v>
      </c>
      <c r="CJ10" s="102"/>
      <c r="CK10" s="102" t="s">
        <v>3181</v>
      </c>
      <c r="CL10" s="104" t="s">
        <v>3181</v>
      </c>
      <c r="CM10" s="104"/>
      <c r="CN10" s="215"/>
      <c r="CO10" s="215"/>
      <c r="CP10" s="215"/>
      <c r="CQ10" s="215"/>
      <c r="CR10" s="24"/>
      <c r="CS10" s="24">
        <v>10</v>
      </c>
      <c r="CT10" s="24"/>
      <c r="CU10" s="24"/>
      <c r="CV10" s="24"/>
      <c r="CW10" s="24"/>
      <c r="CX10" s="24"/>
      <c r="CY10" s="24"/>
      <c r="CZ10" s="24"/>
      <c r="DA10" s="24"/>
      <c r="DB10" s="24"/>
      <c r="DC10" s="24"/>
      <c r="DD10" s="24"/>
      <c r="DE10" s="24"/>
      <c r="DF10" s="24"/>
      <c r="DG10" s="24"/>
      <c r="DH10" s="24"/>
      <c r="DI10" s="24"/>
      <c r="DJ10" s="24"/>
      <c r="DK10" s="24"/>
      <c r="DL10" s="24"/>
      <c r="DM10" s="24"/>
      <c r="DN10" s="24"/>
      <c r="DO10" s="24"/>
      <c r="DP10" s="24"/>
      <c r="DQ10" s="24"/>
      <c r="DR10" s="24"/>
      <c r="DS10" s="24"/>
      <c r="DT10" s="24"/>
      <c r="DU10" s="24"/>
      <c r="DV10" s="24"/>
      <c r="DW10" s="24"/>
      <c r="DX10" s="24"/>
      <c r="DY10" s="24"/>
      <c r="DZ10" s="24"/>
      <c r="EA10" s="24"/>
      <c r="EB10" s="24"/>
      <c r="EC10" s="24"/>
      <c r="ED10" s="24"/>
      <c r="EE10" s="24"/>
      <c r="EF10" s="24"/>
      <c r="EG10" s="24"/>
      <c r="EH10" s="24"/>
      <c r="EI10" s="24"/>
      <c r="EJ10" s="24"/>
      <c r="EK10" s="24"/>
      <c r="EL10" s="24"/>
      <c r="EM10" s="24"/>
    </row>
    <row r="11" spans="1:143" s="5" customFormat="1" ht="171" customHeight="1" x14ac:dyDescent="0.25">
      <c r="A11" s="276">
        <v>4</v>
      </c>
      <c r="B11" s="269" t="s">
        <v>4575</v>
      </c>
      <c r="C11" s="195" t="s">
        <v>1265</v>
      </c>
      <c r="D11" s="78" t="s">
        <v>3283</v>
      </c>
      <c r="E11" s="78">
        <v>102</v>
      </c>
      <c r="F11" s="78" t="s">
        <v>3299</v>
      </c>
      <c r="G11" s="78">
        <v>2</v>
      </c>
      <c r="H11" s="78">
        <v>10216</v>
      </c>
      <c r="I11" s="78">
        <v>16</v>
      </c>
      <c r="J11" s="78" t="s">
        <v>96</v>
      </c>
      <c r="K11" s="78">
        <v>102016</v>
      </c>
      <c r="L11" s="209" t="s">
        <v>3579</v>
      </c>
      <c r="M11" s="206" t="s">
        <v>3231</v>
      </c>
      <c r="N11" s="206" t="s">
        <v>3232</v>
      </c>
      <c r="O11" s="207" t="s">
        <v>62</v>
      </c>
      <c r="P11" s="78"/>
      <c r="Q11" s="78"/>
      <c r="R11" s="78"/>
      <c r="S11" s="78"/>
      <c r="T11" s="78"/>
      <c r="U11" s="78"/>
      <c r="V11" s="78"/>
      <c r="W11" s="78"/>
      <c r="X11" s="78"/>
      <c r="Y11" s="78">
        <v>1</v>
      </c>
      <c r="Z11" s="78">
        <v>0</v>
      </c>
      <c r="AA11" s="83" t="s">
        <v>1220</v>
      </c>
      <c r="AB11" s="78"/>
      <c r="AC11" s="78"/>
      <c r="AD11" s="83" t="s">
        <v>1277</v>
      </c>
      <c r="AE11" s="78"/>
      <c r="AF11" s="83" t="s">
        <v>1278</v>
      </c>
      <c r="AG11" s="78" t="s">
        <v>3300</v>
      </c>
      <c r="AH11" s="78"/>
      <c r="AI11" s="78"/>
      <c r="AJ11" s="78"/>
      <c r="AK11" s="83" t="s">
        <v>3301</v>
      </c>
      <c r="AL11" s="83" t="s">
        <v>1259</v>
      </c>
      <c r="AM11" s="83" t="s">
        <v>3302</v>
      </c>
      <c r="AN11" s="83" t="s">
        <v>3303</v>
      </c>
      <c r="AO11" s="83" t="s">
        <v>3304</v>
      </c>
      <c r="AP11" s="83" t="s">
        <v>3305</v>
      </c>
      <c r="AQ11" s="83" t="s">
        <v>3306</v>
      </c>
      <c r="AR11" s="83" t="s">
        <v>3301</v>
      </c>
      <c r="AS11" s="83" t="s">
        <v>3580</v>
      </c>
      <c r="AT11" s="83" t="s">
        <v>3307</v>
      </c>
      <c r="AU11" s="83" t="s">
        <v>3580</v>
      </c>
      <c r="AV11" s="224">
        <v>2006</v>
      </c>
      <c r="AW11" s="83" t="s">
        <v>3308</v>
      </c>
      <c r="AX11" s="78"/>
      <c r="AY11" s="78"/>
      <c r="AZ11" s="83" t="s">
        <v>3309</v>
      </c>
      <c r="BA11" s="83" t="s">
        <v>3580</v>
      </c>
      <c r="BB11" s="83" t="s">
        <v>1229</v>
      </c>
      <c r="BC11" s="83" t="s">
        <v>3310</v>
      </c>
      <c r="BD11" s="78" t="s">
        <v>3311</v>
      </c>
      <c r="BE11" s="224" t="s">
        <v>9</v>
      </c>
      <c r="BF11" s="83" t="s">
        <v>9</v>
      </c>
      <c r="BG11" s="83" t="s">
        <v>3303</v>
      </c>
      <c r="BH11" s="83"/>
      <c r="BI11" s="83" t="s">
        <v>3312</v>
      </c>
      <c r="BJ11" s="78"/>
      <c r="BK11" s="78"/>
      <c r="BL11" s="78"/>
      <c r="BM11" s="78">
        <v>2014</v>
      </c>
      <c r="BN11" s="152">
        <v>0.5</v>
      </c>
      <c r="BO11" s="152">
        <v>0.5</v>
      </c>
      <c r="BP11" s="152">
        <v>0.5</v>
      </c>
      <c r="BQ11" s="78"/>
      <c r="BR11" s="78"/>
      <c r="BS11" s="152">
        <v>0.5</v>
      </c>
      <c r="BT11" s="78"/>
      <c r="BU11" s="78"/>
      <c r="BV11" s="78"/>
      <c r="BW11" s="152">
        <v>0.5</v>
      </c>
      <c r="BX11" s="78"/>
      <c r="BY11" s="78"/>
      <c r="BZ11" s="78"/>
      <c r="CA11" s="152">
        <v>0.5</v>
      </c>
      <c r="CB11" s="78"/>
      <c r="CC11" s="78"/>
      <c r="CD11" s="78"/>
      <c r="CE11" s="152">
        <v>0.5</v>
      </c>
      <c r="CF11" s="78"/>
      <c r="CG11" s="78"/>
      <c r="CH11" s="78"/>
      <c r="CI11" s="152">
        <v>0.5</v>
      </c>
      <c r="CJ11" s="78"/>
      <c r="CK11" s="78"/>
      <c r="CL11" s="78"/>
      <c r="CM11" s="78"/>
      <c r="CN11" s="78"/>
      <c r="CO11" s="78"/>
      <c r="CP11" s="78"/>
      <c r="CQ11" s="78"/>
      <c r="CR11" s="24"/>
      <c r="CS11" s="24">
        <v>11</v>
      </c>
      <c r="CT11" s="24"/>
      <c r="CU11" s="24"/>
      <c r="CV11" s="24"/>
      <c r="CW11" s="24"/>
      <c r="CX11" s="24"/>
      <c r="CY11" s="24"/>
      <c r="CZ11" s="24"/>
      <c r="DA11" s="24"/>
      <c r="DB11" s="24"/>
      <c r="DC11" s="24"/>
      <c r="DD11" s="24"/>
      <c r="DE11" s="24"/>
      <c r="DF11" s="24"/>
      <c r="DG11" s="24"/>
      <c r="DH11" s="24"/>
      <c r="DI11" s="24"/>
      <c r="DJ11" s="24"/>
      <c r="DK11" s="24"/>
      <c r="DL11" s="24"/>
      <c r="DM11" s="24"/>
      <c r="DN11" s="24"/>
      <c r="DO11" s="24"/>
      <c r="DP11" s="24"/>
      <c r="DQ11" s="24"/>
      <c r="DR11" s="24"/>
      <c r="DS11" s="24"/>
      <c r="DT11" s="24"/>
      <c r="DU11" s="24"/>
      <c r="DV11" s="24"/>
      <c r="DW11" s="24"/>
      <c r="DX11" s="24"/>
      <c r="DY11" s="24"/>
      <c r="DZ11" s="24"/>
      <c r="EA11" s="24"/>
      <c r="EB11" s="24"/>
      <c r="EC11" s="24"/>
      <c r="ED11" s="24"/>
      <c r="EE11" s="24"/>
      <c r="EF11" s="24"/>
      <c r="EG11" s="24"/>
      <c r="EH11" s="24"/>
      <c r="EI11" s="24"/>
      <c r="EJ11" s="24"/>
      <c r="EK11" s="24"/>
      <c r="EL11" s="24"/>
      <c r="EM11" s="24"/>
    </row>
    <row r="12" spans="1:143" s="5" customFormat="1" ht="185.25" customHeight="1" x14ac:dyDescent="0.2">
      <c r="A12" s="276">
        <v>4</v>
      </c>
      <c r="B12" s="269" t="s">
        <v>4575</v>
      </c>
      <c r="C12" s="195" t="s">
        <v>1265</v>
      </c>
      <c r="D12" s="78" t="s">
        <v>3283</v>
      </c>
      <c r="E12" s="78">
        <v>102</v>
      </c>
      <c r="F12" s="78" t="s">
        <v>3299</v>
      </c>
      <c r="G12" s="78">
        <v>2</v>
      </c>
      <c r="H12" s="78">
        <v>10216</v>
      </c>
      <c r="I12" s="78">
        <v>16</v>
      </c>
      <c r="J12" s="78" t="s">
        <v>96</v>
      </c>
      <c r="K12" s="78">
        <v>102016</v>
      </c>
      <c r="L12" s="209" t="s">
        <v>3579</v>
      </c>
      <c r="M12" s="206" t="s">
        <v>3231</v>
      </c>
      <c r="N12" s="206" t="s">
        <v>3232</v>
      </c>
      <c r="O12" s="207" t="s">
        <v>62</v>
      </c>
      <c r="P12" s="78"/>
      <c r="Q12" s="78"/>
      <c r="R12" s="78"/>
      <c r="S12" s="78"/>
      <c r="T12" s="78"/>
      <c r="U12" s="78"/>
      <c r="V12" s="78"/>
      <c r="W12" s="78"/>
      <c r="X12" s="78"/>
      <c r="Y12" s="78">
        <v>1</v>
      </c>
      <c r="Z12" s="78">
        <v>0</v>
      </c>
      <c r="AA12" s="83" t="s">
        <v>1220</v>
      </c>
      <c r="AB12" s="78"/>
      <c r="AC12" s="78"/>
      <c r="AD12" s="83" t="s">
        <v>1277</v>
      </c>
      <c r="AE12" s="78"/>
      <c r="AF12" s="83" t="s">
        <v>1278</v>
      </c>
      <c r="AG12" s="83" t="s">
        <v>3300</v>
      </c>
      <c r="AH12" s="78"/>
      <c r="AI12" s="78"/>
      <c r="AJ12" s="78"/>
      <c r="AK12" s="83" t="s">
        <v>3313</v>
      </c>
      <c r="AL12" s="83" t="s">
        <v>1259</v>
      </c>
      <c r="AM12" s="83" t="s">
        <v>3302</v>
      </c>
      <c r="AN12" s="83" t="s">
        <v>3314</v>
      </c>
      <c r="AO12" s="83" t="s">
        <v>3304</v>
      </c>
      <c r="AP12" s="83" t="s">
        <v>3315</v>
      </c>
      <c r="AQ12" s="83" t="s">
        <v>3316</v>
      </c>
      <c r="AR12" s="83" t="s">
        <v>3317</v>
      </c>
      <c r="AS12" s="83" t="s">
        <v>3581</v>
      </c>
      <c r="AT12" s="83" t="s">
        <v>3318</v>
      </c>
      <c r="AU12" s="83" t="s">
        <v>3581</v>
      </c>
      <c r="AV12" s="224">
        <v>2011</v>
      </c>
      <c r="AW12" s="83" t="s">
        <v>3319</v>
      </c>
      <c r="AX12" s="78"/>
      <c r="AY12" s="78"/>
      <c r="AZ12" s="83" t="s">
        <v>3320</v>
      </c>
      <c r="BA12" s="83" t="s">
        <v>3581</v>
      </c>
      <c r="BB12" s="83" t="s">
        <v>1229</v>
      </c>
      <c r="BC12" s="83" t="s">
        <v>3321</v>
      </c>
      <c r="BD12" s="78" t="s">
        <v>3322</v>
      </c>
      <c r="BE12" s="224" t="s">
        <v>9</v>
      </c>
      <c r="BF12" s="83" t="s">
        <v>9</v>
      </c>
      <c r="BG12" s="83" t="s">
        <v>3323</v>
      </c>
      <c r="BH12" s="83"/>
      <c r="BI12" s="83" t="s">
        <v>3312</v>
      </c>
      <c r="BJ12" s="78"/>
      <c r="BK12" s="78"/>
      <c r="BL12" s="78"/>
      <c r="BM12" s="78">
        <v>2011</v>
      </c>
      <c r="BN12" s="152">
        <v>0.43</v>
      </c>
      <c r="BO12" s="152">
        <v>0.5</v>
      </c>
      <c r="BP12" s="152">
        <v>0.5</v>
      </c>
      <c r="BQ12" s="78"/>
      <c r="BR12" s="78"/>
      <c r="BS12" s="152">
        <v>0.5</v>
      </c>
      <c r="BT12" s="78"/>
      <c r="BU12" s="78"/>
      <c r="BV12" s="78"/>
      <c r="BW12" s="152">
        <v>0.5</v>
      </c>
      <c r="BX12" s="78"/>
      <c r="BY12" s="78"/>
      <c r="BZ12" s="78"/>
      <c r="CA12" s="152">
        <v>0.5</v>
      </c>
      <c r="CB12" s="78"/>
      <c r="CC12" s="78"/>
      <c r="CD12" s="78"/>
      <c r="CE12" s="152">
        <v>0.5</v>
      </c>
      <c r="CF12" s="78"/>
      <c r="CG12" s="78"/>
      <c r="CH12" s="78"/>
      <c r="CI12" s="152">
        <v>0.5</v>
      </c>
      <c r="CJ12" s="78"/>
      <c r="CK12" s="78"/>
      <c r="CL12" s="78"/>
      <c r="CM12" s="78"/>
      <c r="CN12" s="78"/>
      <c r="CO12" s="78"/>
      <c r="CP12" s="78"/>
      <c r="CQ12" s="78"/>
      <c r="CR12" s="24"/>
      <c r="CS12" s="2">
        <v>12</v>
      </c>
      <c r="CT12" s="24"/>
      <c r="CU12" s="24"/>
      <c r="CV12" s="24"/>
      <c r="CW12" s="24"/>
      <c r="CX12" s="24"/>
      <c r="CY12" s="24"/>
      <c r="CZ12" s="24"/>
      <c r="DA12" s="24"/>
      <c r="DB12" s="24"/>
      <c r="DC12" s="24"/>
      <c r="DD12" s="24"/>
      <c r="DE12" s="24"/>
      <c r="DF12" s="24"/>
      <c r="DG12" s="24"/>
      <c r="DH12" s="24"/>
      <c r="DI12" s="24"/>
      <c r="DJ12" s="24"/>
      <c r="DK12" s="24"/>
      <c r="DL12" s="24"/>
      <c r="DM12" s="24"/>
      <c r="DN12" s="24"/>
      <c r="DO12" s="24"/>
      <c r="DP12" s="24"/>
      <c r="DQ12" s="24"/>
      <c r="DR12" s="24"/>
      <c r="DS12" s="24"/>
      <c r="DT12" s="24"/>
      <c r="DU12" s="24"/>
      <c r="DV12" s="24"/>
      <c r="DW12" s="24"/>
      <c r="DX12" s="24"/>
      <c r="DY12" s="24"/>
      <c r="DZ12" s="24"/>
      <c r="EA12" s="24"/>
      <c r="EB12" s="24"/>
      <c r="EC12" s="24"/>
      <c r="ED12" s="24"/>
      <c r="EE12" s="24"/>
      <c r="EF12" s="24"/>
      <c r="EG12" s="24"/>
      <c r="EH12" s="24"/>
      <c r="EI12" s="24"/>
      <c r="EJ12" s="24"/>
      <c r="EK12" s="24"/>
      <c r="EL12" s="24"/>
      <c r="EM12" s="24"/>
    </row>
    <row r="13" spans="1:143" s="5" customFormat="1" ht="171" customHeight="1" x14ac:dyDescent="0.25">
      <c r="A13" s="276">
        <v>4</v>
      </c>
      <c r="B13" s="269" t="s">
        <v>4575</v>
      </c>
      <c r="C13" s="195" t="s">
        <v>1265</v>
      </c>
      <c r="D13" s="78" t="s">
        <v>3283</v>
      </c>
      <c r="E13" s="78">
        <v>102</v>
      </c>
      <c r="F13" s="78" t="s">
        <v>3299</v>
      </c>
      <c r="G13" s="78">
        <v>2</v>
      </c>
      <c r="H13" s="78">
        <v>10216</v>
      </c>
      <c r="I13" s="78">
        <v>16</v>
      </c>
      <c r="J13" s="78" t="s">
        <v>96</v>
      </c>
      <c r="K13" s="78">
        <v>102016</v>
      </c>
      <c r="L13" s="209" t="s">
        <v>3579</v>
      </c>
      <c r="M13" s="206" t="s">
        <v>3231</v>
      </c>
      <c r="N13" s="206" t="s">
        <v>3232</v>
      </c>
      <c r="O13" s="207" t="s">
        <v>62</v>
      </c>
      <c r="P13" s="78"/>
      <c r="Q13" s="78"/>
      <c r="R13" s="78"/>
      <c r="S13" s="78"/>
      <c r="T13" s="78"/>
      <c r="U13" s="78"/>
      <c r="V13" s="78"/>
      <c r="W13" s="78"/>
      <c r="X13" s="78"/>
      <c r="Y13" s="78">
        <v>1</v>
      </c>
      <c r="Z13" s="78">
        <v>0</v>
      </c>
      <c r="AA13" s="83" t="s">
        <v>1220</v>
      </c>
      <c r="AB13" s="78"/>
      <c r="AC13" s="78"/>
      <c r="AD13" s="83" t="s">
        <v>1277</v>
      </c>
      <c r="AE13" s="78"/>
      <c r="AF13" s="83" t="s">
        <v>1278</v>
      </c>
      <c r="AG13" s="83" t="s">
        <v>3300</v>
      </c>
      <c r="AH13" s="78"/>
      <c r="AI13" s="78"/>
      <c r="AJ13" s="78"/>
      <c r="AK13" s="83" t="s">
        <v>3324</v>
      </c>
      <c r="AL13" s="83" t="s">
        <v>1259</v>
      </c>
      <c r="AM13" s="83" t="s">
        <v>3302</v>
      </c>
      <c r="AN13" s="83" t="s">
        <v>3303</v>
      </c>
      <c r="AO13" s="83" t="s">
        <v>3304</v>
      </c>
      <c r="AP13" s="83" t="s">
        <v>3325</v>
      </c>
      <c r="AQ13" s="83" t="s">
        <v>3326</v>
      </c>
      <c r="AR13" s="83" t="s">
        <v>3327</v>
      </c>
      <c r="AS13" s="83" t="s">
        <v>3582</v>
      </c>
      <c r="AT13" s="83" t="s">
        <v>3307</v>
      </c>
      <c r="AU13" s="83" t="s">
        <v>3583</v>
      </c>
      <c r="AV13" s="224">
        <v>2006</v>
      </c>
      <c r="AW13" s="83" t="s">
        <v>3328</v>
      </c>
      <c r="AX13" s="78"/>
      <c r="AY13" s="78"/>
      <c r="AZ13" s="83" t="s">
        <v>3329</v>
      </c>
      <c r="BA13" s="83" t="s">
        <v>3583</v>
      </c>
      <c r="BB13" s="83" t="s">
        <v>1229</v>
      </c>
      <c r="BC13" s="83" t="s">
        <v>3310</v>
      </c>
      <c r="BD13" s="78" t="s">
        <v>3330</v>
      </c>
      <c r="BE13" s="224" t="s">
        <v>9</v>
      </c>
      <c r="BF13" s="83" t="s">
        <v>3331</v>
      </c>
      <c r="BG13" s="83" t="s">
        <v>3303</v>
      </c>
      <c r="BH13" s="83" t="s">
        <v>3332</v>
      </c>
      <c r="BI13" s="83" t="s">
        <v>3312</v>
      </c>
      <c r="BJ13" s="78"/>
      <c r="BK13" s="78"/>
      <c r="BL13" s="78"/>
      <c r="BM13" s="78">
        <v>2015</v>
      </c>
      <c r="BN13" s="152">
        <v>0.46</v>
      </c>
      <c r="BO13" s="152">
        <v>0.5</v>
      </c>
      <c r="BP13" s="152">
        <v>0.5</v>
      </c>
      <c r="BQ13" s="78"/>
      <c r="BR13" s="78"/>
      <c r="BS13" s="152">
        <v>0.5</v>
      </c>
      <c r="BT13" s="78"/>
      <c r="BU13" s="78"/>
      <c r="BV13" s="78"/>
      <c r="BW13" s="152">
        <v>0.5</v>
      </c>
      <c r="BX13" s="78"/>
      <c r="BY13" s="78"/>
      <c r="BZ13" s="78"/>
      <c r="CA13" s="152">
        <v>0.5</v>
      </c>
      <c r="CB13" s="78"/>
      <c r="CC13" s="78"/>
      <c r="CD13" s="78"/>
      <c r="CE13" s="152">
        <v>0.5</v>
      </c>
      <c r="CF13" s="78"/>
      <c r="CG13" s="78"/>
      <c r="CH13" s="78"/>
      <c r="CI13" s="152">
        <v>0.5</v>
      </c>
      <c r="CJ13" s="78"/>
      <c r="CK13" s="78"/>
      <c r="CL13" s="78"/>
      <c r="CM13" s="78"/>
      <c r="CN13" s="78"/>
      <c r="CO13" s="78"/>
      <c r="CP13" s="78"/>
      <c r="CQ13" s="78"/>
      <c r="CR13" s="24"/>
      <c r="CS13" s="24">
        <v>13</v>
      </c>
      <c r="CT13" s="24"/>
      <c r="CU13" s="24"/>
      <c r="CV13" s="24"/>
      <c r="CW13" s="24"/>
      <c r="CX13" s="24"/>
      <c r="CY13" s="24"/>
      <c r="CZ13" s="24"/>
      <c r="DA13" s="24"/>
      <c r="DB13" s="24"/>
      <c r="DC13" s="24"/>
      <c r="DD13" s="24"/>
      <c r="DE13" s="24"/>
      <c r="DF13" s="24"/>
      <c r="DG13" s="24"/>
      <c r="DH13" s="24"/>
      <c r="DI13" s="24"/>
      <c r="DJ13" s="24"/>
      <c r="DK13" s="24"/>
      <c r="DL13" s="24"/>
      <c r="DM13" s="24"/>
      <c r="DN13" s="24"/>
      <c r="DO13" s="24"/>
      <c r="DP13" s="24"/>
      <c r="DQ13" s="24"/>
      <c r="DR13" s="24"/>
      <c r="DS13" s="24"/>
      <c r="DT13" s="24"/>
      <c r="DU13" s="24"/>
      <c r="DV13" s="24"/>
      <c r="DW13" s="24"/>
      <c r="DX13" s="24"/>
      <c r="DY13" s="24"/>
      <c r="DZ13" s="24"/>
      <c r="EA13" s="24"/>
      <c r="EB13" s="24"/>
      <c r="EC13" s="24"/>
      <c r="ED13" s="24"/>
      <c r="EE13" s="24"/>
      <c r="EF13" s="24"/>
      <c r="EG13" s="24"/>
      <c r="EH13" s="24"/>
      <c r="EI13" s="24"/>
      <c r="EJ13" s="24"/>
      <c r="EK13" s="24"/>
      <c r="EL13" s="24"/>
      <c r="EM13" s="24"/>
    </row>
    <row r="14" spans="1:143" s="5" customFormat="1" ht="370.5" x14ac:dyDescent="0.25">
      <c r="A14" s="276">
        <v>4</v>
      </c>
      <c r="B14" s="269" t="s">
        <v>4575</v>
      </c>
      <c r="C14" s="195" t="s">
        <v>1265</v>
      </c>
      <c r="D14" s="78" t="s">
        <v>3283</v>
      </c>
      <c r="E14" s="78">
        <v>102</v>
      </c>
      <c r="F14" s="78" t="s">
        <v>3299</v>
      </c>
      <c r="G14" s="78">
        <v>2</v>
      </c>
      <c r="H14" s="78">
        <v>10216</v>
      </c>
      <c r="I14" s="78">
        <v>16</v>
      </c>
      <c r="J14" s="78" t="s">
        <v>96</v>
      </c>
      <c r="K14" s="78">
        <v>102016</v>
      </c>
      <c r="L14" s="209" t="s">
        <v>3579</v>
      </c>
      <c r="M14" s="206" t="s">
        <v>3231</v>
      </c>
      <c r="N14" s="206" t="s">
        <v>3232</v>
      </c>
      <c r="O14" s="207" t="s">
        <v>62</v>
      </c>
      <c r="P14" s="78"/>
      <c r="Q14" s="78"/>
      <c r="R14" s="78"/>
      <c r="S14" s="78"/>
      <c r="T14" s="78"/>
      <c r="U14" s="78"/>
      <c r="V14" s="78"/>
      <c r="W14" s="78"/>
      <c r="X14" s="78"/>
      <c r="Y14" s="78">
        <v>1</v>
      </c>
      <c r="Z14" s="78">
        <v>0</v>
      </c>
      <c r="AA14" s="83" t="s">
        <v>1220</v>
      </c>
      <c r="AB14" s="78"/>
      <c r="AC14" s="78"/>
      <c r="AD14" s="83" t="s">
        <v>1277</v>
      </c>
      <c r="AE14" s="78"/>
      <c r="AF14" s="83" t="s">
        <v>1278</v>
      </c>
      <c r="AG14" s="83" t="s">
        <v>3300</v>
      </c>
      <c r="AH14" s="78"/>
      <c r="AI14" s="78"/>
      <c r="AJ14" s="78"/>
      <c r="AK14" s="83" t="s">
        <v>3333</v>
      </c>
      <c r="AL14" s="83" t="s">
        <v>1259</v>
      </c>
      <c r="AM14" s="83" t="s">
        <v>3302</v>
      </c>
      <c r="AN14" s="83" t="s">
        <v>3303</v>
      </c>
      <c r="AO14" s="83" t="s">
        <v>3304</v>
      </c>
      <c r="AP14" s="83" t="s">
        <v>3334</v>
      </c>
      <c r="AQ14" s="83" t="s">
        <v>3335</v>
      </c>
      <c r="AR14" s="83" t="s">
        <v>3336</v>
      </c>
      <c r="AS14" s="83" t="s">
        <v>3584</v>
      </c>
      <c r="AT14" s="83" t="s">
        <v>3337</v>
      </c>
      <c r="AU14" s="83" t="s">
        <v>3584</v>
      </c>
      <c r="AV14" s="224">
        <v>2006</v>
      </c>
      <c r="AW14" s="83" t="s">
        <v>3328</v>
      </c>
      <c r="AX14" s="78"/>
      <c r="AY14" s="78"/>
      <c r="AZ14" s="83" t="s">
        <v>3338</v>
      </c>
      <c r="BA14" s="83" t="s">
        <v>3585</v>
      </c>
      <c r="BB14" s="83" t="s">
        <v>1229</v>
      </c>
      <c r="BC14" s="83" t="s">
        <v>3310</v>
      </c>
      <c r="BD14" s="78" t="s">
        <v>3330</v>
      </c>
      <c r="BE14" s="224" t="s">
        <v>9</v>
      </c>
      <c r="BF14" s="83" t="s">
        <v>3339</v>
      </c>
      <c r="BG14" s="83" t="s">
        <v>3303</v>
      </c>
      <c r="BH14" s="83" t="s">
        <v>3340</v>
      </c>
      <c r="BI14" s="83" t="s">
        <v>3312</v>
      </c>
      <c r="BJ14" s="78"/>
      <c r="BK14" s="78"/>
      <c r="BL14" s="78"/>
      <c r="BM14" s="78">
        <v>2015</v>
      </c>
      <c r="BN14" s="152">
        <v>0.5</v>
      </c>
      <c r="BO14" s="152">
        <v>0.5</v>
      </c>
      <c r="BP14" s="152">
        <v>0.5</v>
      </c>
      <c r="BQ14" s="78"/>
      <c r="BR14" s="78"/>
      <c r="BS14" s="152">
        <v>0.5</v>
      </c>
      <c r="BT14" s="78"/>
      <c r="BU14" s="78"/>
      <c r="BV14" s="78"/>
      <c r="BW14" s="152">
        <v>0.5</v>
      </c>
      <c r="BX14" s="78"/>
      <c r="BY14" s="78"/>
      <c r="BZ14" s="78"/>
      <c r="CA14" s="152">
        <v>0.5</v>
      </c>
      <c r="CB14" s="78"/>
      <c r="CC14" s="78"/>
      <c r="CD14" s="78"/>
      <c r="CE14" s="152">
        <v>0.5</v>
      </c>
      <c r="CF14" s="78"/>
      <c r="CG14" s="78"/>
      <c r="CH14" s="78"/>
      <c r="CI14" s="152">
        <v>0.5</v>
      </c>
      <c r="CJ14" s="78"/>
      <c r="CK14" s="78"/>
      <c r="CL14" s="78"/>
      <c r="CM14" s="78"/>
      <c r="CN14" s="78"/>
      <c r="CO14" s="78"/>
      <c r="CP14" s="78"/>
      <c r="CQ14" s="78"/>
      <c r="CR14" s="24"/>
      <c r="CS14" s="24">
        <v>14</v>
      </c>
      <c r="CT14" s="24"/>
      <c r="CU14" s="24"/>
      <c r="CV14" s="24"/>
      <c r="CW14" s="24"/>
      <c r="CX14" s="24"/>
      <c r="CY14" s="24"/>
      <c r="CZ14" s="24"/>
      <c r="DA14" s="24"/>
      <c r="DB14" s="24"/>
      <c r="DC14" s="24"/>
      <c r="DD14" s="24"/>
      <c r="DE14" s="24"/>
      <c r="DF14" s="24"/>
      <c r="DG14" s="24"/>
      <c r="DH14" s="24"/>
      <c r="DI14" s="24"/>
      <c r="DJ14" s="24"/>
      <c r="DK14" s="24"/>
      <c r="DL14" s="24"/>
      <c r="DM14" s="24"/>
      <c r="DN14" s="24"/>
      <c r="DO14" s="24"/>
      <c r="DP14" s="24"/>
      <c r="DQ14" s="24"/>
      <c r="DR14" s="24"/>
      <c r="DS14" s="24"/>
      <c r="DT14" s="24"/>
      <c r="DU14" s="24"/>
      <c r="DV14" s="24"/>
      <c r="DW14" s="24"/>
      <c r="DX14" s="24"/>
      <c r="DY14" s="24"/>
      <c r="DZ14" s="24"/>
      <c r="EA14" s="24"/>
      <c r="EB14" s="24"/>
      <c r="EC14" s="24"/>
      <c r="ED14" s="24"/>
      <c r="EE14" s="24"/>
      <c r="EF14" s="24"/>
      <c r="EG14" s="24"/>
      <c r="EH14" s="24"/>
      <c r="EI14" s="24"/>
      <c r="EJ14" s="24"/>
      <c r="EK14" s="24"/>
      <c r="EL14" s="24"/>
      <c r="EM14" s="24"/>
    </row>
    <row r="15" spans="1:143" s="5" customFormat="1" ht="185.25" customHeight="1" x14ac:dyDescent="0.2">
      <c r="A15" s="276">
        <v>4</v>
      </c>
      <c r="B15" s="269" t="s">
        <v>4575</v>
      </c>
      <c r="C15" s="195" t="s">
        <v>1265</v>
      </c>
      <c r="D15" s="78" t="s">
        <v>3283</v>
      </c>
      <c r="E15" s="78">
        <v>102</v>
      </c>
      <c r="F15" s="78" t="s">
        <v>3299</v>
      </c>
      <c r="G15" s="78">
        <v>2</v>
      </c>
      <c r="H15" s="78">
        <v>10216</v>
      </c>
      <c r="I15" s="78">
        <v>16</v>
      </c>
      <c r="J15" s="78" t="s">
        <v>96</v>
      </c>
      <c r="K15" s="78">
        <v>102016</v>
      </c>
      <c r="L15" s="209" t="s">
        <v>3579</v>
      </c>
      <c r="M15" s="206" t="s">
        <v>3231</v>
      </c>
      <c r="N15" s="206" t="s">
        <v>3232</v>
      </c>
      <c r="O15" s="83" t="s">
        <v>1259</v>
      </c>
      <c r="P15" s="78"/>
      <c r="Q15" s="78"/>
      <c r="R15" s="78"/>
      <c r="S15" s="78"/>
      <c r="T15" s="78"/>
      <c r="U15" s="78"/>
      <c r="V15" s="78"/>
      <c r="W15" s="78"/>
      <c r="X15" s="78"/>
      <c r="Y15" s="78">
        <v>1</v>
      </c>
      <c r="Z15" s="78">
        <v>0</v>
      </c>
      <c r="AA15" s="83" t="s">
        <v>1220</v>
      </c>
      <c r="AB15" s="78"/>
      <c r="AC15" s="78"/>
      <c r="AD15" s="83" t="s">
        <v>3341</v>
      </c>
      <c r="AE15" s="78"/>
      <c r="AF15" s="210" t="s">
        <v>2752</v>
      </c>
      <c r="AG15" s="83" t="s">
        <v>3300</v>
      </c>
      <c r="AH15" s="78"/>
      <c r="AI15" s="78"/>
      <c r="AJ15" s="78"/>
      <c r="AK15" s="210" t="s">
        <v>3536</v>
      </c>
      <c r="AL15" s="83" t="s">
        <v>1259</v>
      </c>
      <c r="AM15" s="83"/>
      <c r="AN15" s="83" t="s">
        <v>9</v>
      </c>
      <c r="AO15" s="83" t="s">
        <v>10</v>
      </c>
      <c r="AP15" s="83" t="s">
        <v>3342</v>
      </c>
      <c r="AQ15" s="83" t="s">
        <v>3343</v>
      </c>
      <c r="AR15" s="83" t="s">
        <v>3344</v>
      </c>
      <c r="AS15" s="83" t="s">
        <v>3345</v>
      </c>
      <c r="AT15" s="83" t="s">
        <v>3346</v>
      </c>
      <c r="AU15" s="83" t="s">
        <v>3345</v>
      </c>
      <c r="AV15" s="83">
        <v>2015</v>
      </c>
      <c r="AW15" s="83" t="s">
        <v>3181</v>
      </c>
      <c r="AX15" s="78"/>
      <c r="AY15" s="78"/>
      <c r="AZ15" s="83" t="s">
        <v>2501</v>
      </c>
      <c r="BA15" s="83" t="s">
        <v>2502</v>
      </c>
      <c r="BB15" s="83" t="s">
        <v>3347</v>
      </c>
      <c r="BC15" s="78" t="s">
        <v>3348</v>
      </c>
      <c r="BD15" s="78" t="s">
        <v>3349</v>
      </c>
      <c r="BE15" s="78" t="s">
        <v>9</v>
      </c>
      <c r="BF15" s="83" t="s">
        <v>3350</v>
      </c>
      <c r="BG15" s="83" t="s">
        <v>3351</v>
      </c>
      <c r="BH15" s="83" t="s">
        <v>3181</v>
      </c>
      <c r="BI15" s="83" t="s">
        <v>3352</v>
      </c>
      <c r="BJ15" s="78"/>
      <c r="BK15" s="78"/>
      <c r="BL15" s="78"/>
      <c r="BM15" s="78">
        <v>2015</v>
      </c>
      <c r="BN15" s="106">
        <v>0.34499999999999997</v>
      </c>
      <c r="BO15" s="107">
        <v>0.5</v>
      </c>
      <c r="BP15" s="152" t="s">
        <v>3181</v>
      </c>
      <c r="BQ15" s="169">
        <f>((BO15-[1]Matriz_Metadatos_P1M1!BN219)/(2020-[1]Matriz_Metadatos_P1M1!BM219))*5</f>
        <v>1.2376237623762376E-3</v>
      </c>
      <c r="BR15" s="78"/>
      <c r="BS15" s="169">
        <f>(((BO15-[1]Matriz_Metadatos_P1M1!BN219)/(2020-[1]Matriz_Metadatos_P1M1!BM219))*(2016-[1]Matriz_Metadatos_P1M1!BM219))+[1]Matriz_Metadatos_P1M1!BN219</f>
        <v>0.49900990099009901</v>
      </c>
      <c r="BT15" s="78"/>
      <c r="BU15" s="78"/>
      <c r="BV15" s="78"/>
      <c r="BW15" s="169">
        <f>(((BO15-[1]Matriz_Metadatos_P1M1!BN219)/(2020-[1]Matriz_Metadatos_P1M1!BM219))*(2017-[1]Matriz_Metadatos_P1M1!BM219))+[1]Matriz_Metadatos_P1M1!BN219</f>
        <v>0.49925742574257426</v>
      </c>
      <c r="BX15" s="78"/>
      <c r="BY15" s="78"/>
      <c r="BZ15" s="78"/>
      <c r="CA15" s="169">
        <f>(((BO15-[1]Matriz_Metadatos_P1M1!BN219)/(2020-[1]Matriz_Metadatos_P1M1!BM219))*(2018-[1]Matriz_Metadatos_P1M1!BM219))+[1]Matriz_Metadatos_P1M1!BN219</f>
        <v>0.4995049504950495</v>
      </c>
      <c r="CB15" s="78"/>
      <c r="CC15" s="78"/>
      <c r="CD15" s="78"/>
      <c r="CE15" s="169">
        <f>(((BO15-[1]Matriz_Metadatos_P1M1!BN219)/(2020-[1]Matriz_Metadatos_P1M1!BM219))*(2019-[1]Matriz_Metadatos_P1M1!BM219))+[1]Matriz_Metadatos_P1M1!BN219</f>
        <v>0.49975247524752475</v>
      </c>
      <c r="CF15" s="78"/>
      <c r="CG15" s="78"/>
      <c r="CH15" s="78"/>
      <c r="CI15" s="169">
        <f>(((BO15-[1]Matriz_Metadatos_P1M1!BN219)/(2020-[1]Matriz_Metadatos_P1M1!BM219))*(2020-[1]Matriz_Metadatos_P1M1!BM219))+[1]Matriz_Metadatos_P1M1!BN219</f>
        <v>0.5</v>
      </c>
      <c r="CJ15" s="78"/>
      <c r="CK15" s="78"/>
      <c r="CL15" s="78"/>
      <c r="CM15" s="78"/>
      <c r="CN15" s="78"/>
      <c r="CO15" s="78"/>
      <c r="CP15" s="78"/>
      <c r="CQ15" s="78"/>
      <c r="CR15" s="24"/>
      <c r="CS15" s="2">
        <v>15</v>
      </c>
      <c r="CT15" s="24"/>
      <c r="CU15" s="24"/>
      <c r="CV15" s="24"/>
      <c r="CW15" s="24"/>
      <c r="CX15" s="24"/>
      <c r="CY15" s="24"/>
      <c r="CZ15" s="24"/>
      <c r="DA15" s="24"/>
      <c r="DB15" s="24"/>
      <c r="DC15" s="24"/>
      <c r="DD15" s="24"/>
      <c r="DE15" s="24"/>
      <c r="DF15" s="24"/>
      <c r="DG15" s="24"/>
      <c r="DH15" s="24"/>
      <c r="DI15" s="24"/>
      <c r="DJ15" s="24"/>
      <c r="DK15" s="24"/>
      <c r="DL15" s="24"/>
      <c r="DM15" s="24"/>
      <c r="DN15" s="24"/>
      <c r="DO15" s="24"/>
      <c r="DP15" s="24"/>
      <c r="DQ15" s="24"/>
      <c r="DR15" s="24"/>
      <c r="DS15" s="24"/>
      <c r="DT15" s="24"/>
      <c r="DU15" s="24"/>
      <c r="DV15" s="24"/>
      <c r="DW15" s="24"/>
      <c r="DX15" s="24"/>
      <c r="DY15" s="24"/>
      <c r="DZ15" s="24"/>
      <c r="EA15" s="24"/>
      <c r="EB15" s="24"/>
      <c r="EC15" s="24"/>
      <c r="ED15" s="24"/>
      <c r="EE15" s="24"/>
      <c r="EF15" s="24"/>
      <c r="EG15" s="24"/>
      <c r="EH15" s="24"/>
      <c r="EI15" s="24"/>
      <c r="EJ15" s="24"/>
      <c r="EK15" s="24"/>
      <c r="EL15" s="24"/>
      <c r="EM15" s="24"/>
    </row>
    <row r="16" spans="1:143" s="5" customFormat="1" ht="171" customHeight="1" x14ac:dyDescent="0.2">
      <c r="A16" s="276">
        <v>3</v>
      </c>
      <c r="B16" s="269" t="s">
        <v>4575</v>
      </c>
      <c r="C16" s="133" t="s">
        <v>1265</v>
      </c>
      <c r="D16" s="135" t="s">
        <v>0</v>
      </c>
      <c r="E16" s="135" t="s">
        <v>105</v>
      </c>
      <c r="F16" s="135" t="s">
        <v>103</v>
      </c>
      <c r="G16" s="203">
        <v>4</v>
      </c>
      <c r="H16" s="77"/>
      <c r="I16" s="77"/>
      <c r="J16" s="77"/>
      <c r="K16" s="135" t="s">
        <v>830</v>
      </c>
      <c r="L16" s="135" t="s">
        <v>111</v>
      </c>
      <c r="M16" s="77"/>
      <c r="N16" s="77"/>
      <c r="O16" s="135" t="s">
        <v>137</v>
      </c>
      <c r="P16" s="77"/>
      <c r="Q16" s="77"/>
      <c r="R16" s="77"/>
      <c r="S16" s="77"/>
      <c r="T16" s="77"/>
      <c r="U16" s="77"/>
      <c r="V16" s="77"/>
      <c r="W16" s="77"/>
      <c r="X16" s="77"/>
      <c r="Y16" s="135">
        <v>0</v>
      </c>
      <c r="Z16" s="135">
        <v>1</v>
      </c>
      <c r="AA16" s="135" t="s">
        <v>1220</v>
      </c>
      <c r="AB16" s="77"/>
      <c r="AC16" s="197">
        <v>10</v>
      </c>
      <c r="AD16" s="117" t="s">
        <v>2975</v>
      </c>
      <c r="AE16" s="117" t="s">
        <v>1279</v>
      </c>
      <c r="AF16" s="197"/>
      <c r="AG16" s="117" t="s">
        <v>1236</v>
      </c>
      <c r="AH16" s="77"/>
      <c r="AI16" s="198">
        <v>1</v>
      </c>
      <c r="AJ16" s="163" t="s">
        <v>3217</v>
      </c>
      <c r="AK16" s="135" t="s">
        <v>3218</v>
      </c>
      <c r="AL16" s="198" t="s">
        <v>2840</v>
      </c>
      <c r="AM16" s="77"/>
      <c r="AN16" s="135" t="s">
        <v>3219</v>
      </c>
      <c r="AO16" s="135" t="s">
        <v>2298</v>
      </c>
      <c r="AP16" s="135" t="s">
        <v>3220</v>
      </c>
      <c r="AQ16" s="133" t="s">
        <v>3221</v>
      </c>
      <c r="AR16" s="135" t="s">
        <v>3222</v>
      </c>
      <c r="AS16" s="135" t="s">
        <v>3223</v>
      </c>
      <c r="AT16" s="135" t="s">
        <v>2690</v>
      </c>
      <c r="AU16" s="135" t="s">
        <v>3224</v>
      </c>
      <c r="AV16" s="135" t="s">
        <v>1529</v>
      </c>
      <c r="AW16" s="135" t="s">
        <v>3225</v>
      </c>
      <c r="AX16" s="198"/>
      <c r="AY16" s="198"/>
      <c r="AZ16" s="198" t="s">
        <v>2772</v>
      </c>
      <c r="BA16" s="135" t="s">
        <v>2778</v>
      </c>
      <c r="BB16" s="135" t="s">
        <v>1229</v>
      </c>
      <c r="BC16" s="135" t="s">
        <v>3226</v>
      </c>
      <c r="BD16" s="135" t="s">
        <v>1529</v>
      </c>
      <c r="BE16" s="135" t="s">
        <v>2694</v>
      </c>
      <c r="BF16" s="198" t="s">
        <v>1395</v>
      </c>
      <c r="BG16" s="135" t="s">
        <v>3227</v>
      </c>
      <c r="BH16" s="198"/>
      <c r="BI16" s="135" t="s">
        <v>2696</v>
      </c>
      <c r="BJ16" s="135" t="s">
        <v>3228</v>
      </c>
      <c r="BK16" s="135" t="s">
        <v>3229</v>
      </c>
      <c r="BL16" s="135" t="s">
        <v>3240</v>
      </c>
      <c r="BM16" s="135">
        <v>2015</v>
      </c>
      <c r="BN16" s="135">
        <v>3.4</v>
      </c>
      <c r="BO16" s="135">
        <v>4</v>
      </c>
      <c r="BP16" s="135">
        <v>3</v>
      </c>
      <c r="BQ16" s="199" t="s">
        <v>1323</v>
      </c>
      <c r="BR16" s="198">
        <v>5</v>
      </c>
      <c r="BS16" s="200" t="s">
        <v>1323</v>
      </c>
      <c r="BT16" s="135">
        <v>3.8</v>
      </c>
      <c r="BU16" s="198"/>
      <c r="BV16" s="198"/>
      <c r="BW16" s="200" t="s">
        <v>1323</v>
      </c>
      <c r="BX16" s="135">
        <v>3.6</v>
      </c>
      <c r="BY16" s="198"/>
      <c r="BZ16" s="198"/>
      <c r="CA16" s="198"/>
      <c r="CB16" s="198"/>
      <c r="CC16" s="198"/>
      <c r="CD16" s="198"/>
      <c r="CE16" s="198"/>
      <c r="CF16" s="198"/>
      <c r="CG16" s="198"/>
      <c r="CH16" s="198"/>
      <c r="CI16" s="198"/>
      <c r="CJ16" s="198"/>
      <c r="CK16" s="198"/>
      <c r="CL16" s="198"/>
      <c r="CM16" s="198"/>
      <c r="CN16" s="198"/>
      <c r="CO16" s="77"/>
      <c r="CP16" s="77"/>
      <c r="CQ16" s="77"/>
      <c r="CR16" s="24"/>
      <c r="CS16" s="24">
        <v>16</v>
      </c>
      <c r="CT16" s="24"/>
      <c r="CU16" s="24"/>
      <c r="CV16" s="24"/>
      <c r="CW16" s="24"/>
      <c r="CX16" s="24"/>
      <c r="CY16" s="24"/>
      <c r="CZ16" s="24"/>
      <c r="DA16" s="24"/>
      <c r="DB16" s="24"/>
      <c r="DC16" s="24"/>
      <c r="DD16" s="24"/>
      <c r="DE16" s="24"/>
      <c r="DF16" s="24"/>
      <c r="DG16" s="24"/>
      <c r="DH16" s="24"/>
      <c r="DI16" s="24"/>
      <c r="DJ16" s="24"/>
      <c r="DK16" s="24"/>
      <c r="DL16" s="24"/>
      <c r="DM16" s="24"/>
      <c r="DN16" s="24"/>
      <c r="DO16" s="24"/>
      <c r="DP16" s="24"/>
      <c r="DQ16" s="24"/>
      <c r="DR16" s="24"/>
      <c r="DS16" s="24"/>
      <c r="DT16" s="24"/>
      <c r="DU16" s="24"/>
      <c r="DV16" s="24"/>
      <c r="DW16" s="24"/>
      <c r="DX16" s="24"/>
      <c r="DY16" s="24"/>
      <c r="DZ16" s="24"/>
      <c r="EA16" s="24"/>
      <c r="EB16" s="24"/>
      <c r="EC16" s="24"/>
      <c r="ED16" s="24"/>
      <c r="EE16" s="24"/>
      <c r="EF16" s="24"/>
      <c r="EG16" s="24"/>
      <c r="EH16" s="24"/>
      <c r="EI16" s="24"/>
      <c r="EJ16" s="24"/>
      <c r="EK16" s="24"/>
      <c r="EL16" s="24"/>
      <c r="EM16" s="24"/>
    </row>
    <row r="17" spans="1:143" s="5" customFormat="1" ht="171" customHeight="1" x14ac:dyDescent="0.2">
      <c r="A17" s="276">
        <v>3</v>
      </c>
      <c r="B17" s="269" t="s">
        <v>4575</v>
      </c>
      <c r="C17" s="133" t="s">
        <v>1265</v>
      </c>
      <c r="D17" s="135" t="s">
        <v>0</v>
      </c>
      <c r="E17" s="135" t="s">
        <v>105</v>
      </c>
      <c r="F17" s="135" t="s">
        <v>103</v>
      </c>
      <c r="G17" s="203">
        <v>4</v>
      </c>
      <c r="H17" s="77"/>
      <c r="I17" s="77"/>
      <c r="J17" s="77"/>
      <c r="K17" s="135" t="s">
        <v>830</v>
      </c>
      <c r="L17" s="135" t="s">
        <v>111</v>
      </c>
      <c r="M17" s="135" t="s">
        <v>3231</v>
      </c>
      <c r="N17" s="135" t="s">
        <v>3232</v>
      </c>
      <c r="O17" s="135" t="s">
        <v>137</v>
      </c>
      <c r="P17" s="77"/>
      <c r="Q17" s="77"/>
      <c r="R17" s="77"/>
      <c r="S17" s="77"/>
      <c r="T17" s="77"/>
      <c r="U17" s="77"/>
      <c r="V17" s="77"/>
      <c r="W17" s="77"/>
      <c r="X17" s="77"/>
      <c r="Y17" s="135">
        <v>0</v>
      </c>
      <c r="Z17" s="135">
        <v>1</v>
      </c>
      <c r="AA17" s="135" t="s">
        <v>1220</v>
      </c>
      <c r="AB17" s="77"/>
      <c r="AC17" s="197"/>
      <c r="AD17" s="117"/>
      <c r="AE17" s="117"/>
      <c r="AF17" s="197"/>
      <c r="AG17" s="77" t="s">
        <v>1364</v>
      </c>
      <c r="AH17" s="77"/>
      <c r="AI17" s="198"/>
      <c r="AJ17" s="163"/>
      <c r="AK17" s="135" t="s">
        <v>3233</v>
      </c>
      <c r="AL17" s="198" t="s">
        <v>2840</v>
      </c>
      <c r="AM17" s="77"/>
      <c r="AN17" s="135" t="s">
        <v>3219</v>
      </c>
      <c r="AO17" s="135" t="s">
        <v>2298</v>
      </c>
      <c r="AP17" s="135" t="s">
        <v>3234</v>
      </c>
      <c r="AQ17" s="133" t="s">
        <v>3235</v>
      </c>
      <c r="AR17" s="135" t="s">
        <v>3236</v>
      </c>
      <c r="AS17" s="135" t="s">
        <v>3223</v>
      </c>
      <c r="AT17" s="135" t="s">
        <v>2690</v>
      </c>
      <c r="AU17" s="135" t="s">
        <v>3224</v>
      </c>
      <c r="AV17" s="135" t="s">
        <v>1529</v>
      </c>
      <c r="AW17" s="135" t="s">
        <v>3225</v>
      </c>
      <c r="AX17" s="198"/>
      <c r="AY17" s="198"/>
      <c r="AZ17" s="198" t="s">
        <v>2772</v>
      </c>
      <c r="BA17" s="135" t="s">
        <v>2778</v>
      </c>
      <c r="BB17" s="135" t="s">
        <v>1229</v>
      </c>
      <c r="BC17" s="135" t="s">
        <v>3226</v>
      </c>
      <c r="BD17" s="135" t="s">
        <v>1951</v>
      </c>
      <c r="BE17" s="135" t="s">
        <v>2694</v>
      </c>
      <c r="BF17" s="198"/>
      <c r="BG17" s="135" t="s">
        <v>3237</v>
      </c>
      <c r="BH17" s="198"/>
      <c r="BI17" s="135" t="s">
        <v>2696</v>
      </c>
      <c r="BJ17" s="135" t="s">
        <v>3238</v>
      </c>
      <c r="BK17" s="135" t="s">
        <v>3239</v>
      </c>
      <c r="BL17" s="135" t="s">
        <v>3240</v>
      </c>
      <c r="BM17" s="135">
        <v>2015</v>
      </c>
      <c r="BN17" s="135">
        <v>0.54</v>
      </c>
      <c r="BO17" s="135">
        <v>1.2</v>
      </c>
      <c r="BP17" s="135">
        <v>1.2</v>
      </c>
      <c r="BQ17" s="201"/>
      <c r="BR17" s="198"/>
      <c r="BS17" s="198"/>
      <c r="BT17" s="135">
        <v>0.63</v>
      </c>
      <c r="BU17" s="198"/>
      <c r="BV17" s="200" t="s">
        <v>1323</v>
      </c>
      <c r="BW17" s="200" t="s">
        <v>1323</v>
      </c>
      <c r="BX17" s="135">
        <v>0.57999999999999996</v>
      </c>
      <c r="BY17" s="198"/>
      <c r="BZ17" s="198"/>
      <c r="CA17" s="198"/>
      <c r="CB17" s="198"/>
      <c r="CC17" s="198"/>
      <c r="CD17" s="198"/>
      <c r="CE17" s="198"/>
      <c r="CF17" s="198"/>
      <c r="CG17" s="198"/>
      <c r="CH17" s="198"/>
      <c r="CI17" s="198"/>
      <c r="CJ17" s="198"/>
      <c r="CK17" s="198"/>
      <c r="CL17" s="198"/>
      <c r="CM17" s="198"/>
      <c r="CN17" s="198"/>
      <c r="CO17" s="77"/>
      <c r="CP17" s="77"/>
      <c r="CQ17" s="77"/>
      <c r="CR17" s="24"/>
      <c r="CS17" s="24">
        <v>17</v>
      </c>
      <c r="CT17" s="24"/>
      <c r="CU17" s="24"/>
      <c r="CV17" s="24"/>
      <c r="CW17" s="24"/>
      <c r="CX17" s="24"/>
      <c r="CY17" s="24"/>
      <c r="CZ17" s="24"/>
      <c r="DA17" s="24"/>
      <c r="DB17" s="24"/>
      <c r="DC17" s="24"/>
      <c r="DD17" s="24"/>
      <c r="DE17" s="24"/>
      <c r="DF17" s="24"/>
      <c r="DG17" s="24"/>
      <c r="DH17" s="24"/>
      <c r="DI17" s="24"/>
      <c r="DJ17" s="24"/>
      <c r="DK17" s="24"/>
      <c r="DL17" s="24"/>
      <c r="DM17" s="24"/>
      <c r="DN17" s="24"/>
      <c r="DO17" s="24"/>
      <c r="DP17" s="24"/>
      <c r="DQ17" s="24"/>
      <c r="DR17" s="24"/>
      <c r="DS17" s="24"/>
      <c r="DT17" s="24"/>
      <c r="DU17" s="24"/>
      <c r="DV17" s="24"/>
      <c r="DW17" s="24"/>
      <c r="DX17" s="24"/>
      <c r="DY17" s="24"/>
      <c r="DZ17" s="24"/>
      <c r="EA17" s="24"/>
      <c r="EB17" s="24"/>
      <c r="EC17" s="24"/>
      <c r="ED17" s="24"/>
      <c r="EE17" s="24"/>
      <c r="EF17" s="24"/>
      <c r="EG17" s="24"/>
      <c r="EH17" s="24"/>
      <c r="EI17" s="24"/>
      <c r="EJ17" s="24"/>
      <c r="EK17" s="24"/>
      <c r="EL17" s="24"/>
      <c r="EM17" s="24"/>
    </row>
    <row r="18" spans="1:143" s="5" customFormat="1" ht="185.25" customHeight="1" x14ac:dyDescent="0.2">
      <c r="A18" s="276">
        <v>4</v>
      </c>
      <c r="B18" s="153" t="s">
        <v>3379</v>
      </c>
      <c r="C18" s="195" t="s">
        <v>1265</v>
      </c>
      <c r="D18" s="78" t="s">
        <v>3283</v>
      </c>
      <c r="E18" s="78">
        <v>103</v>
      </c>
      <c r="F18" s="78" t="s">
        <v>3380</v>
      </c>
      <c r="G18" s="78">
        <v>3</v>
      </c>
      <c r="H18" s="78">
        <v>10322</v>
      </c>
      <c r="I18" s="78">
        <v>22</v>
      </c>
      <c r="J18" s="78" t="s">
        <v>110</v>
      </c>
      <c r="K18" s="153" t="s">
        <v>830</v>
      </c>
      <c r="L18" s="83" t="s">
        <v>3587</v>
      </c>
      <c r="M18" s="206" t="s">
        <v>3231</v>
      </c>
      <c r="N18" s="206" t="s">
        <v>3232</v>
      </c>
      <c r="O18" s="207" t="s">
        <v>75</v>
      </c>
      <c r="P18" s="78"/>
      <c r="Q18" s="78"/>
      <c r="R18" s="78"/>
      <c r="S18" s="78"/>
      <c r="T18" s="78"/>
      <c r="U18" s="78"/>
      <c r="V18" s="78"/>
      <c r="W18" s="78"/>
      <c r="X18" s="78"/>
      <c r="Y18" s="78">
        <v>1</v>
      </c>
      <c r="Z18" s="78">
        <v>0</v>
      </c>
      <c r="AA18" s="83" t="s">
        <v>1220</v>
      </c>
      <c r="AB18" s="78"/>
      <c r="AC18" s="78"/>
      <c r="AD18" s="83" t="s">
        <v>3381</v>
      </c>
      <c r="AE18" s="78"/>
      <c r="AF18" s="83" t="s">
        <v>3382</v>
      </c>
      <c r="AG18" s="78" t="s">
        <v>3300</v>
      </c>
      <c r="AH18" s="78"/>
      <c r="AI18" s="78"/>
      <c r="AJ18" s="78"/>
      <c r="AK18" s="83" t="s">
        <v>3383</v>
      </c>
      <c r="AL18" s="78" t="s">
        <v>1259</v>
      </c>
      <c r="AM18" s="78"/>
      <c r="AN18" s="83" t="s">
        <v>3384</v>
      </c>
      <c r="AO18" s="78" t="s">
        <v>2298</v>
      </c>
      <c r="AP18" s="83" t="s">
        <v>3385</v>
      </c>
      <c r="AQ18" s="83" t="s">
        <v>3386</v>
      </c>
      <c r="AR18" s="83" t="s">
        <v>3387</v>
      </c>
      <c r="AS18" s="83" t="s">
        <v>3388</v>
      </c>
      <c r="AT18" s="83" t="s">
        <v>2442</v>
      </c>
      <c r="AU18" s="83" t="s">
        <v>2100</v>
      </c>
      <c r="AV18" s="83" t="s">
        <v>1529</v>
      </c>
      <c r="AW18" s="83" t="s">
        <v>1375</v>
      </c>
      <c r="AX18" s="78"/>
      <c r="AY18" s="78"/>
      <c r="AZ18" s="78"/>
      <c r="BA18" s="83"/>
      <c r="BB18" s="83" t="s">
        <v>1229</v>
      </c>
      <c r="BC18" s="78" t="s">
        <v>11</v>
      </c>
      <c r="BD18" s="78" t="s">
        <v>1529</v>
      </c>
      <c r="BE18" s="78" t="s">
        <v>9</v>
      </c>
      <c r="BF18" s="83" t="s">
        <v>2437</v>
      </c>
      <c r="BG18" s="83" t="s">
        <v>3389</v>
      </c>
      <c r="BH18" s="83" t="s">
        <v>3390</v>
      </c>
      <c r="BI18" s="83" t="s">
        <v>3388</v>
      </c>
      <c r="BJ18" s="78"/>
      <c r="BK18" s="78"/>
      <c r="BL18" s="78"/>
      <c r="BM18" s="78">
        <v>2015</v>
      </c>
      <c r="BN18" s="78">
        <v>5.08</v>
      </c>
      <c r="BO18" s="78">
        <v>4.5</v>
      </c>
      <c r="BP18" s="78">
        <v>4</v>
      </c>
      <c r="BQ18" s="211">
        <f>((BO18-[1]Matriz_Metadatos_P1M1!BN224)/(2020-[1]Matriz_Metadatos_P1M1!BM224))*5</f>
        <v>1.1138613861386138E-2</v>
      </c>
      <c r="BR18" s="78"/>
      <c r="BS18" s="211">
        <f>(((BO18-[1]Matriz_Metadatos_P1M1!BN224)/(2020-[1]Matriz_Metadatos_P1M1!BM224))*(2016-[1]Matriz_Metadatos_P1M1!BM224))+[1]Matriz_Metadatos_P1M1!BN224</f>
        <v>4.4910891089108906</v>
      </c>
      <c r="BT18" s="211"/>
      <c r="BU18" s="211"/>
      <c r="BV18" s="211"/>
      <c r="BW18" s="211">
        <f>(((BO18-[1]Matriz_Metadatos_P1M1!BN224)/(2020-[1]Matriz_Metadatos_P1M1!BM224))*(2017-[1]Matriz_Metadatos_P1M1!BM224))+[1]Matriz_Metadatos_P1M1!BN224</f>
        <v>4.4933168316831678</v>
      </c>
      <c r="BX18" s="211"/>
      <c r="BY18" s="211"/>
      <c r="BZ18" s="211"/>
      <c r="CA18" s="211">
        <f>(((BO18-[1]Matriz_Metadatos_P1M1!BN224)/(2020-[1]Matriz_Metadatos_P1M1!BM224))*(2018-[1]Matriz_Metadatos_P1M1!BM224))+[1]Matriz_Metadatos_P1M1!BN224</f>
        <v>4.4955445544554449</v>
      </c>
      <c r="CB18" s="211"/>
      <c r="CC18" s="211"/>
      <c r="CD18" s="211"/>
      <c r="CE18" s="211">
        <f>(((BO18-[1]Matriz_Metadatos_P1M1!BN224)/(2020-[1]Matriz_Metadatos_P1M1!BM224))*(2019-[1]Matriz_Metadatos_P1M1!BM224))+[1]Matriz_Metadatos_P1M1!BN224</f>
        <v>4.497772277227722</v>
      </c>
      <c r="CF18" s="211"/>
      <c r="CG18" s="211"/>
      <c r="CH18" s="211"/>
      <c r="CI18" s="211">
        <f>(((BO18-[1]Matriz_Metadatos_P1M1!BN224)/(2020-[1]Matriz_Metadatos_P1M1!BM224))*(2020-[1]Matriz_Metadatos_P1M1!BM224))+[1]Matriz_Metadatos_P1M1!BN224</f>
        <v>4.5</v>
      </c>
      <c r="CJ18" s="78"/>
      <c r="CK18" s="78"/>
      <c r="CL18" s="78"/>
      <c r="CM18" s="78"/>
      <c r="CN18" s="78"/>
      <c r="CO18" s="78"/>
      <c r="CP18" s="78"/>
      <c r="CQ18" s="78"/>
      <c r="CR18" s="24"/>
      <c r="CS18" s="2">
        <v>18</v>
      </c>
      <c r="CT18" s="24"/>
      <c r="CU18" s="24"/>
      <c r="CV18" s="24"/>
      <c r="CW18" s="24"/>
      <c r="CX18" s="24"/>
      <c r="CY18" s="24"/>
      <c r="CZ18" s="24"/>
      <c r="DA18" s="24"/>
      <c r="DB18" s="24"/>
      <c r="DC18" s="24"/>
      <c r="DD18" s="24"/>
      <c r="DE18" s="24"/>
      <c r="DF18" s="24"/>
      <c r="DG18" s="24"/>
      <c r="DH18" s="24"/>
      <c r="DI18" s="24"/>
      <c r="DJ18" s="24"/>
      <c r="DK18" s="24"/>
      <c r="DL18" s="24"/>
      <c r="DM18" s="24"/>
      <c r="DN18" s="24"/>
      <c r="DO18" s="24"/>
      <c r="DP18" s="24"/>
      <c r="DQ18" s="24"/>
      <c r="DR18" s="24"/>
      <c r="DS18" s="24"/>
      <c r="DT18" s="24"/>
      <c r="DU18" s="24"/>
      <c r="DV18" s="24"/>
      <c r="DW18" s="24"/>
      <c r="DX18" s="24"/>
      <c r="DY18" s="24"/>
      <c r="DZ18" s="24"/>
      <c r="EA18" s="24"/>
      <c r="EB18" s="24"/>
      <c r="EC18" s="24"/>
      <c r="ED18" s="24"/>
      <c r="EE18" s="24"/>
      <c r="EF18" s="24"/>
      <c r="EG18" s="24"/>
      <c r="EH18" s="24"/>
      <c r="EI18" s="24"/>
      <c r="EJ18" s="24"/>
      <c r="EK18" s="24"/>
      <c r="EL18" s="24"/>
      <c r="EM18" s="24"/>
    </row>
    <row r="19" spans="1:143" s="5" customFormat="1" ht="171" customHeight="1" x14ac:dyDescent="0.2">
      <c r="A19" s="276">
        <v>3</v>
      </c>
      <c r="B19" s="269" t="s">
        <v>3182</v>
      </c>
      <c r="C19" s="195" t="s">
        <v>1265</v>
      </c>
      <c r="D19" s="189" t="s">
        <v>0</v>
      </c>
      <c r="E19" s="189" t="s">
        <v>119</v>
      </c>
      <c r="F19" s="189" t="s">
        <v>113</v>
      </c>
      <c r="G19" s="196">
        <v>1</v>
      </c>
      <c r="H19" s="189" t="s">
        <v>114</v>
      </c>
      <c r="I19" s="189">
        <v>24</v>
      </c>
      <c r="J19" s="189" t="s">
        <v>115</v>
      </c>
      <c r="K19" s="189" t="s">
        <v>832</v>
      </c>
      <c r="L19" s="90" t="s">
        <v>116</v>
      </c>
      <c r="M19" s="189" t="s">
        <v>117</v>
      </c>
      <c r="N19" s="189" t="s">
        <v>118</v>
      </c>
      <c r="O19" s="189" t="s">
        <v>62</v>
      </c>
      <c r="P19" s="189" t="s">
        <v>91</v>
      </c>
      <c r="Q19" s="189" t="s">
        <v>109</v>
      </c>
      <c r="R19" s="189">
        <v>1</v>
      </c>
      <c r="S19" s="189">
        <v>1</v>
      </c>
      <c r="T19" s="189" t="s">
        <v>65</v>
      </c>
      <c r="U19" s="189"/>
      <c r="V19" s="189">
        <v>1</v>
      </c>
      <c r="W19" s="189" t="s">
        <v>120</v>
      </c>
      <c r="X19" s="214"/>
      <c r="Y19" s="189">
        <f>COUNTIF(T19,"RS")</f>
        <v>1</v>
      </c>
      <c r="Z19" s="189">
        <f>SUMIFS(Q19,Q19,"PD",Q19,"PC")</f>
        <v>0</v>
      </c>
      <c r="AA19" s="189" t="s">
        <v>1220</v>
      </c>
      <c r="AB19" s="189"/>
      <c r="AC19" s="79"/>
      <c r="AD19" s="189" t="s">
        <v>1280</v>
      </c>
      <c r="AE19" s="189" t="s">
        <v>1281</v>
      </c>
      <c r="AF19" s="79"/>
      <c r="AG19" s="77" t="s">
        <v>1364</v>
      </c>
      <c r="AH19" s="79"/>
      <c r="AI19" s="275">
        <v>1</v>
      </c>
      <c r="AJ19" s="189" t="str">
        <f>CONCATENATE(K19,AI19)</f>
        <v>01040241</v>
      </c>
      <c r="AK19" s="90" t="s">
        <v>3191</v>
      </c>
      <c r="AL19" s="189" t="s">
        <v>1259</v>
      </c>
      <c r="AM19" s="189"/>
      <c r="AN19" s="275" t="s">
        <v>1405</v>
      </c>
      <c r="AO19" s="275" t="s">
        <v>10</v>
      </c>
      <c r="AP19" s="90" t="s">
        <v>3192</v>
      </c>
      <c r="AQ19" s="90" t="s">
        <v>3193</v>
      </c>
      <c r="AR19" s="90" t="s">
        <v>3194</v>
      </c>
      <c r="AS19" s="90" t="s">
        <v>3057</v>
      </c>
      <c r="AT19" s="90" t="s">
        <v>3195</v>
      </c>
      <c r="AU19" s="90" t="s">
        <v>3196</v>
      </c>
      <c r="AV19" s="276">
        <v>2016</v>
      </c>
      <c r="AW19" s="90"/>
      <c r="AX19" s="275">
        <v>1</v>
      </c>
      <c r="AY19" s="276" t="str">
        <f>CONCATENATE(AJ19,AX19)</f>
        <v>010402411</v>
      </c>
      <c r="AZ19" s="276" t="s">
        <v>3174</v>
      </c>
      <c r="BA19" s="189" t="s">
        <v>3175</v>
      </c>
      <c r="BB19" s="189" t="s">
        <v>1229</v>
      </c>
      <c r="BC19" s="276" t="s">
        <v>11</v>
      </c>
      <c r="BD19" s="276">
        <v>2016</v>
      </c>
      <c r="BE19" s="189" t="s">
        <v>9</v>
      </c>
      <c r="BF19" s="189" t="s">
        <v>9</v>
      </c>
      <c r="BG19" s="90" t="s">
        <v>3197</v>
      </c>
      <c r="BH19" s="276" t="s">
        <v>1405</v>
      </c>
      <c r="BI19" s="90" t="s">
        <v>3062</v>
      </c>
      <c r="BJ19" s="90" t="s">
        <v>3178</v>
      </c>
      <c r="BK19" s="90" t="s">
        <v>3198</v>
      </c>
      <c r="BL19" s="276" t="s">
        <v>3199</v>
      </c>
      <c r="BM19" s="276">
        <v>2015</v>
      </c>
      <c r="BN19" s="81">
        <f>4209/350000</f>
        <v>1.2025714285714285E-2</v>
      </c>
      <c r="BO19" s="81">
        <f>13750/350000</f>
        <v>3.9285714285714285E-2</v>
      </c>
      <c r="BP19" s="77"/>
      <c r="BQ19" s="169">
        <f>((BO19-BN19)/(2020-BM19))*5</f>
        <v>2.726E-2</v>
      </c>
      <c r="BR19" s="78"/>
      <c r="BS19" s="169">
        <f>(((BO19-BN19)/(2020-BM19))*(2016-BM19))+BN19</f>
        <v>1.7477714285714284E-2</v>
      </c>
      <c r="BT19" s="78"/>
      <c r="BU19" s="78"/>
      <c r="BV19" s="78"/>
      <c r="BW19" s="169">
        <f>(((BO19-BN19)/(2020-BM19))*(2017-BM19))+BN19</f>
        <v>2.2929714285714286E-2</v>
      </c>
      <c r="BX19" s="78"/>
      <c r="BY19" s="78"/>
      <c r="BZ19" s="78"/>
      <c r="CA19" s="169">
        <f>(((BO19-BN19)/(2020-BM19))*(2018-BM19))+BN19</f>
        <v>2.8381714285714288E-2</v>
      </c>
      <c r="CB19" s="78"/>
      <c r="CC19" s="78"/>
      <c r="CD19" s="78"/>
      <c r="CE19" s="169">
        <f>(((BO19-BN19)/(2020-BM19))*(2019-BM19))+BN19</f>
        <v>3.3833714285714286E-2</v>
      </c>
      <c r="CF19" s="78"/>
      <c r="CG19" s="78"/>
      <c r="CH19" s="78"/>
      <c r="CI19" s="169">
        <f>(((BO19-BN19)/(2020-BM19))*(2020-BM19))+BN19</f>
        <v>3.9285714285714285E-2</v>
      </c>
      <c r="CJ19" s="102"/>
      <c r="CK19" s="102" t="s">
        <v>3181</v>
      </c>
      <c r="CL19" s="104" t="s">
        <v>3181</v>
      </c>
      <c r="CM19" s="89"/>
      <c r="CN19" s="188"/>
      <c r="CO19" s="188"/>
      <c r="CP19" s="188"/>
      <c r="CQ19" s="188"/>
      <c r="CR19" s="24"/>
      <c r="CS19" s="24">
        <v>19</v>
      </c>
      <c r="CT19" s="24"/>
      <c r="CU19" s="24"/>
      <c r="CV19" s="24"/>
      <c r="CW19" s="24"/>
      <c r="CX19" s="24"/>
      <c r="CY19" s="24"/>
      <c r="CZ19" s="24"/>
      <c r="DA19" s="24"/>
      <c r="DB19" s="24"/>
      <c r="DC19" s="24"/>
      <c r="DD19" s="24"/>
      <c r="DE19" s="24"/>
      <c r="DF19" s="24"/>
      <c r="DG19" s="24"/>
      <c r="DH19" s="24"/>
      <c r="DI19" s="24"/>
      <c r="DJ19" s="24"/>
      <c r="DK19" s="24"/>
      <c r="DL19" s="24"/>
      <c r="DM19" s="24"/>
      <c r="DN19" s="24"/>
      <c r="DO19" s="24"/>
      <c r="DP19" s="24"/>
      <c r="DQ19" s="24"/>
      <c r="DR19" s="24"/>
      <c r="DS19" s="24"/>
      <c r="DT19" s="24"/>
      <c r="DU19" s="24"/>
      <c r="DV19" s="24"/>
      <c r="DW19" s="24"/>
      <c r="DX19" s="24"/>
      <c r="DY19" s="24"/>
      <c r="DZ19" s="24"/>
      <c r="EA19" s="24"/>
      <c r="EB19" s="24"/>
      <c r="EC19" s="24"/>
      <c r="ED19" s="24"/>
      <c r="EE19" s="24"/>
      <c r="EF19" s="24"/>
      <c r="EG19" s="24"/>
      <c r="EH19" s="24"/>
      <c r="EI19" s="24"/>
      <c r="EJ19" s="24"/>
      <c r="EK19" s="24"/>
      <c r="EL19" s="24"/>
      <c r="EM19" s="24"/>
    </row>
    <row r="20" spans="1:143" s="24" customFormat="1" ht="171" customHeight="1" x14ac:dyDescent="0.2">
      <c r="A20" s="276">
        <v>3</v>
      </c>
      <c r="B20" s="269" t="s">
        <v>3182</v>
      </c>
      <c r="C20" s="195" t="s">
        <v>1265</v>
      </c>
      <c r="D20" s="189" t="s">
        <v>0</v>
      </c>
      <c r="E20" s="189" t="s">
        <v>119</v>
      </c>
      <c r="F20" s="189" t="s">
        <v>113</v>
      </c>
      <c r="G20" s="196">
        <v>3</v>
      </c>
      <c r="H20" s="189" t="s">
        <v>122</v>
      </c>
      <c r="I20" s="189">
        <v>26</v>
      </c>
      <c r="J20" s="189" t="s">
        <v>123</v>
      </c>
      <c r="K20" s="189" t="s">
        <v>834</v>
      </c>
      <c r="L20" s="90" t="s">
        <v>124</v>
      </c>
      <c r="M20" s="189" t="s">
        <v>117</v>
      </c>
      <c r="N20" s="189" t="s">
        <v>118</v>
      </c>
      <c r="O20" s="189" t="s">
        <v>78</v>
      </c>
      <c r="P20" s="189" t="s">
        <v>108</v>
      </c>
      <c r="Q20" s="189" t="s">
        <v>109</v>
      </c>
      <c r="R20" s="189"/>
      <c r="S20" s="189">
        <v>1</v>
      </c>
      <c r="T20" s="189" t="s">
        <v>79</v>
      </c>
      <c r="U20" s="189"/>
      <c r="V20" s="189"/>
      <c r="W20" s="189"/>
      <c r="X20" s="214"/>
      <c r="Y20" s="189">
        <f>COUNTIF(T20,"RS")</f>
        <v>0</v>
      </c>
      <c r="Z20" s="189">
        <v>1</v>
      </c>
      <c r="AA20" s="189" t="s">
        <v>1220</v>
      </c>
      <c r="AB20" s="189"/>
      <c r="AC20" s="79">
        <v>10</v>
      </c>
      <c r="AD20" s="189" t="s">
        <v>1280</v>
      </c>
      <c r="AE20" s="189" t="s">
        <v>1281</v>
      </c>
      <c r="AF20" s="79"/>
      <c r="AG20" s="77" t="s">
        <v>1364</v>
      </c>
      <c r="AH20" s="79"/>
      <c r="AI20" s="275">
        <v>1</v>
      </c>
      <c r="AJ20" s="189" t="str">
        <f>CONCATENATE(K20,AI20)</f>
        <v>01040261</v>
      </c>
      <c r="AK20" s="90" t="s">
        <v>3200</v>
      </c>
      <c r="AL20" s="189" t="s">
        <v>1259</v>
      </c>
      <c r="AM20" s="189"/>
      <c r="AN20" s="275" t="s">
        <v>1405</v>
      </c>
      <c r="AO20" s="276" t="s">
        <v>3201</v>
      </c>
      <c r="AP20" s="90" t="s">
        <v>3202</v>
      </c>
      <c r="AQ20" s="90" t="s">
        <v>3203</v>
      </c>
      <c r="AR20" s="90" t="s">
        <v>3204</v>
      </c>
      <c r="AS20" s="90" t="s">
        <v>3057</v>
      </c>
      <c r="AT20" s="90" t="s">
        <v>3205</v>
      </c>
      <c r="AU20" s="90" t="s">
        <v>3173</v>
      </c>
      <c r="AV20" s="276">
        <v>2016</v>
      </c>
      <c r="AW20" s="90"/>
      <c r="AX20" s="275">
        <v>1</v>
      </c>
      <c r="AY20" s="276" t="str">
        <f>CONCATENATE(AJ20,AX20)</f>
        <v>010402611</v>
      </c>
      <c r="AZ20" s="276" t="s">
        <v>3174</v>
      </c>
      <c r="BA20" s="189" t="s">
        <v>3175</v>
      </c>
      <c r="BB20" s="189" t="s">
        <v>1229</v>
      </c>
      <c r="BC20" s="189" t="s">
        <v>11</v>
      </c>
      <c r="BD20" s="275">
        <v>2016</v>
      </c>
      <c r="BE20" s="275" t="s">
        <v>9</v>
      </c>
      <c r="BF20" s="79" t="s">
        <v>9</v>
      </c>
      <c r="BG20" s="189" t="s">
        <v>3206</v>
      </c>
      <c r="BH20" s="90"/>
      <c r="BI20" s="90" t="s">
        <v>3062</v>
      </c>
      <c r="BJ20" s="90" t="s">
        <v>3178</v>
      </c>
      <c r="BK20" s="90" t="s">
        <v>3198</v>
      </c>
      <c r="BL20" s="276" t="s">
        <v>3207</v>
      </c>
      <c r="BM20" s="276">
        <v>2015</v>
      </c>
      <c r="BN20" s="89">
        <f>800/1200000</f>
        <v>6.6666666666666664E-4</v>
      </c>
      <c r="BO20" s="186">
        <f>12000/1200000</f>
        <v>0.01</v>
      </c>
      <c r="BP20" s="77"/>
      <c r="BQ20" s="169">
        <f>((BO20-BN20)/(2020-BM20))*5</f>
        <v>9.3333333333333341E-3</v>
      </c>
      <c r="BR20" s="78"/>
      <c r="BS20" s="169">
        <f>(((BO20-BN20)/(2020-BM20))*(2016-BM20))+BN20</f>
        <v>2.5333333333333336E-3</v>
      </c>
      <c r="BT20" s="78"/>
      <c r="BU20" s="78"/>
      <c r="BV20" s="78"/>
      <c r="BW20" s="169">
        <f>(((BO20-BN20)/(2020-BM20))*(2017-BM20))+BN20</f>
        <v>4.4000000000000003E-3</v>
      </c>
      <c r="BX20" s="78"/>
      <c r="BY20" s="78"/>
      <c r="BZ20" s="78"/>
      <c r="CA20" s="169">
        <f>(((BO20-BN20)/(2020-BM20))*(2018-BM20))+BN20</f>
        <v>6.2666666666666678E-3</v>
      </c>
      <c r="CB20" s="78"/>
      <c r="CC20" s="78"/>
      <c r="CD20" s="78"/>
      <c r="CE20" s="169">
        <f>(((BO20-BN20)/(2020-BM20))*(2019-BM20))+BN20</f>
        <v>8.1333333333333344E-3</v>
      </c>
      <c r="CF20" s="78"/>
      <c r="CG20" s="78"/>
      <c r="CH20" s="78"/>
      <c r="CI20" s="169">
        <f>(((BO20-BN20)/(2020-BM20))*(2020-BM20))+BN20</f>
        <v>0.01</v>
      </c>
      <c r="CJ20" s="102"/>
      <c r="CK20" s="102" t="s">
        <v>3181</v>
      </c>
      <c r="CL20" s="104" t="s">
        <v>3181</v>
      </c>
      <c r="CM20" s="89"/>
      <c r="CN20" s="188"/>
      <c r="CO20" s="188"/>
      <c r="CP20" s="188"/>
      <c r="CQ20" s="188"/>
      <c r="CS20" s="24">
        <v>20</v>
      </c>
    </row>
    <row r="21" spans="1:143" s="5" customFormat="1" ht="185.25" customHeight="1" x14ac:dyDescent="0.2">
      <c r="A21" s="276">
        <v>8</v>
      </c>
      <c r="B21" s="269" t="s">
        <v>4575</v>
      </c>
      <c r="C21" s="269" t="s">
        <v>1265</v>
      </c>
      <c r="D21" s="189" t="s">
        <v>0</v>
      </c>
      <c r="E21" s="276" t="s">
        <v>119</v>
      </c>
      <c r="F21" s="189" t="s">
        <v>113</v>
      </c>
      <c r="G21" s="172">
        <v>1</v>
      </c>
      <c r="H21" s="276" t="s">
        <v>114</v>
      </c>
      <c r="I21" s="276">
        <v>24</v>
      </c>
      <c r="J21" s="276" t="s">
        <v>115</v>
      </c>
      <c r="K21" s="276" t="s">
        <v>832</v>
      </c>
      <c r="L21" s="189" t="s">
        <v>4324</v>
      </c>
      <c r="M21" s="276" t="s">
        <v>117</v>
      </c>
      <c r="N21" s="189" t="s">
        <v>118</v>
      </c>
      <c r="O21" s="189" t="s">
        <v>62</v>
      </c>
      <c r="P21" s="276" t="s">
        <v>91</v>
      </c>
      <c r="Q21" s="276" t="s">
        <v>109</v>
      </c>
      <c r="R21" s="276">
        <v>1</v>
      </c>
      <c r="S21" s="276">
        <v>1</v>
      </c>
      <c r="T21" s="276" t="s">
        <v>65</v>
      </c>
      <c r="U21" s="276"/>
      <c r="V21" s="276">
        <v>1</v>
      </c>
      <c r="W21" s="83" t="s">
        <v>120</v>
      </c>
      <c r="X21" s="173" t="e">
        <f>100/COUNTIFS(($B$4:$B$28),C21,($D$4:$D$28),E21)</f>
        <v>#DIV/0!</v>
      </c>
      <c r="Y21" s="276">
        <f>COUNTIF(T21,"RS")</f>
        <v>1</v>
      </c>
      <c r="Z21" s="276">
        <f>SUMIFS(Q21,Q21,"PD",Q21,"PC")</f>
        <v>0</v>
      </c>
      <c r="AA21" s="276" t="s">
        <v>1225</v>
      </c>
      <c r="AB21" s="276"/>
      <c r="AC21" s="276"/>
      <c r="AD21" s="189"/>
      <c r="AE21" s="189"/>
      <c r="AF21" s="189"/>
      <c r="AG21" s="276" t="s">
        <v>1364</v>
      </c>
      <c r="AH21" s="116"/>
      <c r="AI21" s="276">
        <v>1</v>
      </c>
      <c r="AJ21" s="83" t="str">
        <f>CONCATENATE(K21,AI21)</f>
        <v>01040241</v>
      </c>
      <c r="AK21" s="276" t="s">
        <v>4325</v>
      </c>
      <c r="AL21" s="276" t="s">
        <v>78</v>
      </c>
      <c r="AM21" s="189"/>
      <c r="AN21" s="83" t="s">
        <v>9</v>
      </c>
      <c r="AO21" s="83" t="s">
        <v>1369</v>
      </c>
      <c r="AP21" s="189" t="s">
        <v>4326</v>
      </c>
      <c r="AQ21" s="256" t="s">
        <v>4327</v>
      </c>
      <c r="AR21" s="189" t="s">
        <v>4328</v>
      </c>
      <c r="AS21" s="189" t="s">
        <v>3173</v>
      </c>
      <c r="AT21" s="114" t="s">
        <v>4329</v>
      </c>
      <c r="AU21" s="114" t="s">
        <v>4329</v>
      </c>
      <c r="AV21" s="189" t="s">
        <v>1529</v>
      </c>
      <c r="AW21" s="189" t="s">
        <v>4330</v>
      </c>
      <c r="AX21" s="275">
        <v>1</v>
      </c>
      <c r="AY21" s="276" t="str">
        <f>CONCATENATE(AJ21,AX21)</f>
        <v>010402411</v>
      </c>
      <c r="AZ21" s="276" t="s">
        <v>4331</v>
      </c>
      <c r="BA21" s="83" t="s">
        <v>4332</v>
      </c>
      <c r="BB21" s="276" t="s">
        <v>1229</v>
      </c>
      <c r="BC21" s="83" t="s">
        <v>11</v>
      </c>
      <c r="BD21" s="83" t="s">
        <v>1529</v>
      </c>
      <c r="BE21" s="83" t="s">
        <v>9</v>
      </c>
      <c r="BF21" s="83" t="s">
        <v>9</v>
      </c>
      <c r="BG21" s="83" t="s">
        <v>4333</v>
      </c>
      <c r="BH21" s="83"/>
      <c r="BI21" s="276" t="s">
        <v>4334</v>
      </c>
      <c r="BJ21" s="276" t="s">
        <v>4335</v>
      </c>
      <c r="BK21" s="83" t="s">
        <v>4336</v>
      </c>
      <c r="BL21" s="275" t="s">
        <v>4337</v>
      </c>
      <c r="BM21" s="127">
        <v>42339</v>
      </c>
      <c r="BN21" s="176">
        <v>78</v>
      </c>
      <c r="BO21" s="257"/>
      <c r="BP21" s="257"/>
      <c r="BQ21" s="172">
        <f>+BO21-BN21</f>
        <v>-78</v>
      </c>
      <c r="BR21" s="276">
        <v>5</v>
      </c>
      <c r="BS21" s="188"/>
      <c r="BT21" s="174">
        <v>1961</v>
      </c>
      <c r="BU21" s="258">
        <f>+BT21-BN21</f>
        <v>1883</v>
      </c>
      <c r="BV21" s="81"/>
      <c r="BW21" s="188"/>
      <c r="BX21" s="174">
        <v>1152</v>
      </c>
      <c r="BY21" s="258">
        <f>+BX21-BN21</f>
        <v>1074</v>
      </c>
      <c r="BZ21" s="187"/>
      <c r="CA21" s="140"/>
      <c r="CB21" s="140"/>
      <c r="CC21" s="258">
        <f>+CB21-BN21</f>
        <v>-78</v>
      </c>
      <c r="CD21" s="140"/>
      <c r="CE21" s="140"/>
      <c r="CF21" s="140"/>
      <c r="CG21" s="258">
        <f>+CF21-BN21</f>
        <v>-78</v>
      </c>
      <c r="CH21" s="140"/>
      <c r="CI21" s="140"/>
      <c r="CJ21" s="140"/>
      <c r="CK21" s="258">
        <f>+CJ21-BN21</f>
        <v>-78</v>
      </c>
      <c r="CL21" s="187"/>
      <c r="CM21" s="187"/>
      <c r="CN21" s="140"/>
      <c r="CO21" s="140"/>
      <c r="CP21" s="140"/>
      <c r="CQ21" s="140"/>
      <c r="CR21" s="24"/>
      <c r="CS21" s="2">
        <v>21</v>
      </c>
      <c r="CT21" s="24"/>
      <c r="CU21" s="24"/>
      <c r="CV21" s="24"/>
      <c r="CW21" s="24"/>
      <c r="CX21" s="24"/>
      <c r="CY21" s="24"/>
      <c r="CZ21" s="24"/>
      <c r="DA21" s="24"/>
      <c r="DB21" s="24"/>
      <c r="DC21" s="24"/>
      <c r="DD21" s="24"/>
      <c r="DE21" s="24"/>
      <c r="DF21" s="24"/>
      <c r="DG21" s="24"/>
      <c r="DH21" s="24"/>
      <c r="DI21" s="24"/>
      <c r="DJ21" s="24"/>
      <c r="DK21" s="24"/>
      <c r="DL21" s="24"/>
      <c r="DM21" s="24"/>
      <c r="DN21" s="24"/>
      <c r="DO21" s="24"/>
      <c r="DP21" s="24"/>
      <c r="DQ21" s="24"/>
      <c r="DR21" s="24"/>
      <c r="DS21" s="24"/>
      <c r="DT21" s="24"/>
      <c r="DU21" s="24"/>
      <c r="DV21" s="24"/>
      <c r="DW21" s="24"/>
      <c r="DX21" s="24"/>
      <c r="DY21" s="24"/>
      <c r="DZ21" s="24"/>
      <c r="EA21" s="24"/>
      <c r="EB21" s="24"/>
      <c r="EC21" s="24"/>
      <c r="ED21" s="24"/>
      <c r="EE21" s="24"/>
      <c r="EF21" s="24"/>
      <c r="EG21" s="24"/>
      <c r="EH21" s="24"/>
      <c r="EI21" s="24"/>
      <c r="EJ21" s="24"/>
      <c r="EK21" s="24"/>
      <c r="EL21" s="24"/>
      <c r="EM21" s="24"/>
    </row>
    <row r="22" spans="1:143" s="5" customFormat="1" ht="171" customHeight="1" x14ac:dyDescent="0.2">
      <c r="A22" s="276">
        <v>3</v>
      </c>
      <c r="B22" s="269" t="s">
        <v>4575</v>
      </c>
      <c r="C22" s="133" t="s">
        <v>1265</v>
      </c>
      <c r="D22" s="135" t="s">
        <v>0</v>
      </c>
      <c r="E22" s="135" t="s">
        <v>130</v>
      </c>
      <c r="F22" s="135" t="s">
        <v>127</v>
      </c>
      <c r="G22" s="203">
        <v>3</v>
      </c>
      <c r="H22" s="77"/>
      <c r="I22" s="77"/>
      <c r="J22" s="77"/>
      <c r="K22" s="135" t="s">
        <v>839</v>
      </c>
      <c r="L22" s="135" t="s">
        <v>134</v>
      </c>
      <c r="M22" s="77"/>
      <c r="N22" s="77"/>
      <c r="O22" s="135" t="s">
        <v>1259</v>
      </c>
      <c r="P22" s="77"/>
      <c r="Q22" s="77"/>
      <c r="R22" s="77"/>
      <c r="S22" s="77"/>
      <c r="T22" s="77"/>
      <c r="U22" s="77"/>
      <c r="V22" s="77"/>
      <c r="W22" s="77"/>
      <c r="X22" s="77"/>
      <c r="Y22" s="135">
        <v>1</v>
      </c>
      <c r="Z22" s="135">
        <v>0</v>
      </c>
      <c r="AA22" s="135" t="s">
        <v>1225</v>
      </c>
      <c r="AB22" s="77"/>
      <c r="AC22" s="197">
        <v>3</v>
      </c>
      <c r="AD22" s="117" t="s">
        <v>1284</v>
      </c>
      <c r="AE22" s="117" t="s">
        <v>1285</v>
      </c>
      <c r="AF22" s="117" t="s">
        <v>3181</v>
      </c>
      <c r="AG22" s="117" t="s">
        <v>1236</v>
      </c>
      <c r="AH22" s="77"/>
      <c r="AI22" s="198">
        <v>1</v>
      </c>
      <c r="AJ22" s="135" t="s">
        <v>3241</v>
      </c>
      <c r="AK22" s="85" t="s">
        <v>3242</v>
      </c>
      <c r="AL22" s="135" t="s">
        <v>1259</v>
      </c>
      <c r="AM22" s="77"/>
      <c r="AN22" s="135" t="s">
        <v>3243</v>
      </c>
      <c r="AO22" s="135" t="s">
        <v>10</v>
      </c>
      <c r="AP22" s="85" t="s">
        <v>3244</v>
      </c>
      <c r="AQ22" s="85" t="s">
        <v>3245</v>
      </c>
      <c r="AR22" s="85" t="s">
        <v>3246</v>
      </c>
      <c r="AS22" s="135" t="s">
        <v>3247</v>
      </c>
      <c r="AT22" s="85" t="s">
        <v>3248</v>
      </c>
      <c r="AU22" s="135" t="s">
        <v>2772</v>
      </c>
      <c r="AV22" s="135">
        <v>2014</v>
      </c>
      <c r="AW22" s="85" t="s">
        <v>3249</v>
      </c>
      <c r="AX22" s="135"/>
      <c r="AY22" s="135"/>
      <c r="AZ22" s="135" t="s">
        <v>2772</v>
      </c>
      <c r="BA22" s="135" t="s">
        <v>2772</v>
      </c>
      <c r="BB22" s="135" t="s">
        <v>3250</v>
      </c>
      <c r="BC22" s="198" t="s">
        <v>2945</v>
      </c>
      <c r="BD22" s="198" t="s">
        <v>3251</v>
      </c>
      <c r="BE22" s="198" t="s">
        <v>3252</v>
      </c>
      <c r="BF22" s="202" t="s">
        <v>3253</v>
      </c>
      <c r="BG22" s="135" t="s">
        <v>3254</v>
      </c>
      <c r="BH22" s="163" t="s">
        <v>3255</v>
      </c>
      <c r="BI22" s="135" t="s">
        <v>2696</v>
      </c>
      <c r="BJ22" s="135" t="s">
        <v>2779</v>
      </c>
      <c r="BK22" s="135" t="s">
        <v>2779</v>
      </c>
      <c r="BL22" s="135" t="s">
        <v>3256</v>
      </c>
      <c r="BM22" s="198">
        <v>2014</v>
      </c>
      <c r="BN22" s="135" t="s">
        <v>3257</v>
      </c>
      <c r="BO22" s="135" t="s">
        <v>3258</v>
      </c>
      <c r="BP22" s="135" t="s">
        <v>3258</v>
      </c>
      <c r="BQ22" s="198"/>
      <c r="BR22" s="200" t="s">
        <v>1323</v>
      </c>
      <c r="BS22" s="77"/>
      <c r="BT22" s="77"/>
      <c r="BU22" s="77"/>
      <c r="BV22" s="77"/>
      <c r="BW22" s="77"/>
      <c r="BX22" s="77"/>
      <c r="BY22" s="77"/>
      <c r="BZ22" s="77"/>
      <c r="CA22" s="77"/>
      <c r="CB22" s="77"/>
      <c r="CC22" s="77"/>
      <c r="CD22" s="77"/>
      <c r="CE22" s="77"/>
      <c r="CF22" s="77"/>
      <c r="CG22" s="77"/>
      <c r="CH22" s="77"/>
      <c r="CI22" s="77"/>
      <c r="CJ22" s="77"/>
      <c r="CK22" s="77"/>
      <c r="CL22" s="77"/>
      <c r="CM22" s="77"/>
      <c r="CN22" s="77"/>
      <c r="CO22" s="77"/>
      <c r="CP22" s="77"/>
      <c r="CQ22" s="77"/>
      <c r="CR22" s="24"/>
      <c r="CS22" s="24">
        <v>22</v>
      </c>
      <c r="CT22" s="24"/>
      <c r="CU22" s="24"/>
      <c r="CV22" s="24"/>
      <c r="CW22" s="24"/>
      <c r="CX22" s="24"/>
      <c r="CY22" s="24"/>
      <c r="CZ22" s="24"/>
      <c r="DA22" s="24"/>
      <c r="DB22" s="24"/>
      <c r="DC22" s="24"/>
      <c r="DD22" s="24"/>
      <c r="DE22" s="24"/>
      <c r="DF22" s="24"/>
      <c r="DG22" s="24"/>
      <c r="DH22" s="24"/>
      <c r="DI22" s="24"/>
      <c r="DJ22" s="24"/>
      <c r="DK22" s="24"/>
      <c r="DL22" s="24"/>
      <c r="DM22" s="24"/>
      <c r="DN22" s="24"/>
      <c r="DO22" s="24"/>
      <c r="DP22" s="24"/>
      <c r="DQ22" s="24"/>
      <c r="DR22" s="24"/>
      <c r="DS22" s="24"/>
      <c r="DT22" s="24"/>
      <c r="DU22" s="24"/>
      <c r="DV22" s="24"/>
      <c r="DW22" s="24"/>
      <c r="DX22" s="24"/>
      <c r="DY22" s="24"/>
      <c r="DZ22" s="24"/>
      <c r="EA22" s="24"/>
      <c r="EB22" s="24"/>
      <c r="EC22" s="24"/>
      <c r="ED22" s="24"/>
      <c r="EE22" s="24"/>
      <c r="EF22" s="24"/>
      <c r="EG22" s="24"/>
      <c r="EH22" s="24"/>
      <c r="EI22" s="24"/>
      <c r="EJ22" s="24"/>
      <c r="EK22" s="24"/>
      <c r="EL22" s="24"/>
      <c r="EM22" s="24"/>
    </row>
    <row r="23" spans="1:143" s="5" customFormat="1" ht="171" customHeight="1" x14ac:dyDescent="0.2">
      <c r="A23" s="276">
        <v>3</v>
      </c>
      <c r="B23" s="269" t="s">
        <v>4575</v>
      </c>
      <c r="C23" s="133" t="s">
        <v>1265</v>
      </c>
      <c r="D23" s="135" t="s">
        <v>0</v>
      </c>
      <c r="E23" s="135" t="s">
        <v>130</v>
      </c>
      <c r="F23" s="135" t="s">
        <v>127</v>
      </c>
      <c r="G23" s="203">
        <v>3</v>
      </c>
      <c r="H23" s="77"/>
      <c r="I23" s="77"/>
      <c r="J23" s="77"/>
      <c r="K23" s="135" t="s">
        <v>839</v>
      </c>
      <c r="L23" s="135" t="s">
        <v>134</v>
      </c>
      <c r="M23" s="77"/>
      <c r="N23" s="77"/>
      <c r="O23" s="135" t="s">
        <v>1259</v>
      </c>
      <c r="P23" s="77"/>
      <c r="Q23" s="77"/>
      <c r="R23" s="77"/>
      <c r="S23" s="77"/>
      <c r="T23" s="77"/>
      <c r="U23" s="77"/>
      <c r="V23" s="77"/>
      <c r="W23" s="77"/>
      <c r="X23" s="77"/>
      <c r="Y23" s="135">
        <v>1</v>
      </c>
      <c r="Z23" s="135">
        <v>0</v>
      </c>
      <c r="AA23" s="135" t="s">
        <v>1221</v>
      </c>
      <c r="AB23" s="77"/>
      <c r="AC23" s="197"/>
      <c r="AD23" s="117" t="s">
        <v>1284</v>
      </c>
      <c r="AE23" s="117" t="s">
        <v>1285</v>
      </c>
      <c r="AF23" s="117"/>
      <c r="AG23" s="117" t="s">
        <v>1236</v>
      </c>
      <c r="AH23" s="77"/>
      <c r="AI23" s="198"/>
      <c r="AJ23" s="163"/>
      <c r="AK23" s="135" t="s">
        <v>3259</v>
      </c>
      <c r="AL23" s="135" t="s">
        <v>1259</v>
      </c>
      <c r="AM23" s="77"/>
      <c r="AN23" s="85" t="s">
        <v>3260</v>
      </c>
      <c r="AO23" s="135" t="s">
        <v>2805</v>
      </c>
      <c r="AP23" s="85" t="s">
        <v>3261</v>
      </c>
      <c r="AQ23" s="85" t="s">
        <v>3262</v>
      </c>
      <c r="AR23" s="85" t="s">
        <v>3263</v>
      </c>
      <c r="AS23" s="135" t="s">
        <v>2772</v>
      </c>
      <c r="AT23" s="85" t="s">
        <v>3248</v>
      </c>
      <c r="AU23" s="135" t="s">
        <v>2772</v>
      </c>
      <c r="AV23" s="85">
        <v>2008</v>
      </c>
      <c r="AW23" s="85" t="s">
        <v>3264</v>
      </c>
      <c r="AX23" s="135"/>
      <c r="AY23" s="135" t="s">
        <v>2772</v>
      </c>
      <c r="AZ23" s="135" t="s">
        <v>3265</v>
      </c>
      <c r="BA23" s="135" t="s">
        <v>3265</v>
      </c>
      <c r="BB23" s="135" t="s">
        <v>3266</v>
      </c>
      <c r="BC23" s="198" t="s">
        <v>2945</v>
      </c>
      <c r="BD23" s="135" t="s">
        <v>3267</v>
      </c>
      <c r="BE23" s="135" t="s">
        <v>3252</v>
      </c>
      <c r="BF23" s="135" t="s">
        <v>3253</v>
      </c>
      <c r="BG23" s="135" t="s">
        <v>3268</v>
      </c>
      <c r="BH23" s="163" t="s">
        <v>3269</v>
      </c>
      <c r="BI23" s="135" t="s">
        <v>2962</v>
      </c>
      <c r="BJ23" s="135" t="s">
        <v>2778</v>
      </c>
      <c r="BK23" s="135" t="s">
        <v>2778</v>
      </c>
      <c r="BL23" s="135" t="s">
        <v>3256</v>
      </c>
      <c r="BM23" s="198">
        <v>2008</v>
      </c>
      <c r="BN23" s="204">
        <v>0.35399999999999998</v>
      </c>
      <c r="BO23" s="135" t="s">
        <v>3270</v>
      </c>
      <c r="BP23" s="135" t="s">
        <v>3270</v>
      </c>
      <c r="BQ23" s="198"/>
      <c r="BR23" s="198"/>
      <c r="BS23" s="135"/>
      <c r="BT23" s="135"/>
      <c r="BU23" s="77"/>
      <c r="BV23" s="77"/>
      <c r="BW23" s="77"/>
      <c r="BX23" s="77"/>
      <c r="BY23" s="77"/>
      <c r="BZ23" s="77"/>
      <c r="CA23" s="77"/>
      <c r="CB23" s="77"/>
      <c r="CC23" s="77"/>
      <c r="CD23" s="77"/>
      <c r="CE23" s="77"/>
      <c r="CF23" s="77"/>
      <c r="CG23" s="77"/>
      <c r="CH23" s="77"/>
      <c r="CI23" s="77"/>
      <c r="CJ23" s="77"/>
      <c r="CK23" s="77"/>
      <c r="CL23" s="77"/>
      <c r="CM23" s="77"/>
      <c r="CN23" s="77"/>
      <c r="CO23" s="77"/>
      <c r="CP23" s="77"/>
      <c r="CQ23" s="77"/>
      <c r="CR23" s="24"/>
      <c r="CS23" s="24">
        <v>23</v>
      </c>
      <c r="CT23" s="24"/>
      <c r="CU23" s="24"/>
      <c r="CV23" s="24"/>
      <c r="CW23" s="24"/>
      <c r="CX23" s="24"/>
      <c r="CY23" s="24"/>
      <c r="CZ23" s="24"/>
      <c r="DA23" s="24"/>
      <c r="DB23" s="24"/>
      <c r="DC23" s="24"/>
      <c r="DD23" s="24"/>
      <c r="DE23" s="24"/>
      <c r="DF23" s="24"/>
      <c r="DG23" s="24"/>
      <c r="DH23" s="24"/>
      <c r="DI23" s="24"/>
      <c r="DJ23" s="24"/>
      <c r="DK23" s="24"/>
      <c r="DL23" s="24"/>
      <c r="DM23" s="24"/>
      <c r="DN23" s="24"/>
      <c r="DO23" s="24"/>
      <c r="DP23" s="24"/>
      <c r="DQ23" s="24"/>
      <c r="DR23" s="24"/>
      <c r="DS23" s="24"/>
      <c r="DT23" s="24"/>
      <c r="DU23" s="24"/>
      <c r="DV23" s="24"/>
      <c r="DW23" s="24"/>
      <c r="DX23" s="24"/>
      <c r="DY23" s="24"/>
      <c r="DZ23" s="24"/>
      <c r="EA23" s="24"/>
      <c r="EB23" s="24"/>
      <c r="EC23" s="24"/>
      <c r="ED23" s="24"/>
      <c r="EE23" s="24"/>
      <c r="EF23" s="24"/>
      <c r="EG23" s="24"/>
      <c r="EH23" s="24"/>
      <c r="EI23" s="24"/>
      <c r="EJ23" s="24"/>
      <c r="EK23" s="24"/>
      <c r="EL23" s="24"/>
      <c r="EM23" s="24"/>
    </row>
    <row r="24" spans="1:143" s="5" customFormat="1" ht="185.25" customHeight="1" x14ac:dyDescent="0.2">
      <c r="A24" s="276">
        <v>3</v>
      </c>
      <c r="B24" s="269" t="s">
        <v>4575</v>
      </c>
      <c r="C24" s="133" t="s">
        <v>1265</v>
      </c>
      <c r="D24" s="135" t="s">
        <v>0</v>
      </c>
      <c r="E24" s="135" t="s">
        <v>130</v>
      </c>
      <c r="F24" s="135" t="s">
        <v>127</v>
      </c>
      <c r="G24" s="203">
        <v>3</v>
      </c>
      <c r="H24" s="77"/>
      <c r="I24" s="77"/>
      <c r="J24" s="77"/>
      <c r="K24" s="135" t="s">
        <v>839</v>
      </c>
      <c r="L24" s="135" t="s">
        <v>134</v>
      </c>
      <c r="M24" s="77"/>
      <c r="N24" s="77"/>
      <c r="O24" s="135" t="s">
        <v>1259</v>
      </c>
      <c r="P24" s="77"/>
      <c r="Q24" s="77"/>
      <c r="R24" s="77"/>
      <c r="S24" s="77"/>
      <c r="T24" s="77"/>
      <c r="U24" s="77"/>
      <c r="V24" s="77"/>
      <c r="W24" s="77"/>
      <c r="X24" s="77"/>
      <c r="Y24" s="135">
        <v>1</v>
      </c>
      <c r="Z24" s="135">
        <v>0</v>
      </c>
      <c r="AA24" s="135" t="s">
        <v>1220</v>
      </c>
      <c r="AB24" s="77"/>
      <c r="AC24" s="197"/>
      <c r="AD24" s="117" t="s">
        <v>1284</v>
      </c>
      <c r="AE24" s="117" t="s">
        <v>1285</v>
      </c>
      <c r="AF24" s="117"/>
      <c r="AG24" s="117" t="s">
        <v>1236</v>
      </c>
      <c r="AH24" s="77"/>
      <c r="AI24" s="198"/>
      <c r="AJ24" s="163"/>
      <c r="AK24" s="135" t="s">
        <v>3271</v>
      </c>
      <c r="AL24" s="135" t="s">
        <v>1259</v>
      </c>
      <c r="AM24" s="77"/>
      <c r="AN24" s="135" t="s">
        <v>3272</v>
      </c>
      <c r="AO24" s="135" t="s">
        <v>2805</v>
      </c>
      <c r="AP24" s="85" t="s">
        <v>3273</v>
      </c>
      <c r="AQ24" s="85" t="s">
        <v>3274</v>
      </c>
      <c r="AR24" s="85" t="s">
        <v>3275</v>
      </c>
      <c r="AS24" s="135" t="s">
        <v>2772</v>
      </c>
      <c r="AT24" s="85" t="s">
        <v>3248</v>
      </c>
      <c r="AU24" s="135" t="s">
        <v>2772</v>
      </c>
      <c r="AV24" s="135">
        <v>2008</v>
      </c>
      <c r="AW24" s="85" t="s">
        <v>3276</v>
      </c>
      <c r="AX24" s="135"/>
      <c r="AY24" s="135"/>
      <c r="AZ24" s="135" t="s">
        <v>2772</v>
      </c>
      <c r="BA24" s="135" t="s">
        <v>2886</v>
      </c>
      <c r="BB24" s="135" t="s">
        <v>2944</v>
      </c>
      <c r="BC24" s="198" t="s">
        <v>2945</v>
      </c>
      <c r="BD24" s="135" t="s">
        <v>3277</v>
      </c>
      <c r="BE24" s="135" t="s">
        <v>2947</v>
      </c>
      <c r="BF24" s="202" t="s">
        <v>3278</v>
      </c>
      <c r="BG24" s="135" t="s">
        <v>3279</v>
      </c>
      <c r="BH24" s="163" t="s">
        <v>3280</v>
      </c>
      <c r="BI24" s="135" t="s">
        <v>2962</v>
      </c>
      <c r="BJ24" s="135" t="s">
        <v>2778</v>
      </c>
      <c r="BK24" s="135" t="s">
        <v>2778</v>
      </c>
      <c r="BL24" s="135" t="s">
        <v>3256</v>
      </c>
      <c r="BM24" s="198">
        <v>2012</v>
      </c>
      <c r="BN24" s="205">
        <v>0.56999999999999995</v>
      </c>
      <c r="BO24" s="135" t="s">
        <v>3281</v>
      </c>
      <c r="BP24" s="135" t="s">
        <v>3281</v>
      </c>
      <c r="BQ24" s="198"/>
      <c r="BR24" s="198"/>
      <c r="BS24" s="198"/>
      <c r="BT24" s="205">
        <v>0.56799999999999995</v>
      </c>
      <c r="BU24" s="198"/>
      <c r="BV24" s="198"/>
      <c r="BW24" s="198"/>
      <c r="BX24" s="198"/>
      <c r="BY24" s="198"/>
      <c r="BZ24" s="198"/>
      <c r="CA24" s="198"/>
      <c r="CB24" s="198"/>
      <c r="CC24" s="198"/>
      <c r="CD24" s="198"/>
      <c r="CE24" s="198"/>
      <c r="CF24" s="198"/>
      <c r="CG24" s="198"/>
      <c r="CH24" s="77"/>
      <c r="CI24" s="77"/>
      <c r="CJ24" s="77"/>
      <c r="CK24" s="77"/>
      <c r="CL24" s="77"/>
      <c r="CM24" s="77"/>
      <c r="CN24" s="77"/>
      <c r="CO24" s="77"/>
      <c r="CP24" s="77"/>
      <c r="CQ24" s="77"/>
      <c r="CR24" s="24"/>
      <c r="CS24" s="2">
        <v>24</v>
      </c>
      <c r="CT24" s="24"/>
      <c r="CU24" s="24"/>
      <c r="CV24" s="24"/>
      <c r="CW24" s="24"/>
      <c r="CX24" s="24"/>
      <c r="CY24" s="24"/>
      <c r="CZ24" s="24"/>
      <c r="DA24" s="24"/>
      <c r="DB24" s="24"/>
      <c r="DC24" s="24"/>
      <c r="DD24" s="24"/>
      <c r="DE24" s="24"/>
      <c r="DF24" s="24"/>
      <c r="DG24" s="24"/>
      <c r="DH24" s="24"/>
      <c r="DI24" s="24"/>
      <c r="DJ24" s="24"/>
      <c r="DK24" s="24"/>
      <c r="DL24" s="24"/>
      <c r="DM24" s="24"/>
      <c r="DN24" s="24"/>
      <c r="DO24" s="24"/>
      <c r="DP24" s="24"/>
      <c r="DQ24" s="24"/>
      <c r="DR24" s="24"/>
      <c r="DS24" s="24"/>
      <c r="DT24" s="24"/>
      <c r="DU24" s="24"/>
      <c r="DV24" s="24"/>
      <c r="DW24" s="24"/>
      <c r="DX24" s="24"/>
      <c r="DY24" s="24"/>
      <c r="DZ24" s="24"/>
      <c r="EA24" s="24"/>
      <c r="EB24" s="24"/>
      <c r="EC24" s="24"/>
      <c r="ED24" s="24"/>
      <c r="EE24" s="24"/>
      <c r="EF24" s="24"/>
      <c r="EG24" s="24"/>
      <c r="EH24" s="24"/>
      <c r="EI24" s="24"/>
      <c r="EJ24" s="24"/>
      <c r="EK24" s="24"/>
      <c r="EL24" s="24"/>
      <c r="EM24" s="24"/>
    </row>
    <row r="25" spans="1:143" s="5" customFormat="1" ht="409.5" x14ac:dyDescent="0.25">
      <c r="A25" s="276">
        <v>4</v>
      </c>
      <c r="B25" s="269" t="s">
        <v>4575</v>
      </c>
      <c r="C25" s="195" t="s">
        <v>1265</v>
      </c>
      <c r="D25" s="78" t="s">
        <v>3283</v>
      </c>
      <c r="E25" s="78">
        <v>105</v>
      </c>
      <c r="F25" s="78" t="s">
        <v>3353</v>
      </c>
      <c r="G25" s="78">
        <v>5</v>
      </c>
      <c r="H25" s="78">
        <v>10529</v>
      </c>
      <c r="I25" s="78">
        <v>29</v>
      </c>
      <c r="J25" s="78" t="s">
        <v>128</v>
      </c>
      <c r="K25" s="78">
        <v>105029</v>
      </c>
      <c r="L25" s="209" t="s">
        <v>3586</v>
      </c>
      <c r="M25" s="206" t="s">
        <v>3231</v>
      </c>
      <c r="N25" s="206" t="s">
        <v>3232</v>
      </c>
      <c r="O25" s="207" t="s">
        <v>62</v>
      </c>
      <c r="P25" s="78"/>
      <c r="Q25" s="78"/>
      <c r="R25" s="78"/>
      <c r="S25" s="78"/>
      <c r="T25" s="78"/>
      <c r="U25" s="78"/>
      <c r="V25" s="78"/>
      <c r="W25" s="78"/>
      <c r="X25" s="78"/>
      <c r="Y25" s="78">
        <v>1</v>
      </c>
      <c r="Z25" s="78">
        <v>0</v>
      </c>
      <c r="AA25" s="83" t="s">
        <v>1220</v>
      </c>
      <c r="AB25" s="78"/>
      <c r="AC25" s="78"/>
      <c r="AD25" s="83" t="s">
        <v>1282</v>
      </c>
      <c r="AE25" s="78"/>
      <c r="AF25" s="83" t="s">
        <v>1283</v>
      </c>
      <c r="AG25" s="78" t="s">
        <v>1583</v>
      </c>
      <c r="AH25" s="78"/>
      <c r="AI25" s="78"/>
      <c r="AJ25" s="78"/>
      <c r="AK25" s="83" t="s">
        <v>3354</v>
      </c>
      <c r="AL25" s="78" t="s">
        <v>1259</v>
      </c>
      <c r="AM25" s="83" t="s">
        <v>1347</v>
      </c>
      <c r="AN25" s="83" t="s">
        <v>3355</v>
      </c>
      <c r="AO25" s="78" t="s">
        <v>10</v>
      </c>
      <c r="AP25" s="83" t="s">
        <v>3356</v>
      </c>
      <c r="AQ25" s="83" t="s">
        <v>3357</v>
      </c>
      <c r="AR25" s="83" t="s">
        <v>3358</v>
      </c>
      <c r="AS25" s="83" t="s">
        <v>3359</v>
      </c>
      <c r="AT25" s="83" t="s">
        <v>3360</v>
      </c>
      <c r="AU25" s="83" t="s">
        <v>3359</v>
      </c>
      <c r="AV25" s="83">
        <v>2016</v>
      </c>
      <c r="AW25" s="83" t="s">
        <v>3361</v>
      </c>
      <c r="AX25" s="78"/>
      <c r="AY25" s="78"/>
      <c r="AZ25" s="78" t="s">
        <v>3362</v>
      </c>
      <c r="BA25" s="83" t="s">
        <v>3359</v>
      </c>
      <c r="BB25" s="78" t="s">
        <v>1514</v>
      </c>
      <c r="BC25" s="78" t="s">
        <v>2285</v>
      </c>
      <c r="BD25" s="78">
        <v>2016</v>
      </c>
      <c r="BE25" s="107" t="s">
        <v>9</v>
      </c>
      <c r="BF25" s="83" t="s">
        <v>17</v>
      </c>
      <c r="BG25" s="83" t="s">
        <v>3363</v>
      </c>
      <c r="BH25" s="83" t="s">
        <v>3364</v>
      </c>
      <c r="BI25" s="83" t="s">
        <v>3365</v>
      </c>
      <c r="BJ25" s="78"/>
      <c r="BK25" s="78"/>
      <c r="BL25" s="78"/>
      <c r="BM25" s="78">
        <v>2016</v>
      </c>
      <c r="BN25" s="157">
        <v>0.67600000000000005</v>
      </c>
      <c r="BO25" s="157">
        <v>0.77600000000000002</v>
      </c>
      <c r="BP25" s="157">
        <v>0.876</v>
      </c>
      <c r="BQ25" s="169">
        <f>((BO25-[1]Matriz_Metadatos_P1M1!BN220)/(2020-[1]Matriz_Metadatos_P1M1!BM220))*5</f>
        <v>1.9207920792079208E-3</v>
      </c>
      <c r="BR25" s="78"/>
      <c r="BS25" s="169">
        <f>(((BO25-[1]Matriz_Metadatos_P1M1!BN220)/(2020-[1]Matriz_Metadatos_P1M1!BM220))*(2016-[1]Matriz_Metadatos_P1M1!BM220))+[1]Matriz_Metadatos_P1M1!BN220</f>
        <v>0.7744633663366336</v>
      </c>
      <c r="BT25" s="78"/>
      <c r="BU25" s="78"/>
      <c r="BV25" s="78"/>
      <c r="BW25" s="169">
        <f>(((BO25-[1]Matriz_Metadatos_P1M1!BN220)/(2020-[1]Matriz_Metadatos_P1M1!BM220))*(2017-[1]Matriz_Metadatos_P1M1!BM220))+[1]Matriz_Metadatos_P1M1!BN220</f>
        <v>0.7748475247524752</v>
      </c>
      <c r="BX25" s="78"/>
      <c r="BY25" s="78"/>
      <c r="BZ25" s="78"/>
      <c r="CA25" s="169">
        <f>(((BO25-[1]Matriz_Metadatos_P1M1!BN220)/(2020-[1]Matriz_Metadatos_P1M1!BM220))*(2018-[1]Matriz_Metadatos_P1M1!BM220))+[1]Matriz_Metadatos_P1M1!BN220</f>
        <v>0.77523168316831681</v>
      </c>
      <c r="CB25" s="78"/>
      <c r="CC25" s="78"/>
      <c r="CD25" s="78"/>
      <c r="CE25" s="169">
        <f>(((BO25-[1]Matriz_Metadatos_P1M1!BN220)/(2020-[1]Matriz_Metadatos_P1M1!BM220))*(2019-[1]Matriz_Metadatos_P1M1!BM220))+[1]Matriz_Metadatos_P1M1!BN220</f>
        <v>0.77561584158415842</v>
      </c>
      <c r="CF25" s="78"/>
      <c r="CG25" s="78"/>
      <c r="CH25" s="78"/>
      <c r="CI25" s="169">
        <f>(((BO25-[1]Matriz_Metadatos_P1M1!BN220)/(2020-[1]Matriz_Metadatos_P1M1!BM220))*(2020-[1]Matriz_Metadatos_P1M1!BM220))+[1]Matriz_Metadatos_P1M1!BN220</f>
        <v>0.77600000000000002</v>
      </c>
      <c r="CJ25" s="78"/>
      <c r="CK25" s="78"/>
      <c r="CL25" s="78"/>
      <c r="CM25" s="78"/>
      <c r="CN25" s="78"/>
      <c r="CO25" s="78"/>
      <c r="CP25" s="78"/>
      <c r="CQ25" s="78"/>
      <c r="CR25" s="1"/>
      <c r="CS25" s="24">
        <v>25</v>
      </c>
      <c r="CT25" s="24"/>
      <c r="CU25" s="24"/>
      <c r="CV25" s="24"/>
      <c r="CW25" s="24"/>
      <c r="CX25" s="24"/>
      <c r="CY25" s="24"/>
      <c r="CZ25" s="24"/>
      <c r="DA25" s="24"/>
      <c r="DB25" s="24"/>
      <c r="DC25" s="24"/>
      <c r="DD25" s="24"/>
      <c r="DE25" s="24"/>
      <c r="DF25" s="24"/>
      <c r="DG25" s="24"/>
      <c r="DH25" s="24"/>
      <c r="DI25" s="24"/>
      <c r="DJ25" s="24"/>
      <c r="DK25" s="24"/>
      <c r="DL25" s="24"/>
      <c r="DM25" s="24"/>
      <c r="DN25" s="24"/>
      <c r="DO25" s="24"/>
      <c r="DP25" s="24"/>
      <c r="DQ25" s="24"/>
      <c r="DR25" s="24"/>
      <c r="DS25" s="24"/>
      <c r="DT25" s="24"/>
      <c r="DU25" s="24"/>
      <c r="DV25" s="24"/>
      <c r="DW25" s="24"/>
      <c r="DX25" s="24"/>
      <c r="DY25" s="24"/>
      <c r="DZ25" s="24"/>
      <c r="EA25" s="24"/>
      <c r="EB25" s="24"/>
      <c r="EC25" s="24"/>
      <c r="ED25" s="24"/>
      <c r="EE25" s="24"/>
      <c r="EF25" s="24"/>
      <c r="EG25" s="24"/>
      <c r="EH25" s="24"/>
      <c r="EI25" s="24"/>
      <c r="EJ25" s="24"/>
      <c r="EK25" s="24"/>
      <c r="EL25" s="24"/>
      <c r="EM25" s="24"/>
    </row>
    <row r="26" spans="1:143" s="5" customFormat="1" ht="171" customHeight="1" x14ac:dyDescent="0.25">
      <c r="A26" s="276">
        <v>4</v>
      </c>
      <c r="B26" s="269" t="s">
        <v>4575</v>
      </c>
      <c r="C26" s="195" t="s">
        <v>1265</v>
      </c>
      <c r="D26" s="78" t="s">
        <v>3283</v>
      </c>
      <c r="E26" s="78">
        <v>105</v>
      </c>
      <c r="F26" s="78" t="s">
        <v>3353</v>
      </c>
      <c r="G26" s="78">
        <v>5</v>
      </c>
      <c r="H26" s="78">
        <v>10529</v>
      </c>
      <c r="I26" s="78">
        <v>29</v>
      </c>
      <c r="J26" s="78" t="s">
        <v>128</v>
      </c>
      <c r="K26" s="78">
        <v>105029</v>
      </c>
      <c r="L26" s="209" t="s">
        <v>3586</v>
      </c>
      <c r="M26" s="206" t="s">
        <v>3231</v>
      </c>
      <c r="N26" s="206" t="s">
        <v>3232</v>
      </c>
      <c r="O26" s="207" t="s">
        <v>62</v>
      </c>
      <c r="P26" s="78"/>
      <c r="Q26" s="78"/>
      <c r="R26" s="78"/>
      <c r="S26" s="78"/>
      <c r="T26" s="78"/>
      <c r="U26" s="78"/>
      <c r="V26" s="78"/>
      <c r="W26" s="78"/>
      <c r="X26" s="78"/>
      <c r="Y26" s="78">
        <v>1</v>
      </c>
      <c r="Z26" s="78">
        <v>0</v>
      </c>
      <c r="AA26" s="83" t="s">
        <v>1220</v>
      </c>
      <c r="AB26" s="78"/>
      <c r="AC26" s="78"/>
      <c r="AD26" s="83" t="s">
        <v>1282</v>
      </c>
      <c r="AE26" s="78"/>
      <c r="AF26" s="83" t="s">
        <v>1283</v>
      </c>
      <c r="AG26" s="78" t="s">
        <v>1583</v>
      </c>
      <c r="AH26" s="78"/>
      <c r="AI26" s="78"/>
      <c r="AJ26" s="78"/>
      <c r="AK26" s="83" t="s">
        <v>3366</v>
      </c>
      <c r="AL26" s="78" t="s">
        <v>1259</v>
      </c>
      <c r="AM26" s="83" t="s">
        <v>1347</v>
      </c>
      <c r="AN26" s="83" t="s">
        <v>3367</v>
      </c>
      <c r="AO26" s="78" t="s">
        <v>10</v>
      </c>
      <c r="AP26" s="83" t="s">
        <v>3356</v>
      </c>
      <c r="AQ26" s="83" t="s">
        <v>3368</v>
      </c>
      <c r="AR26" s="83" t="s">
        <v>3358</v>
      </c>
      <c r="AS26" s="83" t="s">
        <v>3359</v>
      </c>
      <c r="AT26" s="83" t="s">
        <v>3369</v>
      </c>
      <c r="AU26" s="83" t="s">
        <v>3359</v>
      </c>
      <c r="AV26" s="83">
        <v>2016</v>
      </c>
      <c r="AW26" s="83" t="s">
        <v>3370</v>
      </c>
      <c r="AX26" s="78"/>
      <c r="AY26" s="78"/>
      <c r="AZ26" s="78" t="s">
        <v>3362</v>
      </c>
      <c r="BA26" s="83" t="s">
        <v>3359</v>
      </c>
      <c r="BB26" s="78" t="s">
        <v>1514</v>
      </c>
      <c r="BC26" s="78" t="s">
        <v>2285</v>
      </c>
      <c r="BD26" s="78">
        <v>2016</v>
      </c>
      <c r="BE26" s="107" t="s">
        <v>9</v>
      </c>
      <c r="BF26" s="83" t="s">
        <v>17</v>
      </c>
      <c r="BG26" s="83" t="s">
        <v>3363</v>
      </c>
      <c r="BH26" s="83" t="s">
        <v>3364</v>
      </c>
      <c r="BI26" s="83" t="s">
        <v>3365</v>
      </c>
      <c r="BJ26" s="78"/>
      <c r="BK26" s="78"/>
      <c r="BL26" s="78"/>
      <c r="BM26" s="78">
        <v>2016</v>
      </c>
      <c r="BN26" s="157">
        <v>0.80100000000000005</v>
      </c>
      <c r="BO26" s="157">
        <v>0.85099999999999998</v>
      </c>
      <c r="BP26" s="157">
        <v>0.90100000000000002</v>
      </c>
      <c r="BQ26" s="106">
        <f>+BO26-[1]Matriz_Metadatos_P1M1!BN221</f>
        <v>0.85099999999999998</v>
      </c>
      <c r="BR26" s="78">
        <f>2020-[1]Matriz_Metadatos_P1M1!BM221</f>
        <v>2020</v>
      </c>
      <c r="BS26" s="169">
        <f>(((BO26-[1]Matriz_Metadatos_P1M1!BN221)/(2020-[1]Matriz_Metadatos_P1M1!BM221))*(2016-[1]Matriz_Metadatos_P1M1!BM221))+[1]Matriz_Metadatos_P1M1!BN221</f>
        <v>0.84931485148514851</v>
      </c>
      <c r="BT26" s="78"/>
      <c r="BU26" s="78"/>
      <c r="BV26" s="78"/>
      <c r="BW26" s="169">
        <f>(((BO26-[1]Matriz_Metadatos_P1M1!BN221)/(2020-[1]Matriz_Metadatos_P1M1!BM221))*(2017-[1]Matriz_Metadatos_P1M1!BM221))+[1]Matriz_Metadatos_P1M1!BN221</f>
        <v>0.84973613861386132</v>
      </c>
      <c r="BX26" s="78"/>
      <c r="BY26" s="78"/>
      <c r="BZ26" s="78"/>
      <c r="CA26" s="169">
        <f>(((BO26-[1]Matriz_Metadatos_P1M1!BN221)/(2020-[1]Matriz_Metadatos_P1M1!BM221))*(2018-[1]Matriz_Metadatos_P1M1!BM221))+[1]Matriz_Metadatos_P1M1!BN221</f>
        <v>0.85015742574257425</v>
      </c>
      <c r="CB26" s="78"/>
      <c r="CC26" s="78"/>
      <c r="CD26" s="78"/>
      <c r="CE26" s="169">
        <f>(((BO26-[1]Matriz_Metadatos_P1M1!BN221)/(2020-[1]Matriz_Metadatos_P1M1!BM221))*(2019-[1]Matriz_Metadatos_P1M1!BM221))+[1]Matriz_Metadatos_P1M1!BN221</f>
        <v>0.85057871287128706</v>
      </c>
      <c r="CF26" s="78"/>
      <c r="CG26" s="78"/>
      <c r="CH26" s="78"/>
      <c r="CI26" s="169">
        <f>(((BO26-[1]Matriz_Metadatos_P1M1!BN221)/(2020-[1]Matriz_Metadatos_P1M1!BM221))*(2020-[1]Matriz_Metadatos_P1M1!BM221))+[1]Matriz_Metadatos_P1M1!BN221</f>
        <v>0.85099999999999998</v>
      </c>
      <c r="CJ26" s="78"/>
      <c r="CK26" s="78"/>
      <c r="CL26" s="78"/>
      <c r="CM26" s="78"/>
      <c r="CN26" s="78"/>
      <c r="CO26" s="78"/>
      <c r="CP26" s="78"/>
      <c r="CQ26" s="78"/>
      <c r="CR26" s="24"/>
      <c r="CS26" s="24">
        <v>26</v>
      </c>
      <c r="CT26" s="24"/>
      <c r="CU26" s="24"/>
      <c r="CV26" s="24"/>
      <c r="CW26" s="24"/>
      <c r="CX26" s="24"/>
      <c r="CY26" s="24"/>
      <c r="CZ26" s="24"/>
      <c r="DA26" s="24"/>
      <c r="DB26" s="24"/>
      <c r="DC26" s="24"/>
      <c r="DD26" s="24"/>
      <c r="DE26" s="24"/>
      <c r="DF26" s="24"/>
      <c r="DG26" s="24"/>
      <c r="DH26" s="24"/>
      <c r="DI26" s="24"/>
      <c r="DJ26" s="24"/>
      <c r="DK26" s="24"/>
      <c r="DL26" s="24"/>
      <c r="DM26" s="24"/>
      <c r="DN26" s="24"/>
      <c r="DO26" s="24"/>
      <c r="DP26" s="24"/>
      <c r="DQ26" s="24"/>
      <c r="DR26" s="24"/>
      <c r="DS26" s="24"/>
      <c r="DT26" s="24"/>
      <c r="DU26" s="24"/>
      <c r="DV26" s="24"/>
      <c r="DW26" s="24"/>
      <c r="DX26" s="24"/>
      <c r="DY26" s="24"/>
      <c r="DZ26" s="24"/>
      <c r="EA26" s="24"/>
      <c r="EB26" s="24"/>
      <c r="EC26" s="24"/>
      <c r="ED26" s="24"/>
      <c r="EE26" s="24"/>
      <c r="EF26" s="24"/>
      <c r="EG26" s="24"/>
      <c r="EH26" s="24"/>
      <c r="EI26" s="24"/>
      <c r="EJ26" s="24"/>
      <c r="EK26" s="24"/>
      <c r="EL26" s="24"/>
      <c r="EM26" s="24"/>
    </row>
    <row r="27" spans="1:143" s="5" customFormat="1" ht="409.5" x14ac:dyDescent="0.2">
      <c r="A27" s="276">
        <v>4</v>
      </c>
      <c r="B27" s="269" t="s">
        <v>4575</v>
      </c>
      <c r="C27" s="195" t="s">
        <v>1265</v>
      </c>
      <c r="D27" s="78" t="s">
        <v>3283</v>
      </c>
      <c r="E27" s="78">
        <v>105</v>
      </c>
      <c r="F27" s="78" t="s">
        <v>3353</v>
      </c>
      <c r="G27" s="78">
        <v>5</v>
      </c>
      <c r="H27" s="78">
        <v>10529</v>
      </c>
      <c r="I27" s="78">
        <v>29</v>
      </c>
      <c r="J27" s="78" t="s">
        <v>128</v>
      </c>
      <c r="K27" s="78">
        <v>105029</v>
      </c>
      <c r="L27" s="209" t="s">
        <v>3586</v>
      </c>
      <c r="M27" s="206" t="s">
        <v>3231</v>
      </c>
      <c r="N27" s="206" t="s">
        <v>3232</v>
      </c>
      <c r="O27" s="207" t="s">
        <v>62</v>
      </c>
      <c r="P27" s="78"/>
      <c r="Q27" s="78"/>
      <c r="R27" s="78"/>
      <c r="S27" s="78"/>
      <c r="T27" s="78"/>
      <c r="U27" s="78"/>
      <c r="V27" s="78"/>
      <c r="W27" s="78"/>
      <c r="X27" s="78"/>
      <c r="Y27" s="78">
        <v>1</v>
      </c>
      <c r="Z27" s="78">
        <v>0</v>
      </c>
      <c r="AA27" s="83" t="s">
        <v>1220</v>
      </c>
      <c r="AB27" s="78"/>
      <c r="AC27" s="78"/>
      <c r="AD27" s="83" t="s">
        <v>1282</v>
      </c>
      <c r="AE27" s="78"/>
      <c r="AF27" s="83" t="s">
        <v>1283</v>
      </c>
      <c r="AG27" s="78" t="s">
        <v>1583</v>
      </c>
      <c r="AH27" s="78"/>
      <c r="AI27" s="78"/>
      <c r="AJ27" s="78"/>
      <c r="AK27" s="83" t="s">
        <v>3371</v>
      </c>
      <c r="AL27" s="78" t="s">
        <v>1259</v>
      </c>
      <c r="AM27" s="83" t="s">
        <v>1347</v>
      </c>
      <c r="AN27" s="83" t="s">
        <v>9</v>
      </c>
      <c r="AO27" s="78" t="s">
        <v>10</v>
      </c>
      <c r="AP27" s="83" t="s">
        <v>3356</v>
      </c>
      <c r="AQ27" s="83" t="s">
        <v>3372</v>
      </c>
      <c r="AR27" s="83" t="s">
        <v>3373</v>
      </c>
      <c r="AS27" s="83" t="s">
        <v>3359</v>
      </c>
      <c r="AT27" s="83" t="s">
        <v>3374</v>
      </c>
      <c r="AU27" s="83" t="s">
        <v>3359</v>
      </c>
      <c r="AV27" s="83">
        <v>2016</v>
      </c>
      <c r="AW27" s="83" t="s">
        <v>3361</v>
      </c>
      <c r="AX27" s="78"/>
      <c r="AY27" s="78"/>
      <c r="AZ27" s="78" t="s">
        <v>3362</v>
      </c>
      <c r="BA27" s="83" t="s">
        <v>3359</v>
      </c>
      <c r="BB27" s="78" t="s">
        <v>1514</v>
      </c>
      <c r="BC27" s="78" t="s">
        <v>2285</v>
      </c>
      <c r="BD27" s="78">
        <v>2016</v>
      </c>
      <c r="BE27" s="107" t="s">
        <v>9</v>
      </c>
      <c r="BF27" s="83" t="s">
        <v>9</v>
      </c>
      <c r="BG27" s="83" t="s">
        <v>3363</v>
      </c>
      <c r="BH27" s="83" t="s">
        <v>3364</v>
      </c>
      <c r="BI27" s="83" t="s">
        <v>3365</v>
      </c>
      <c r="BJ27" s="78"/>
      <c r="BK27" s="78"/>
      <c r="BL27" s="78"/>
      <c r="BM27" s="78">
        <v>2016</v>
      </c>
      <c r="BN27" s="157">
        <v>0.40100000000000002</v>
      </c>
      <c r="BO27" s="157">
        <v>0.501</v>
      </c>
      <c r="BP27" s="157">
        <v>0.60099999999999998</v>
      </c>
      <c r="BQ27" s="169">
        <f>((BO27-[1]Matriz_Metadatos_P1M1!BN222)/(2020-[1]Matriz_Metadatos_P1M1!BM222))*5</f>
        <v>1.2400990099009899E-3</v>
      </c>
      <c r="BR27" s="78"/>
      <c r="BS27" s="169">
        <f>(((BO27-[1]Matriz_Metadatos_P1M1!BN222)/(2020-[1]Matriz_Metadatos_P1M1!BM222))*(2016-[1]Matriz_Metadatos_P1M1!BM222))+[1]Matriz_Metadatos_P1M1!BN222</f>
        <v>0.50000792079207912</v>
      </c>
      <c r="BT27" s="78"/>
      <c r="BU27" s="78"/>
      <c r="BV27" s="78"/>
      <c r="BW27" s="169">
        <f>(((BO27-[1]Matriz_Metadatos_P1M1!BN222)/(2020-[1]Matriz_Metadatos_P1M1!BM222))*(2017-[1]Matriz_Metadatos_P1M1!BM222))+[1]Matriz_Metadatos_P1M1!BN222</f>
        <v>0.50025594059405942</v>
      </c>
      <c r="BX27" s="78"/>
      <c r="BY27" s="78"/>
      <c r="BZ27" s="78"/>
      <c r="CA27" s="169">
        <f>(((BO27-[1]Matriz_Metadatos_P1M1!BN222)/(2020-[1]Matriz_Metadatos_P1M1!BM222))*(2018-[1]Matriz_Metadatos_P1M1!BM222))+[1]Matriz_Metadatos_P1M1!BN222</f>
        <v>0.50050396039603962</v>
      </c>
      <c r="CB27" s="78"/>
      <c r="CC27" s="78"/>
      <c r="CD27" s="78"/>
      <c r="CE27" s="169">
        <f>(((BO27-[1]Matriz_Metadatos_P1M1!BN222)/(2020-[1]Matriz_Metadatos_P1M1!BM222))*(2019-[1]Matriz_Metadatos_P1M1!BM222))+[1]Matriz_Metadatos_P1M1!BN222</f>
        <v>0.50075198019801981</v>
      </c>
      <c r="CF27" s="78"/>
      <c r="CG27" s="78"/>
      <c r="CH27" s="78"/>
      <c r="CI27" s="169">
        <f>(((BO27-[1]Matriz_Metadatos_P1M1!BN222)/(2020-[1]Matriz_Metadatos_P1M1!BM222))*(2020-[1]Matriz_Metadatos_P1M1!BM222))+[1]Matriz_Metadatos_P1M1!BN222</f>
        <v>0.501</v>
      </c>
      <c r="CJ27" s="78"/>
      <c r="CK27" s="78"/>
      <c r="CL27" s="78"/>
      <c r="CM27" s="78"/>
      <c r="CN27" s="78"/>
      <c r="CO27" s="78"/>
      <c r="CP27" s="78"/>
      <c r="CQ27" s="78"/>
      <c r="CR27" s="24"/>
      <c r="CS27" s="2">
        <v>27</v>
      </c>
      <c r="CT27" s="24"/>
      <c r="CU27" s="24"/>
      <c r="CV27" s="24"/>
      <c r="CW27" s="24"/>
      <c r="CX27" s="24"/>
      <c r="CY27" s="24"/>
      <c r="CZ27" s="24"/>
      <c r="DA27" s="24"/>
      <c r="DB27" s="24"/>
      <c r="DC27" s="24"/>
      <c r="DD27" s="24"/>
      <c r="DE27" s="24"/>
      <c r="DF27" s="24"/>
      <c r="DG27" s="24"/>
      <c r="DH27" s="24"/>
      <c r="DI27" s="24"/>
      <c r="DJ27" s="24"/>
      <c r="DK27" s="24"/>
      <c r="DL27" s="24"/>
      <c r="DM27" s="24"/>
      <c r="DN27" s="24"/>
      <c r="DO27" s="24"/>
      <c r="DP27" s="24"/>
      <c r="DQ27" s="24"/>
      <c r="DR27" s="24"/>
      <c r="DS27" s="24"/>
      <c r="DT27" s="24"/>
      <c r="DU27" s="24"/>
      <c r="DV27" s="24"/>
      <c r="DW27" s="24"/>
      <c r="DX27" s="24"/>
      <c r="DY27" s="24"/>
      <c r="DZ27" s="24"/>
      <c r="EA27" s="24"/>
      <c r="EB27" s="24"/>
      <c r="EC27" s="24"/>
      <c r="ED27" s="24"/>
      <c r="EE27" s="24"/>
      <c r="EF27" s="24"/>
      <c r="EG27" s="24"/>
      <c r="EH27" s="24"/>
      <c r="EI27" s="24"/>
      <c r="EJ27" s="24"/>
      <c r="EK27" s="24"/>
      <c r="EL27" s="24"/>
      <c r="EM27" s="24"/>
    </row>
    <row r="28" spans="1:143" s="5" customFormat="1" ht="409.5" x14ac:dyDescent="0.25">
      <c r="A28" s="276">
        <v>4</v>
      </c>
      <c r="B28" s="269" t="s">
        <v>4575</v>
      </c>
      <c r="C28" s="195" t="s">
        <v>1265</v>
      </c>
      <c r="D28" s="78" t="s">
        <v>3283</v>
      </c>
      <c r="E28" s="78">
        <v>105</v>
      </c>
      <c r="F28" s="78" t="s">
        <v>3353</v>
      </c>
      <c r="G28" s="78">
        <v>5</v>
      </c>
      <c r="H28" s="78">
        <v>10529</v>
      </c>
      <c r="I28" s="78">
        <v>29</v>
      </c>
      <c r="J28" s="78" t="s">
        <v>128</v>
      </c>
      <c r="K28" s="78">
        <v>105029</v>
      </c>
      <c r="L28" s="209" t="s">
        <v>3586</v>
      </c>
      <c r="M28" s="206" t="s">
        <v>3231</v>
      </c>
      <c r="N28" s="206" t="s">
        <v>3232</v>
      </c>
      <c r="O28" s="207" t="s">
        <v>62</v>
      </c>
      <c r="P28" s="78"/>
      <c r="Q28" s="78"/>
      <c r="R28" s="78"/>
      <c r="S28" s="78"/>
      <c r="T28" s="78"/>
      <c r="U28" s="78"/>
      <c r="V28" s="78"/>
      <c r="W28" s="78"/>
      <c r="X28" s="78"/>
      <c r="Y28" s="78">
        <v>1</v>
      </c>
      <c r="Z28" s="78">
        <v>0</v>
      </c>
      <c r="AA28" s="83" t="s">
        <v>1220</v>
      </c>
      <c r="AB28" s="78"/>
      <c r="AC28" s="78"/>
      <c r="AD28" s="83" t="s">
        <v>1282</v>
      </c>
      <c r="AE28" s="78"/>
      <c r="AF28" s="83" t="s">
        <v>1283</v>
      </c>
      <c r="AG28" s="78" t="s">
        <v>1583</v>
      </c>
      <c r="AH28" s="78"/>
      <c r="AI28" s="78"/>
      <c r="AJ28" s="78"/>
      <c r="AK28" s="83" t="s">
        <v>3375</v>
      </c>
      <c r="AL28" s="78" t="s">
        <v>1259</v>
      </c>
      <c r="AM28" s="83" t="s">
        <v>1347</v>
      </c>
      <c r="AN28" s="83" t="s">
        <v>9</v>
      </c>
      <c r="AO28" s="78" t="s">
        <v>10</v>
      </c>
      <c r="AP28" s="83" t="s">
        <v>3356</v>
      </c>
      <c r="AQ28" s="83" t="s">
        <v>3376</v>
      </c>
      <c r="AR28" s="83" t="s">
        <v>3377</v>
      </c>
      <c r="AS28" s="83" t="s">
        <v>3359</v>
      </c>
      <c r="AT28" s="83" t="s">
        <v>3378</v>
      </c>
      <c r="AU28" s="83" t="s">
        <v>3359</v>
      </c>
      <c r="AV28" s="83">
        <v>2016</v>
      </c>
      <c r="AW28" s="83" t="s">
        <v>3370</v>
      </c>
      <c r="AX28" s="78"/>
      <c r="AY28" s="78"/>
      <c r="AZ28" s="78" t="s">
        <v>3362</v>
      </c>
      <c r="BA28" s="83" t="s">
        <v>3359</v>
      </c>
      <c r="BB28" s="78" t="s">
        <v>1514</v>
      </c>
      <c r="BC28" s="78" t="s">
        <v>2285</v>
      </c>
      <c r="BD28" s="78">
        <v>2016</v>
      </c>
      <c r="BE28" s="107" t="s">
        <v>9</v>
      </c>
      <c r="BF28" s="83" t="s">
        <v>9</v>
      </c>
      <c r="BG28" s="83" t="s">
        <v>3363</v>
      </c>
      <c r="BH28" s="83" t="s">
        <v>3364</v>
      </c>
      <c r="BI28" s="83" t="s">
        <v>3365</v>
      </c>
      <c r="BJ28" s="78"/>
      <c r="BK28" s="78"/>
      <c r="BL28" s="78"/>
      <c r="BM28" s="78">
        <v>2016</v>
      </c>
      <c r="BN28" s="157">
        <v>0.222</v>
      </c>
      <c r="BO28" s="157">
        <v>0.32200000000000001</v>
      </c>
      <c r="BP28" s="157">
        <v>0.42199999999999999</v>
      </c>
      <c r="BQ28" s="169">
        <f>((BO28-[1]Matriz_Metadatos_P1M1!BN223)/(2020-[1]Matriz_Metadatos_P1M1!BM223))*5</f>
        <v>7.9702970297029709E-4</v>
      </c>
      <c r="BR28" s="78"/>
      <c r="BS28" s="169">
        <f>(((BO28-[1]Matriz_Metadatos_P1M1!BN223)/(2020-[1]Matriz_Metadatos_P1M1!BM223))*(2016-[1]Matriz_Metadatos_P1M1!BM223))+[1]Matriz_Metadatos_P1M1!BN223</f>
        <v>0.32136237623762381</v>
      </c>
      <c r="BT28" s="78"/>
      <c r="BU28" s="78"/>
      <c r="BV28" s="78"/>
      <c r="BW28" s="169">
        <f>(((BO28-[1]Matriz_Metadatos_P1M1!BN223)/(2020-[1]Matriz_Metadatos_P1M1!BM223))*(2017-[1]Matriz_Metadatos_P1M1!BM223))+[1]Matriz_Metadatos_P1M1!BN223</f>
        <v>0.32152178217821786</v>
      </c>
      <c r="BX28" s="78"/>
      <c r="BY28" s="78"/>
      <c r="BZ28" s="78"/>
      <c r="CA28" s="169">
        <f>(((BO28-[1]Matriz_Metadatos_P1M1!BN223)/(2020-[1]Matriz_Metadatos_P1M1!BM223))*(2018-[1]Matriz_Metadatos_P1M1!BM223))+[1]Matriz_Metadatos_P1M1!BN223</f>
        <v>0.32168118811881191</v>
      </c>
      <c r="CB28" s="78"/>
      <c r="CC28" s="78"/>
      <c r="CD28" s="78"/>
      <c r="CE28" s="169">
        <f>(((BO28-[1]Matriz_Metadatos_P1M1!BN223)/(2020-[1]Matriz_Metadatos_P1M1!BM223))*(2019-[1]Matriz_Metadatos_P1M1!BM223))+[1]Matriz_Metadatos_P1M1!BN223</f>
        <v>0.32184059405940596</v>
      </c>
      <c r="CF28" s="78"/>
      <c r="CG28" s="78"/>
      <c r="CH28" s="78"/>
      <c r="CI28" s="169">
        <f>(((BO28-[1]Matriz_Metadatos_P1M1!BN223)/(2020-[1]Matriz_Metadatos_P1M1!BM223))*(2020-[1]Matriz_Metadatos_P1M1!BM223))+[1]Matriz_Metadatos_P1M1!BN223</f>
        <v>0.32200000000000001</v>
      </c>
      <c r="CJ28" s="78"/>
      <c r="CK28" s="78"/>
      <c r="CL28" s="78"/>
      <c r="CM28" s="78"/>
      <c r="CN28" s="78"/>
      <c r="CO28" s="78"/>
      <c r="CP28" s="78"/>
      <c r="CQ28" s="78"/>
      <c r="CR28" s="24"/>
      <c r="CS28" s="24">
        <v>28</v>
      </c>
      <c r="CT28" s="24"/>
      <c r="CU28" s="24"/>
      <c r="CV28" s="24"/>
      <c r="CW28" s="24"/>
      <c r="CX28" s="24"/>
      <c r="CY28" s="24"/>
      <c r="CZ28" s="24"/>
      <c r="DA28" s="24"/>
      <c r="DB28" s="24"/>
      <c r="DC28" s="24"/>
      <c r="DD28" s="24"/>
      <c r="DE28" s="24"/>
      <c r="DF28" s="24"/>
      <c r="DG28" s="24"/>
      <c r="DH28" s="24"/>
      <c r="DI28" s="24"/>
      <c r="DJ28" s="24"/>
      <c r="DK28" s="24"/>
      <c r="DL28" s="24"/>
      <c r="DM28" s="24"/>
      <c r="DN28" s="24"/>
      <c r="DO28" s="24"/>
      <c r="DP28" s="24"/>
      <c r="DQ28" s="24"/>
      <c r="DR28" s="24"/>
      <c r="DS28" s="24"/>
      <c r="DT28" s="24"/>
      <c r="DU28" s="24"/>
      <c r="DV28" s="24"/>
      <c r="DW28" s="24"/>
      <c r="DX28" s="24"/>
      <c r="DY28" s="24"/>
      <c r="DZ28" s="24"/>
      <c r="EA28" s="24"/>
      <c r="EB28" s="24"/>
      <c r="EC28" s="24"/>
      <c r="ED28" s="24"/>
      <c r="EE28" s="24"/>
      <c r="EF28" s="24"/>
      <c r="EG28" s="24"/>
      <c r="EH28" s="24"/>
      <c r="EI28" s="24"/>
      <c r="EJ28" s="24"/>
      <c r="EK28" s="24"/>
      <c r="EL28" s="24"/>
      <c r="EM28" s="24"/>
    </row>
    <row r="29" spans="1:143" s="5" customFormat="1" ht="171" customHeight="1" x14ac:dyDescent="0.2">
      <c r="A29" s="276">
        <v>3</v>
      </c>
      <c r="B29" s="269" t="s">
        <v>3182</v>
      </c>
      <c r="C29" s="195" t="s">
        <v>1265</v>
      </c>
      <c r="D29" s="189" t="s">
        <v>0</v>
      </c>
      <c r="E29" s="189" t="s">
        <v>132</v>
      </c>
      <c r="F29" s="189" t="s">
        <v>133</v>
      </c>
      <c r="G29" s="196">
        <v>2</v>
      </c>
      <c r="H29" s="189" t="s">
        <v>142</v>
      </c>
      <c r="I29" s="189">
        <v>37</v>
      </c>
      <c r="J29" s="189" t="s">
        <v>143</v>
      </c>
      <c r="K29" s="189" t="s">
        <v>845</v>
      </c>
      <c r="L29" s="90" t="s">
        <v>144</v>
      </c>
      <c r="M29" s="189" t="s">
        <v>117</v>
      </c>
      <c r="N29" s="189" t="s">
        <v>118</v>
      </c>
      <c r="O29" s="189" t="s">
        <v>78</v>
      </c>
      <c r="P29" s="189" t="s">
        <v>91</v>
      </c>
      <c r="Q29" s="189" t="s">
        <v>92</v>
      </c>
      <c r="R29" s="189"/>
      <c r="S29" s="189"/>
      <c r="T29" s="189" t="s">
        <v>79</v>
      </c>
      <c r="U29" s="189"/>
      <c r="V29" s="189"/>
      <c r="W29" s="189"/>
      <c r="X29" s="214"/>
      <c r="Y29" s="189">
        <f>COUNTIF(T29,"RS")</f>
        <v>0</v>
      </c>
      <c r="Z29" s="189">
        <v>1</v>
      </c>
      <c r="AA29" s="189" t="s">
        <v>1220</v>
      </c>
      <c r="AB29" s="189"/>
      <c r="AC29" s="79">
        <v>5</v>
      </c>
      <c r="AD29" s="189" t="s">
        <v>1286</v>
      </c>
      <c r="AE29" s="189" t="s">
        <v>1287</v>
      </c>
      <c r="AF29" s="79"/>
      <c r="AG29" s="77" t="s">
        <v>1364</v>
      </c>
      <c r="AH29" s="79"/>
      <c r="AI29" s="275">
        <v>1</v>
      </c>
      <c r="AJ29" s="189" t="str">
        <f>CONCATENATE(K29,AI29)</f>
        <v>01060371</v>
      </c>
      <c r="AK29" s="90" t="s">
        <v>3208</v>
      </c>
      <c r="AL29" s="189" t="s">
        <v>1259</v>
      </c>
      <c r="AM29" s="189"/>
      <c r="AN29" s="275" t="s">
        <v>1405</v>
      </c>
      <c r="AO29" s="189" t="s">
        <v>10</v>
      </c>
      <c r="AP29" s="90" t="s">
        <v>3209</v>
      </c>
      <c r="AQ29" s="90" t="s">
        <v>3210</v>
      </c>
      <c r="AR29" s="90" t="s">
        <v>3211</v>
      </c>
      <c r="AS29" s="90" t="s">
        <v>3212</v>
      </c>
      <c r="AT29" s="90" t="s">
        <v>3213</v>
      </c>
      <c r="AU29" s="90" t="s">
        <v>3214</v>
      </c>
      <c r="AV29" s="275" t="s">
        <v>2832</v>
      </c>
      <c r="AW29" s="276" t="s">
        <v>1405</v>
      </c>
      <c r="AX29" s="275">
        <v>1</v>
      </c>
      <c r="AY29" s="276" t="str">
        <f>CONCATENATE(AJ29,AX29)</f>
        <v>010603711</v>
      </c>
      <c r="AZ29" s="189" t="s">
        <v>3174</v>
      </c>
      <c r="BA29" s="189" t="s">
        <v>3175</v>
      </c>
      <c r="BB29" s="189" t="s">
        <v>1229</v>
      </c>
      <c r="BC29" s="189" t="s">
        <v>11</v>
      </c>
      <c r="BD29" s="276" t="s">
        <v>2832</v>
      </c>
      <c r="BE29" s="189" t="s">
        <v>9</v>
      </c>
      <c r="BF29" s="189" t="s">
        <v>9</v>
      </c>
      <c r="BG29" s="189" t="s">
        <v>3215</v>
      </c>
      <c r="BH29" s="275" t="s">
        <v>1405</v>
      </c>
      <c r="BI29" s="90" t="s">
        <v>3062</v>
      </c>
      <c r="BJ29" s="90" t="s">
        <v>3178</v>
      </c>
      <c r="BK29" s="90" t="s">
        <v>3198</v>
      </c>
      <c r="BL29" s="276" t="s">
        <v>3216</v>
      </c>
      <c r="BM29" s="276">
        <v>2015</v>
      </c>
      <c r="BN29" s="187">
        <f>22/196</f>
        <v>0.11224489795918367</v>
      </c>
      <c r="BO29" s="89">
        <v>0.25</v>
      </c>
      <c r="BP29" s="79"/>
      <c r="BQ29" s="169">
        <f>((BO29-BN29)/(2020-BM29))*5</f>
        <v>0.13775510204081631</v>
      </c>
      <c r="BR29" s="78"/>
      <c r="BS29" s="169">
        <f>(((BO29-BN29)/(2020-BM29))*(2016-BM29))+BN29</f>
        <v>0.13979591836734695</v>
      </c>
      <c r="BT29" s="78"/>
      <c r="BU29" s="78"/>
      <c r="BV29" s="78"/>
      <c r="BW29" s="169">
        <f>(((BO29-BN29)/(2020-BM29))*(2017-BM29))+BN29</f>
        <v>0.16734693877551021</v>
      </c>
      <c r="BX29" s="78"/>
      <c r="BY29" s="78"/>
      <c r="BZ29" s="78"/>
      <c r="CA29" s="169">
        <f>(((BO29-BN29)/(2020-BM29))*(2018-BM29))+BN29</f>
        <v>0.19489795918367347</v>
      </c>
      <c r="CB29" s="78"/>
      <c r="CC29" s="78"/>
      <c r="CD29" s="78"/>
      <c r="CE29" s="169">
        <f>(((BO29-BN29)/(2020-BM29))*(2019-BM29))+BN29</f>
        <v>0.22244897959183674</v>
      </c>
      <c r="CF29" s="78"/>
      <c r="CG29" s="78"/>
      <c r="CH29" s="78"/>
      <c r="CI29" s="169">
        <f>(((BO29-BN29)/(2020-BM29))*(2020-BM29))+BN29</f>
        <v>0.25</v>
      </c>
      <c r="CJ29" s="102"/>
      <c r="CK29" s="102" t="s">
        <v>3181</v>
      </c>
      <c r="CL29" s="104" t="s">
        <v>3181</v>
      </c>
      <c r="CM29" s="104"/>
      <c r="CN29" s="215"/>
      <c r="CO29" s="215"/>
      <c r="CP29" s="215"/>
      <c r="CQ29" s="215"/>
      <c r="CR29" s="24"/>
      <c r="CS29" s="24">
        <v>29</v>
      </c>
      <c r="CT29" s="24"/>
      <c r="CU29" s="24"/>
      <c r="CV29" s="24"/>
      <c r="CW29" s="24"/>
      <c r="CX29" s="24"/>
      <c r="CY29" s="24"/>
      <c r="CZ29" s="24"/>
      <c r="DA29" s="24"/>
      <c r="DB29" s="24"/>
      <c r="DC29" s="24"/>
      <c r="DD29" s="24"/>
      <c r="DE29" s="24"/>
      <c r="DF29" s="24"/>
      <c r="DG29" s="24"/>
      <c r="DH29" s="24"/>
      <c r="DI29" s="24"/>
      <c r="DJ29" s="24"/>
      <c r="DK29" s="24"/>
      <c r="DL29" s="24"/>
      <c r="DM29" s="24"/>
      <c r="DN29" s="24"/>
      <c r="DO29" s="24"/>
      <c r="DP29" s="24"/>
      <c r="DQ29" s="24"/>
      <c r="DR29" s="24"/>
      <c r="DS29" s="24"/>
      <c r="DT29" s="24"/>
      <c r="DU29" s="24"/>
      <c r="DV29" s="24"/>
      <c r="DW29" s="24"/>
      <c r="DX29" s="24"/>
      <c r="DY29" s="24"/>
      <c r="DZ29" s="24"/>
      <c r="EA29" s="24"/>
      <c r="EB29" s="24"/>
      <c r="EC29" s="24"/>
      <c r="ED29" s="24"/>
      <c r="EE29" s="24"/>
      <c r="EF29" s="24"/>
      <c r="EG29" s="24"/>
      <c r="EH29" s="24"/>
      <c r="EI29" s="24"/>
      <c r="EJ29" s="24"/>
      <c r="EK29" s="24"/>
      <c r="EL29" s="24"/>
      <c r="EM29" s="24"/>
    </row>
    <row r="30" spans="1:143" s="5" customFormat="1" ht="185.25" customHeight="1" x14ac:dyDescent="0.2">
      <c r="A30" s="276">
        <v>9</v>
      </c>
      <c r="B30" s="269" t="s">
        <v>4575</v>
      </c>
      <c r="C30" s="269" t="s">
        <v>1266</v>
      </c>
      <c r="D30" s="189" t="s">
        <v>147</v>
      </c>
      <c r="E30" s="276" t="s">
        <v>154</v>
      </c>
      <c r="F30" s="189" t="s">
        <v>148</v>
      </c>
      <c r="G30" s="172">
        <v>1</v>
      </c>
      <c r="H30" s="276" t="s">
        <v>149</v>
      </c>
      <c r="I30" s="276">
        <v>39</v>
      </c>
      <c r="J30" s="276" t="s">
        <v>150</v>
      </c>
      <c r="K30" s="276" t="s">
        <v>847</v>
      </c>
      <c r="L30" s="189" t="s">
        <v>151</v>
      </c>
      <c r="M30" s="276" t="s">
        <v>152</v>
      </c>
      <c r="N30" s="189" t="s">
        <v>153</v>
      </c>
      <c r="O30" s="189" t="s">
        <v>62</v>
      </c>
      <c r="P30" s="276" t="s">
        <v>63</v>
      </c>
      <c r="Q30" s="276" t="s">
        <v>152</v>
      </c>
      <c r="R30" s="276">
        <v>1</v>
      </c>
      <c r="S30" s="276">
        <v>1</v>
      </c>
      <c r="T30" s="276" t="s">
        <v>65</v>
      </c>
      <c r="U30" s="276"/>
      <c r="V30" s="276"/>
      <c r="W30" s="78" t="s">
        <v>155</v>
      </c>
      <c r="X30" s="173" t="e">
        <f>100/COUNTIFS(($B$4:$B$311),C30,($D$4:$D$311),E30)</f>
        <v>#DIV/0!</v>
      </c>
      <c r="Y30" s="276">
        <f>COUNTIF(T30,"RS")</f>
        <v>1</v>
      </c>
      <c r="Z30" s="276">
        <v>0</v>
      </c>
      <c r="AA30" s="276" t="s">
        <v>1220</v>
      </c>
      <c r="AB30" s="276">
        <v>1</v>
      </c>
      <c r="AC30" s="275">
        <v>6</v>
      </c>
      <c r="AD30" s="189" t="s">
        <v>1288</v>
      </c>
      <c r="AE30" s="189" t="s">
        <v>1289</v>
      </c>
      <c r="AF30" s="189" t="s">
        <v>3008</v>
      </c>
      <c r="AG30" s="276" t="s">
        <v>1235</v>
      </c>
      <c r="AH30" s="77"/>
      <c r="AI30" s="275">
        <v>1</v>
      </c>
      <c r="AJ30" s="83" t="str">
        <f>CONCATENATE(K30,AI30)</f>
        <v>02010391</v>
      </c>
      <c r="AK30" s="83" t="s">
        <v>3044</v>
      </c>
      <c r="AL30" s="189" t="s">
        <v>1259</v>
      </c>
      <c r="AM30" s="189"/>
      <c r="AN30" s="189" t="s">
        <v>1467</v>
      </c>
      <c r="AO30" s="78" t="s">
        <v>10</v>
      </c>
      <c r="AP30" s="189" t="s">
        <v>3045</v>
      </c>
      <c r="AQ30" s="189" t="s">
        <v>3046</v>
      </c>
      <c r="AR30" s="83" t="s">
        <v>3047</v>
      </c>
      <c r="AS30" s="189" t="s">
        <v>3013</v>
      </c>
      <c r="AT30" s="83" t="s">
        <v>3031</v>
      </c>
      <c r="AU30" s="276" t="s">
        <v>3015</v>
      </c>
      <c r="AV30" s="79" t="s">
        <v>3016</v>
      </c>
      <c r="AW30" s="189" t="s">
        <v>3048</v>
      </c>
      <c r="AX30" s="275">
        <v>1</v>
      </c>
      <c r="AY30" s="276" t="str">
        <f>CONCATENATE(AJ30,AX30)</f>
        <v>020103911</v>
      </c>
      <c r="AZ30" s="276" t="s">
        <v>1373</v>
      </c>
      <c r="BA30" s="83" t="s">
        <v>3018</v>
      </c>
      <c r="BB30" s="78" t="s">
        <v>1373</v>
      </c>
      <c r="BC30" s="78" t="s">
        <v>11</v>
      </c>
      <c r="BD30" s="78" t="s">
        <v>3016</v>
      </c>
      <c r="BE30" s="78" t="s">
        <v>9</v>
      </c>
      <c r="BF30" s="83" t="s">
        <v>3019</v>
      </c>
      <c r="BG30" s="83" t="s">
        <v>3020</v>
      </c>
      <c r="BH30" s="83" t="s">
        <v>3021</v>
      </c>
      <c r="BI30" s="276" t="s">
        <v>3022</v>
      </c>
      <c r="BJ30" s="276" t="s">
        <v>3023</v>
      </c>
      <c r="BK30" s="276" t="s">
        <v>3024</v>
      </c>
      <c r="BL30" s="78" t="s">
        <v>3025</v>
      </c>
      <c r="BM30" s="78">
        <v>2015</v>
      </c>
      <c r="BN30" s="169">
        <v>0.93300000000000005</v>
      </c>
      <c r="BO30" s="169">
        <v>0.95</v>
      </c>
      <c r="BP30" s="169">
        <v>1</v>
      </c>
      <c r="BQ30" s="124">
        <f t="shared" ref="BQ30:BQ75" si="0">+BO30-BN30</f>
        <v>1.6999999999999904E-2</v>
      </c>
      <c r="BR30" s="275">
        <v>5</v>
      </c>
      <c r="BS30" s="170">
        <f t="shared" ref="BS30:BS63" si="1">+BN30-(((BQ30)/5)*(-1))</f>
        <v>0.93640000000000001</v>
      </c>
      <c r="BT30" s="170">
        <v>0.93807915514872597</v>
      </c>
      <c r="BU30" s="170">
        <f t="shared" ref="BU30:BU75" si="2">+BT30-BN30</f>
        <v>5.0791551487259223E-3</v>
      </c>
      <c r="BV30" s="188">
        <f t="shared" ref="BV30:BV61" si="3">+BU30/BQ30</f>
        <v>0.29877383227799714</v>
      </c>
      <c r="BW30" s="188">
        <f t="shared" ref="BW30:BW59" si="4">+BN30-(((BQ30)/5)*(-2))</f>
        <v>0.93979999999999997</v>
      </c>
      <c r="BX30" s="170">
        <v>0.94016214219702399</v>
      </c>
      <c r="BY30" s="188">
        <f t="shared" ref="BY30:BY62" si="5">+BX30-BN30</f>
        <v>7.1621421970239352E-3</v>
      </c>
      <c r="BZ30" s="89">
        <f t="shared" ref="BZ30:BZ59" si="6">+BY30/BQ30</f>
        <v>0.42130248217788091</v>
      </c>
      <c r="CA30" s="188">
        <f t="shared" ref="CA30:CA59" si="7">+BN30-(((BQ30)/5)*(-3))</f>
        <v>0.94320000000000004</v>
      </c>
      <c r="CB30" s="188"/>
      <c r="CC30" s="188">
        <f t="shared" ref="CC30:CC75" si="8">+CB30-BN30</f>
        <v>-0.93300000000000005</v>
      </c>
      <c r="CD30" s="188">
        <f t="shared" ref="CD30:CD59" si="9">+CC30/BQ30</f>
        <v>-54.882352941176784</v>
      </c>
      <c r="CE30" s="188">
        <f t="shared" ref="CE30:CE59" si="10">+BN30-(((BQ30)/5)*(-4))</f>
        <v>0.9466</v>
      </c>
      <c r="CF30" s="188"/>
      <c r="CG30" s="188">
        <f t="shared" ref="CG30:CG75" si="11">+CF30-BN30</f>
        <v>-0.93300000000000005</v>
      </c>
      <c r="CH30" s="188">
        <f t="shared" ref="CH30:CH59" si="12">+CG30/BQ30</f>
        <v>-54.882352941176784</v>
      </c>
      <c r="CI30" s="188">
        <f t="shared" ref="CI30:CI59" si="13">+BN30-(((BQ30)/5)*(-5))</f>
        <v>0.95</v>
      </c>
      <c r="CJ30" s="188"/>
      <c r="CK30" s="188">
        <f t="shared" ref="CK30:CK75" si="14">+CJ30-BN30</f>
        <v>-0.93300000000000005</v>
      </c>
      <c r="CL30" s="89">
        <f t="shared" ref="CL30:CL59" si="15">+CK30/BQ30</f>
        <v>-54.882352941176784</v>
      </c>
      <c r="CM30" s="89" t="s">
        <v>11</v>
      </c>
      <c r="CN30" s="188"/>
      <c r="CO30" s="188"/>
      <c r="CP30" s="188"/>
      <c r="CQ30" s="188"/>
      <c r="CR30" s="24"/>
      <c r="CS30" s="2">
        <v>30</v>
      </c>
      <c r="CT30" s="24"/>
      <c r="CU30" s="24"/>
      <c r="CV30" s="24"/>
      <c r="CW30" s="24"/>
      <c r="CX30" s="24"/>
      <c r="CY30" s="24"/>
      <c r="CZ30" s="24"/>
      <c r="DA30" s="24"/>
      <c r="DB30" s="24"/>
      <c r="DC30" s="24"/>
      <c r="DD30" s="24"/>
      <c r="DE30" s="24"/>
      <c r="DF30" s="24"/>
      <c r="DG30" s="24"/>
      <c r="DH30" s="24"/>
      <c r="DI30" s="24"/>
      <c r="DJ30" s="24"/>
      <c r="DK30" s="24"/>
      <c r="DL30" s="24"/>
      <c r="DM30" s="24"/>
      <c r="DN30" s="24"/>
      <c r="DO30" s="24"/>
      <c r="DP30" s="24"/>
      <c r="DQ30" s="24"/>
      <c r="DR30" s="24"/>
      <c r="DS30" s="24"/>
      <c r="DT30" s="24"/>
      <c r="DU30" s="24"/>
      <c r="DV30" s="24"/>
      <c r="DW30" s="24"/>
      <c r="DX30" s="24"/>
      <c r="DY30" s="24"/>
      <c r="DZ30" s="24"/>
      <c r="EA30" s="24"/>
      <c r="EB30" s="24"/>
      <c r="EC30" s="24"/>
      <c r="ED30" s="24"/>
      <c r="EE30" s="24"/>
      <c r="EF30" s="24"/>
      <c r="EG30" s="24"/>
      <c r="EH30" s="24"/>
      <c r="EI30" s="24"/>
      <c r="EJ30" s="24"/>
      <c r="EK30" s="24"/>
      <c r="EL30" s="24"/>
      <c r="EM30" s="24"/>
    </row>
    <row r="31" spans="1:143" s="5" customFormat="1" ht="171" customHeight="1" x14ac:dyDescent="0.2">
      <c r="A31" s="276">
        <v>9</v>
      </c>
      <c r="B31" s="269" t="s">
        <v>4575</v>
      </c>
      <c r="C31" s="269" t="s">
        <v>1266</v>
      </c>
      <c r="D31" s="189" t="s">
        <v>147</v>
      </c>
      <c r="E31" s="276" t="s">
        <v>154</v>
      </c>
      <c r="F31" s="189" t="s">
        <v>148</v>
      </c>
      <c r="G31" s="172">
        <v>2</v>
      </c>
      <c r="H31" s="276" t="s">
        <v>156</v>
      </c>
      <c r="I31" s="276">
        <v>40</v>
      </c>
      <c r="J31" s="276" t="s">
        <v>157</v>
      </c>
      <c r="K31" s="276" t="s">
        <v>848</v>
      </c>
      <c r="L31" s="189" t="s">
        <v>158</v>
      </c>
      <c r="M31" s="276" t="s">
        <v>152</v>
      </c>
      <c r="N31" s="189" t="s">
        <v>153</v>
      </c>
      <c r="O31" s="189" t="s">
        <v>62</v>
      </c>
      <c r="P31" s="276" t="s">
        <v>63</v>
      </c>
      <c r="Q31" s="276" t="s">
        <v>152</v>
      </c>
      <c r="R31" s="276">
        <v>1</v>
      </c>
      <c r="S31" s="276">
        <v>1</v>
      </c>
      <c r="T31" s="276" t="s">
        <v>65</v>
      </c>
      <c r="U31" s="276"/>
      <c r="V31" s="276"/>
      <c r="W31" s="78" t="s">
        <v>155</v>
      </c>
      <c r="X31" s="173" t="e">
        <f>100/COUNTIFS(($B$4:$B$311),C31,($D$4:$D$311),E31)</f>
        <v>#DIV/0!</v>
      </c>
      <c r="Y31" s="276">
        <f>COUNTIF(T31,"RS")</f>
        <v>1</v>
      </c>
      <c r="Z31" s="276">
        <v>0</v>
      </c>
      <c r="AA31" s="276" t="s">
        <v>1220</v>
      </c>
      <c r="AB31" s="276">
        <v>1</v>
      </c>
      <c r="AC31" s="275">
        <v>6</v>
      </c>
      <c r="AD31" s="189" t="s">
        <v>1288</v>
      </c>
      <c r="AE31" s="189" t="s">
        <v>1289</v>
      </c>
      <c r="AF31" s="189" t="s">
        <v>3008</v>
      </c>
      <c r="AG31" s="276" t="s">
        <v>1235</v>
      </c>
      <c r="AH31" s="77"/>
      <c r="AI31" s="275">
        <v>1</v>
      </c>
      <c r="AJ31" s="83" t="str">
        <f>CONCATENATE(K31,AI31)</f>
        <v>02010401</v>
      </c>
      <c r="AK31" s="83" t="s">
        <v>3049</v>
      </c>
      <c r="AL31" s="189" t="s">
        <v>1259</v>
      </c>
      <c r="AM31" s="189"/>
      <c r="AN31" s="189" t="s">
        <v>1467</v>
      </c>
      <c r="AO31" s="78" t="s">
        <v>10</v>
      </c>
      <c r="AP31" s="189" t="s">
        <v>3050</v>
      </c>
      <c r="AQ31" s="189" t="s">
        <v>3051</v>
      </c>
      <c r="AR31" s="83" t="s">
        <v>3052</v>
      </c>
      <c r="AS31" s="189" t="s">
        <v>3013</v>
      </c>
      <c r="AT31" s="83" t="s">
        <v>3037</v>
      </c>
      <c r="AU31" s="276" t="s">
        <v>3015</v>
      </c>
      <c r="AV31" s="79" t="s">
        <v>3016</v>
      </c>
      <c r="AW31" s="189" t="s">
        <v>3053</v>
      </c>
      <c r="AX31" s="275">
        <v>1</v>
      </c>
      <c r="AY31" s="276" t="str">
        <f>CONCATENATE(AJ31,AX31)</f>
        <v>020104011</v>
      </c>
      <c r="AZ31" s="276" t="s">
        <v>1373</v>
      </c>
      <c r="BA31" s="83" t="s">
        <v>3018</v>
      </c>
      <c r="BB31" s="78" t="s">
        <v>1373</v>
      </c>
      <c r="BC31" s="78" t="s">
        <v>11</v>
      </c>
      <c r="BD31" s="78" t="s">
        <v>3016</v>
      </c>
      <c r="BE31" s="78" t="s">
        <v>9</v>
      </c>
      <c r="BF31" s="83" t="s">
        <v>3019</v>
      </c>
      <c r="BG31" s="83" t="s">
        <v>3020</v>
      </c>
      <c r="BH31" s="83" t="s">
        <v>3039</v>
      </c>
      <c r="BI31" s="276" t="s">
        <v>3022</v>
      </c>
      <c r="BJ31" s="276" t="s">
        <v>3023</v>
      </c>
      <c r="BK31" s="276" t="s">
        <v>3024</v>
      </c>
      <c r="BL31" s="78" t="s">
        <v>3025</v>
      </c>
      <c r="BM31" s="78">
        <v>2015</v>
      </c>
      <c r="BN31" s="169">
        <v>0.66100000000000003</v>
      </c>
      <c r="BO31" s="169">
        <v>0.8</v>
      </c>
      <c r="BP31" s="169">
        <v>1</v>
      </c>
      <c r="BQ31" s="124">
        <f t="shared" si="0"/>
        <v>0.13900000000000001</v>
      </c>
      <c r="BR31" s="275">
        <v>5</v>
      </c>
      <c r="BS31" s="170">
        <f t="shared" si="1"/>
        <v>0.68880000000000008</v>
      </c>
      <c r="BT31" s="170">
        <v>0.66428392099571498</v>
      </c>
      <c r="BU31" s="170">
        <f t="shared" si="2"/>
        <v>3.2839209957149507E-3</v>
      </c>
      <c r="BV31" s="188">
        <f t="shared" si="3"/>
        <v>2.3625330904424105E-2</v>
      </c>
      <c r="BW31" s="188">
        <f t="shared" si="4"/>
        <v>0.71660000000000001</v>
      </c>
      <c r="BX31" s="170">
        <v>0.66731662498382105</v>
      </c>
      <c r="BY31" s="188">
        <f t="shared" si="5"/>
        <v>6.3166249838210176E-3</v>
      </c>
      <c r="BZ31" s="89">
        <f t="shared" si="6"/>
        <v>4.5443345207345449E-2</v>
      </c>
      <c r="CA31" s="188">
        <f t="shared" si="7"/>
        <v>0.74440000000000006</v>
      </c>
      <c r="CB31" s="188"/>
      <c r="CC31" s="188">
        <f t="shared" si="8"/>
        <v>-0.66100000000000003</v>
      </c>
      <c r="CD31" s="188">
        <f t="shared" si="9"/>
        <v>-4.7553956834532372</v>
      </c>
      <c r="CE31" s="188">
        <f t="shared" si="10"/>
        <v>0.7722</v>
      </c>
      <c r="CF31" s="188"/>
      <c r="CG31" s="188">
        <f t="shared" si="11"/>
        <v>-0.66100000000000003</v>
      </c>
      <c r="CH31" s="188">
        <f t="shared" si="12"/>
        <v>-4.7553956834532372</v>
      </c>
      <c r="CI31" s="188">
        <f t="shared" si="13"/>
        <v>0.8</v>
      </c>
      <c r="CJ31" s="188"/>
      <c r="CK31" s="188">
        <f t="shared" si="14"/>
        <v>-0.66100000000000003</v>
      </c>
      <c r="CL31" s="89">
        <f t="shared" si="15"/>
        <v>-4.7553956834532372</v>
      </c>
      <c r="CM31" s="89" t="s">
        <v>11</v>
      </c>
      <c r="CN31" s="188"/>
      <c r="CO31" s="188"/>
      <c r="CP31" s="188"/>
      <c r="CQ31" s="188"/>
      <c r="CR31" s="24"/>
      <c r="CS31" s="24">
        <v>31</v>
      </c>
      <c r="CT31" s="24"/>
      <c r="CU31" s="24"/>
      <c r="CV31" s="24"/>
      <c r="CW31" s="24"/>
      <c r="CX31" s="24"/>
      <c r="CY31" s="24"/>
      <c r="CZ31" s="24"/>
      <c r="DA31" s="24"/>
      <c r="DB31" s="24"/>
      <c r="DC31" s="24"/>
      <c r="DD31" s="24"/>
      <c r="DE31" s="24"/>
      <c r="DF31" s="24"/>
      <c r="DG31" s="24"/>
      <c r="DH31" s="24"/>
      <c r="DI31" s="24"/>
      <c r="DJ31" s="24"/>
      <c r="DK31" s="24"/>
      <c r="DL31" s="24"/>
      <c r="DM31" s="24"/>
      <c r="DN31" s="24"/>
      <c r="DO31" s="24"/>
      <c r="DP31" s="24"/>
      <c r="DQ31" s="24"/>
      <c r="DR31" s="24"/>
      <c r="DS31" s="24"/>
      <c r="DT31" s="24"/>
      <c r="DU31" s="24"/>
      <c r="DV31" s="24"/>
      <c r="DW31" s="24"/>
      <c r="DX31" s="24"/>
      <c r="DY31" s="24"/>
      <c r="DZ31" s="24"/>
      <c r="EA31" s="24"/>
      <c r="EB31" s="24"/>
      <c r="EC31" s="24"/>
      <c r="ED31" s="24"/>
      <c r="EE31" s="24"/>
      <c r="EF31" s="24"/>
      <c r="EG31" s="24"/>
      <c r="EH31" s="24"/>
      <c r="EI31" s="24"/>
      <c r="EJ31" s="24"/>
      <c r="EK31" s="24"/>
      <c r="EL31" s="24"/>
      <c r="EM31" s="24"/>
    </row>
    <row r="32" spans="1:143" s="5" customFormat="1" ht="185.25" customHeight="1" x14ac:dyDescent="0.2">
      <c r="A32" s="276">
        <v>9</v>
      </c>
      <c r="B32" s="269" t="s">
        <v>4575</v>
      </c>
      <c r="C32" s="269" t="s">
        <v>1266</v>
      </c>
      <c r="D32" s="189" t="s">
        <v>147</v>
      </c>
      <c r="E32" s="276" t="s">
        <v>154</v>
      </c>
      <c r="F32" s="189" t="s">
        <v>148</v>
      </c>
      <c r="G32" s="172"/>
      <c r="H32" s="276"/>
      <c r="I32" s="276"/>
      <c r="J32" s="276"/>
      <c r="K32" s="187"/>
      <c r="L32" s="189" t="s">
        <v>3007</v>
      </c>
      <c r="M32" s="276"/>
      <c r="N32" s="189"/>
      <c r="O32" s="189" t="s">
        <v>62</v>
      </c>
      <c r="P32" s="276"/>
      <c r="Q32" s="276"/>
      <c r="R32" s="276"/>
      <c r="S32" s="276"/>
      <c r="T32" s="276"/>
      <c r="U32" s="276"/>
      <c r="V32" s="276"/>
      <c r="W32" s="78"/>
      <c r="X32" s="173"/>
      <c r="Y32" s="276">
        <v>1</v>
      </c>
      <c r="Z32" s="276">
        <v>0</v>
      </c>
      <c r="AA32" s="276" t="s">
        <v>1220</v>
      </c>
      <c r="AB32" s="276"/>
      <c r="AC32" s="275">
        <v>6</v>
      </c>
      <c r="AD32" s="189" t="s">
        <v>1288</v>
      </c>
      <c r="AE32" s="189" t="s">
        <v>1289</v>
      </c>
      <c r="AF32" s="189" t="s">
        <v>3008</v>
      </c>
      <c r="AG32" s="276" t="s">
        <v>1235</v>
      </c>
      <c r="AH32" s="77"/>
      <c r="AI32" s="275"/>
      <c r="AJ32" s="275"/>
      <c r="AK32" s="83" t="s">
        <v>3009</v>
      </c>
      <c r="AL32" s="189" t="s">
        <v>1259</v>
      </c>
      <c r="AM32" s="189"/>
      <c r="AN32" s="189" t="s">
        <v>1467</v>
      </c>
      <c r="AO32" s="78" t="s">
        <v>10</v>
      </c>
      <c r="AP32" s="189" t="s">
        <v>3010</v>
      </c>
      <c r="AQ32" s="189" t="s">
        <v>3011</v>
      </c>
      <c r="AR32" s="83" t="s">
        <v>3012</v>
      </c>
      <c r="AS32" s="189" t="s">
        <v>3013</v>
      </c>
      <c r="AT32" s="83" t="s">
        <v>3014</v>
      </c>
      <c r="AU32" s="276" t="s">
        <v>3015</v>
      </c>
      <c r="AV32" s="79" t="s">
        <v>3016</v>
      </c>
      <c r="AW32" s="189" t="s">
        <v>3017</v>
      </c>
      <c r="AX32" s="275">
        <v>1</v>
      </c>
      <c r="AY32" s="276"/>
      <c r="AZ32" s="276" t="s">
        <v>1373</v>
      </c>
      <c r="BA32" s="83" t="s">
        <v>3018</v>
      </c>
      <c r="BB32" s="78" t="s">
        <v>1373</v>
      </c>
      <c r="BC32" s="78" t="s">
        <v>11</v>
      </c>
      <c r="BD32" s="78" t="s">
        <v>3016</v>
      </c>
      <c r="BE32" s="78" t="s">
        <v>9</v>
      </c>
      <c r="BF32" s="83" t="s">
        <v>3019</v>
      </c>
      <c r="BG32" s="83" t="s">
        <v>3020</v>
      </c>
      <c r="BH32" s="83" t="s">
        <v>3021</v>
      </c>
      <c r="BI32" s="276" t="s">
        <v>3022</v>
      </c>
      <c r="BJ32" s="276" t="s">
        <v>3023</v>
      </c>
      <c r="BK32" s="276" t="s">
        <v>3024</v>
      </c>
      <c r="BL32" s="78" t="s">
        <v>3025</v>
      </c>
      <c r="BM32" s="78">
        <v>2015</v>
      </c>
      <c r="BN32" s="169">
        <v>0.847202308209699</v>
      </c>
      <c r="BO32" s="169">
        <v>0.90506620952888517</v>
      </c>
      <c r="BP32" s="169">
        <v>1</v>
      </c>
      <c r="BQ32" s="124">
        <f t="shared" si="0"/>
        <v>5.7863901319186173E-2</v>
      </c>
      <c r="BR32" s="275">
        <v>5</v>
      </c>
      <c r="BS32" s="170">
        <f t="shared" si="1"/>
        <v>0.85877508847353623</v>
      </c>
      <c r="BT32" s="170">
        <v>0.85250311354722796</v>
      </c>
      <c r="BU32" s="170">
        <f t="shared" si="2"/>
        <v>5.3008053375289688E-3</v>
      </c>
      <c r="BV32" s="188">
        <f t="shared" si="3"/>
        <v>9.1608156669024304E-2</v>
      </c>
      <c r="BW32" s="188">
        <f t="shared" si="4"/>
        <v>0.87034786873737346</v>
      </c>
      <c r="BX32" s="170">
        <v>0.85580834702313102</v>
      </c>
      <c r="BY32" s="188">
        <f t="shared" si="5"/>
        <v>8.6060388134320265E-3</v>
      </c>
      <c r="BZ32" s="89">
        <f t="shared" si="6"/>
        <v>0.14872897639514132</v>
      </c>
      <c r="CA32" s="188">
        <f t="shared" si="7"/>
        <v>0.8819206490012107</v>
      </c>
      <c r="CB32" s="188"/>
      <c r="CC32" s="188">
        <f t="shared" si="8"/>
        <v>-0.847202308209699</v>
      </c>
      <c r="CD32" s="188">
        <f t="shared" si="9"/>
        <v>-14.641292565746662</v>
      </c>
      <c r="CE32" s="188">
        <f t="shared" si="10"/>
        <v>0.89349342926504793</v>
      </c>
      <c r="CF32" s="188"/>
      <c r="CG32" s="188">
        <f t="shared" si="11"/>
        <v>-0.847202308209699</v>
      </c>
      <c r="CH32" s="188">
        <f t="shared" si="12"/>
        <v>-14.641292565746662</v>
      </c>
      <c r="CI32" s="188">
        <f t="shared" si="13"/>
        <v>0.90506620952888517</v>
      </c>
      <c r="CJ32" s="188"/>
      <c r="CK32" s="188">
        <f t="shared" si="14"/>
        <v>-0.847202308209699</v>
      </c>
      <c r="CL32" s="89">
        <f t="shared" si="15"/>
        <v>-14.641292565746662</v>
      </c>
      <c r="CM32" s="89" t="s">
        <v>11</v>
      </c>
      <c r="CN32" s="188"/>
      <c r="CO32" s="188"/>
      <c r="CP32" s="188"/>
      <c r="CQ32" s="188"/>
      <c r="CR32" s="24"/>
      <c r="CS32" s="24">
        <v>32</v>
      </c>
      <c r="CT32" s="24"/>
      <c r="CU32" s="24"/>
      <c r="CV32" s="24"/>
      <c r="CW32" s="24"/>
      <c r="CX32" s="24"/>
      <c r="CY32" s="24"/>
      <c r="CZ32" s="24"/>
      <c r="DA32" s="24"/>
      <c r="DB32" s="24"/>
      <c r="DC32" s="24"/>
      <c r="DD32" s="24"/>
      <c r="DE32" s="24"/>
      <c r="DF32" s="24"/>
      <c r="DG32" s="24"/>
      <c r="DH32" s="24"/>
      <c r="DI32" s="24"/>
      <c r="DJ32" s="24"/>
      <c r="DK32" s="24"/>
      <c r="DL32" s="24"/>
      <c r="DM32" s="24"/>
      <c r="DN32" s="24"/>
      <c r="DO32" s="24"/>
      <c r="DP32" s="24"/>
      <c r="DQ32" s="24"/>
      <c r="DR32" s="24"/>
      <c r="DS32" s="24"/>
      <c r="DT32" s="24"/>
      <c r="DU32" s="24"/>
      <c r="DV32" s="24"/>
      <c r="DW32" s="24"/>
      <c r="DX32" s="24"/>
      <c r="DY32" s="24"/>
      <c r="DZ32" s="24"/>
      <c r="EA32" s="24"/>
      <c r="EB32" s="24"/>
      <c r="EC32" s="24"/>
      <c r="ED32" s="24"/>
      <c r="EE32" s="24"/>
      <c r="EF32" s="24"/>
      <c r="EG32" s="24"/>
      <c r="EH32" s="24"/>
      <c r="EI32" s="24"/>
      <c r="EJ32" s="24"/>
      <c r="EK32" s="24"/>
      <c r="EL32" s="24"/>
      <c r="EM32" s="24"/>
    </row>
    <row r="33" spans="1:143" s="5" customFormat="1" ht="185.25" customHeight="1" x14ac:dyDescent="0.2">
      <c r="A33" s="276">
        <v>9</v>
      </c>
      <c r="B33" s="269" t="s">
        <v>4575</v>
      </c>
      <c r="C33" s="269" t="s">
        <v>1266</v>
      </c>
      <c r="D33" s="189" t="s">
        <v>147</v>
      </c>
      <c r="E33" s="276" t="s">
        <v>154</v>
      </c>
      <c r="F33" s="189" t="s">
        <v>148</v>
      </c>
      <c r="G33" s="172">
        <v>3</v>
      </c>
      <c r="H33" s="276" t="s">
        <v>159</v>
      </c>
      <c r="I33" s="276">
        <v>41</v>
      </c>
      <c r="J33" s="276" t="s">
        <v>160</v>
      </c>
      <c r="K33" s="276" t="s">
        <v>849</v>
      </c>
      <c r="L33" s="189" t="s">
        <v>161</v>
      </c>
      <c r="M33" s="276" t="s">
        <v>152</v>
      </c>
      <c r="N33" s="189" t="s">
        <v>153</v>
      </c>
      <c r="O33" s="189" t="s">
        <v>62</v>
      </c>
      <c r="P33" s="276" t="s">
        <v>63</v>
      </c>
      <c r="Q33" s="276" t="s">
        <v>152</v>
      </c>
      <c r="R33" s="276">
        <v>1</v>
      </c>
      <c r="S33" s="276">
        <v>1</v>
      </c>
      <c r="T33" s="276" t="s">
        <v>65</v>
      </c>
      <c r="U33" s="276"/>
      <c r="V33" s="276"/>
      <c r="W33" s="78" t="s">
        <v>155</v>
      </c>
      <c r="X33" s="173" t="e">
        <f>100/COUNTIFS(($B$4:$B$311),C33,($D$4:$D$311),E33)</f>
        <v>#DIV/0!</v>
      </c>
      <c r="Y33" s="276">
        <f>COUNTIF(T33,"RS")</f>
        <v>1</v>
      </c>
      <c r="Z33" s="276">
        <v>0</v>
      </c>
      <c r="AA33" s="276" t="s">
        <v>1220</v>
      </c>
      <c r="AB33" s="276">
        <v>1</v>
      </c>
      <c r="AC33" s="275">
        <v>6</v>
      </c>
      <c r="AD33" s="189" t="s">
        <v>1290</v>
      </c>
      <c r="AE33" s="189" t="s">
        <v>1291</v>
      </c>
      <c r="AF33" s="189" t="s">
        <v>3026</v>
      </c>
      <c r="AG33" s="276" t="s">
        <v>1236</v>
      </c>
      <c r="AH33" s="77"/>
      <c r="AI33" s="275">
        <v>1</v>
      </c>
      <c r="AJ33" s="83" t="str">
        <f>CONCATENATE(K33,AI33)</f>
        <v>02010411</v>
      </c>
      <c r="AK33" s="83" t="s">
        <v>3027</v>
      </c>
      <c r="AL33" s="189" t="s">
        <v>1259</v>
      </c>
      <c r="AM33" s="189"/>
      <c r="AN33" s="189" t="s">
        <v>1467</v>
      </c>
      <c r="AO33" s="78" t="s">
        <v>10</v>
      </c>
      <c r="AP33" s="189" t="s">
        <v>3028</v>
      </c>
      <c r="AQ33" s="189" t="s">
        <v>3029</v>
      </c>
      <c r="AR33" s="83" t="s">
        <v>3030</v>
      </c>
      <c r="AS33" s="189" t="s">
        <v>3013</v>
      </c>
      <c r="AT33" s="83" t="s">
        <v>3031</v>
      </c>
      <c r="AU33" s="276" t="s">
        <v>3015</v>
      </c>
      <c r="AV33" s="79" t="s">
        <v>3016</v>
      </c>
      <c r="AW33" s="189" t="s">
        <v>3032</v>
      </c>
      <c r="AX33" s="275">
        <v>1</v>
      </c>
      <c r="AY33" s="276" t="str">
        <f>CONCATENATE(AJ33,AX33)</f>
        <v>020104111</v>
      </c>
      <c r="AZ33" s="276" t="s">
        <v>1373</v>
      </c>
      <c r="BA33" s="83" t="s">
        <v>3018</v>
      </c>
      <c r="BB33" s="78" t="s">
        <v>1373</v>
      </c>
      <c r="BC33" s="78" t="s">
        <v>11</v>
      </c>
      <c r="BD33" s="78" t="s">
        <v>3016</v>
      </c>
      <c r="BE33" s="78" t="s">
        <v>9</v>
      </c>
      <c r="BF33" s="83" t="s">
        <v>3019</v>
      </c>
      <c r="BG33" s="83" t="s">
        <v>3020</v>
      </c>
      <c r="BH33" s="83" t="s">
        <v>3021</v>
      </c>
      <c r="BI33" s="276" t="s">
        <v>3022</v>
      </c>
      <c r="BJ33" s="276" t="s">
        <v>3023</v>
      </c>
      <c r="BK33" s="276" t="s">
        <v>3024</v>
      </c>
      <c r="BL33" s="78" t="s">
        <v>3025</v>
      </c>
      <c r="BM33" s="78">
        <v>2015</v>
      </c>
      <c r="BN33" s="169">
        <v>0.63743575800722896</v>
      </c>
      <c r="BO33" s="168">
        <v>0.7</v>
      </c>
      <c r="BP33" s="169">
        <v>1</v>
      </c>
      <c r="BQ33" s="124">
        <f t="shared" si="0"/>
        <v>6.2564241992770997E-2</v>
      </c>
      <c r="BR33" s="275">
        <v>5</v>
      </c>
      <c r="BS33" s="170">
        <f t="shared" si="1"/>
        <v>0.64994860640578311</v>
      </c>
      <c r="BT33" s="169">
        <v>0.65553612633042602</v>
      </c>
      <c r="BU33" s="170">
        <f t="shared" si="2"/>
        <v>1.8100368323197058E-2</v>
      </c>
      <c r="BV33" s="188">
        <f t="shared" si="3"/>
        <v>0.28930852107643962</v>
      </c>
      <c r="BW33" s="188">
        <f t="shared" si="4"/>
        <v>0.66246145480433738</v>
      </c>
      <c r="BX33" s="170">
        <v>0.66254324077638305</v>
      </c>
      <c r="BY33" s="188">
        <f t="shared" si="5"/>
        <v>2.5107482769154088E-2</v>
      </c>
      <c r="BZ33" s="89">
        <f t="shared" si="6"/>
        <v>0.40130723188582929</v>
      </c>
      <c r="CA33" s="188">
        <f t="shared" si="7"/>
        <v>0.67497430320289153</v>
      </c>
      <c r="CB33" s="188"/>
      <c r="CC33" s="188">
        <f t="shared" si="8"/>
        <v>-0.63743575800722896</v>
      </c>
      <c r="CD33" s="188">
        <f t="shared" si="9"/>
        <v>-10.188499655775924</v>
      </c>
      <c r="CE33" s="188">
        <f t="shared" si="10"/>
        <v>0.6874871516014458</v>
      </c>
      <c r="CF33" s="188"/>
      <c r="CG33" s="188">
        <f t="shared" si="11"/>
        <v>-0.63743575800722896</v>
      </c>
      <c r="CH33" s="188">
        <f t="shared" si="12"/>
        <v>-10.188499655775924</v>
      </c>
      <c r="CI33" s="188">
        <f t="shared" si="13"/>
        <v>0.7</v>
      </c>
      <c r="CJ33" s="188"/>
      <c r="CK33" s="188">
        <f t="shared" si="14"/>
        <v>-0.63743575800722896</v>
      </c>
      <c r="CL33" s="89">
        <f t="shared" si="15"/>
        <v>-10.188499655775924</v>
      </c>
      <c r="CM33" s="89" t="s">
        <v>11</v>
      </c>
      <c r="CN33" s="188"/>
      <c r="CO33" s="188"/>
      <c r="CP33" s="188"/>
      <c r="CQ33" s="188"/>
      <c r="CR33" s="24"/>
      <c r="CS33" s="2">
        <v>33</v>
      </c>
      <c r="CT33" s="24"/>
      <c r="CU33" s="24"/>
      <c r="CV33" s="24"/>
      <c r="CW33" s="24"/>
      <c r="CX33" s="24"/>
      <c r="CY33" s="24"/>
      <c r="CZ33" s="24"/>
      <c r="DA33" s="24"/>
      <c r="DB33" s="24"/>
      <c r="DC33" s="24"/>
      <c r="DD33" s="24"/>
      <c r="DE33" s="24"/>
      <c r="DF33" s="24"/>
      <c r="DG33" s="24"/>
      <c r="DH33" s="24"/>
      <c r="DI33" s="24"/>
      <c r="DJ33" s="24"/>
      <c r="DK33" s="24"/>
      <c r="DL33" s="24"/>
      <c r="DM33" s="24"/>
      <c r="DN33" s="24"/>
      <c r="DO33" s="24"/>
      <c r="DP33" s="24"/>
      <c r="DQ33" s="24"/>
      <c r="DR33" s="24"/>
      <c r="DS33" s="24"/>
      <c r="DT33" s="24"/>
      <c r="DU33" s="24"/>
      <c r="DV33" s="24"/>
      <c r="DW33" s="24"/>
      <c r="DX33" s="24"/>
      <c r="DY33" s="24"/>
      <c r="DZ33" s="24"/>
      <c r="EA33" s="24"/>
      <c r="EB33" s="24"/>
      <c r="EC33" s="24"/>
      <c r="ED33" s="24"/>
      <c r="EE33" s="24"/>
      <c r="EF33" s="24"/>
      <c r="EG33" s="24"/>
      <c r="EH33" s="24"/>
      <c r="EI33" s="24"/>
      <c r="EJ33" s="24"/>
      <c r="EK33" s="24"/>
      <c r="EL33" s="24"/>
      <c r="EM33" s="24"/>
    </row>
    <row r="34" spans="1:143" s="5" customFormat="1" ht="171" customHeight="1" x14ac:dyDescent="0.2">
      <c r="A34" s="276">
        <v>9</v>
      </c>
      <c r="B34" s="269" t="s">
        <v>4575</v>
      </c>
      <c r="C34" s="269" t="s">
        <v>1266</v>
      </c>
      <c r="D34" s="189" t="s">
        <v>147</v>
      </c>
      <c r="E34" s="276" t="s">
        <v>154</v>
      </c>
      <c r="F34" s="189" t="s">
        <v>148</v>
      </c>
      <c r="G34" s="172">
        <v>4</v>
      </c>
      <c r="H34" s="276" t="s">
        <v>162</v>
      </c>
      <c r="I34" s="276">
        <v>42</v>
      </c>
      <c r="J34" s="276" t="s">
        <v>163</v>
      </c>
      <c r="K34" s="276" t="s">
        <v>850</v>
      </c>
      <c r="L34" s="189" t="s">
        <v>164</v>
      </c>
      <c r="M34" s="276" t="s">
        <v>152</v>
      </c>
      <c r="N34" s="189" t="s">
        <v>153</v>
      </c>
      <c r="O34" s="189" t="s">
        <v>62</v>
      </c>
      <c r="P34" s="276" t="s">
        <v>63</v>
      </c>
      <c r="Q34" s="276" t="s">
        <v>152</v>
      </c>
      <c r="R34" s="276">
        <v>1</v>
      </c>
      <c r="S34" s="276">
        <v>1</v>
      </c>
      <c r="T34" s="276" t="s">
        <v>65</v>
      </c>
      <c r="U34" s="276"/>
      <c r="V34" s="276"/>
      <c r="W34" s="78" t="s">
        <v>155</v>
      </c>
      <c r="X34" s="173" t="e">
        <f>100/COUNTIFS(($B$4:$B$311),C34,($D$4:$D$311),E34)</f>
        <v>#DIV/0!</v>
      </c>
      <c r="Y34" s="276">
        <f>COUNTIF(T34,"RS")</f>
        <v>1</v>
      </c>
      <c r="Z34" s="276">
        <v>0</v>
      </c>
      <c r="AA34" s="276" t="s">
        <v>1220</v>
      </c>
      <c r="AB34" s="276">
        <v>1</v>
      </c>
      <c r="AC34" s="275">
        <v>6</v>
      </c>
      <c r="AD34" s="189" t="s">
        <v>1290</v>
      </c>
      <c r="AE34" s="189" t="s">
        <v>1291</v>
      </c>
      <c r="AF34" s="189" t="s">
        <v>3026</v>
      </c>
      <c r="AG34" s="276" t="s">
        <v>1236</v>
      </c>
      <c r="AH34" s="77"/>
      <c r="AI34" s="275">
        <v>1</v>
      </c>
      <c r="AJ34" s="83" t="str">
        <f>CONCATENATE(K34,AI34)</f>
        <v>02010421</v>
      </c>
      <c r="AK34" s="83" t="s">
        <v>3033</v>
      </c>
      <c r="AL34" s="189" t="s">
        <v>1322</v>
      </c>
      <c r="AM34" s="189"/>
      <c r="AN34" s="189" t="s">
        <v>1467</v>
      </c>
      <c r="AO34" s="78" t="s">
        <v>10</v>
      </c>
      <c r="AP34" s="189" t="s">
        <v>3034</v>
      </c>
      <c r="AQ34" s="189" t="s">
        <v>3035</v>
      </c>
      <c r="AR34" s="83" t="s">
        <v>3036</v>
      </c>
      <c r="AS34" s="189" t="s">
        <v>3013</v>
      </c>
      <c r="AT34" s="83" t="s">
        <v>3037</v>
      </c>
      <c r="AU34" s="276" t="s">
        <v>3015</v>
      </c>
      <c r="AV34" s="79" t="s">
        <v>3016</v>
      </c>
      <c r="AW34" s="189" t="s">
        <v>3038</v>
      </c>
      <c r="AX34" s="275">
        <v>1</v>
      </c>
      <c r="AY34" s="276" t="str">
        <f>CONCATENATE(AJ34,AX34)</f>
        <v>020104211</v>
      </c>
      <c r="AZ34" s="276" t="s">
        <v>1373</v>
      </c>
      <c r="BA34" s="83" t="s">
        <v>3018</v>
      </c>
      <c r="BB34" s="78" t="s">
        <v>1373</v>
      </c>
      <c r="BC34" s="78" t="s">
        <v>11</v>
      </c>
      <c r="BD34" s="78" t="s">
        <v>3016</v>
      </c>
      <c r="BE34" s="78" t="s">
        <v>9</v>
      </c>
      <c r="BF34" s="83" t="s">
        <v>3019</v>
      </c>
      <c r="BG34" s="83" t="s">
        <v>3020</v>
      </c>
      <c r="BH34" s="83" t="s">
        <v>3039</v>
      </c>
      <c r="BI34" s="276" t="s">
        <v>3022</v>
      </c>
      <c r="BJ34" s="276" t="s">
        <v>3023</v>
      </c>
      <c r="BK34" s="276" t="s">
        <v>3024</v>
      </c>
      <c r="BL34" s="78" t="s">
        <v>3025</v>
      </c>
      <c r="BM34" s="78">
        <v>2015</v>
      </c>
      <c r="BN34" s="169">
        <v>0.42599999999999999</v>
      </c>
      <c r="BO34" s="169">
        <v>0.6</v>
      </c>
      <c r="BP34" s="169">
        <v>1</v>
      </c>
      <c r="BQ34" s="124">
        <f t="shared" si="0"/>
        <v>0.17399999999999999</v>
      </c>
      <c r="BR34" s="275">
        <v>5</v>
      </c>
      <c r="BS34" s="170">
        <f t="shared" si="1"/>
        <v>0.46079999999999999</v>
      </c>
      <c r="BT34" s="170">
        <v>0.43254887089718302</v>
      </c>
      <c r="BU34" s="170">
        <f t="shared" si="2"/>
        <v>6.5488708971830345E-3</v>
      </c>
      <c r="BV34" s="188">
        <f t="shared" si="3"/>
        <v>3.7637189064270313E-2</v>
      </c>
      <c r="BW34" s="188">
        <f t="shared" si="4"/>
        <v>0.49559999999999998</v>
      </c>
      <c r="BX34" s="170">
        <v>0.43309569564886802</v>
      </c>
      <c r="BY34" s="188">
        <f t="shared" si="5"/>
        <v>7.0956956488680278E-3</v>
      </c>
      <c r="BZ34" s="89">
        <f t="shared" si="6"/>
        <v>4.0779860050965677E-2</v>
      </c>
      <c r="CA34" s="188">
        <f t="shared" si="7"/>
        <v>0.53039999999999998</v>
      </c>
      <c r="CB34" s="188"/>
      <c r="CC34" s="188">
        <f t="shared" si="8"/>
        <v>-0.42599999999999999</v>
      </c>
      <c r="CD34" s="188">
        <f t="shared" si="9"/>
        <v>-2.4482758620689657</v>
      </c>
      <c r="CE34" s="188">
        <f t="shared" si="10"/>
        <v>0.56519999999999992</v>
      </c>
      <c r="CF34" s="188"/>
      <c r="CG34" s="188">
        <f t="shared" si="11"/>
        <v>-0.42599999999999999</v>
      </c>
      <c r="CH34" s="188">
        <f t="shared" si="12"/>
        <v>-2.4482758620689657</v>
      </c>
      <c r="CI34" s="188">
        <f t="shared" si="13"/>
        <v>0.6</v>
      </c>
      <c r="CJ34" s="188"/>
      <c r="CK34" s="188">
        <f t="shared" si="14"/>
        <v>-0.42599999999999999</v>
      </c>
      <c r="CL34" s="89">
        <f t="shared" si="15"/>
        <v>-2.4482758620689657</v>
      </c>
      <c r="CM34" s="89" t="s">
        <v>11</v>
      </c>
      <c r="CN34" s="188"/>
      <c r="CO34" s="188"/>
      <c r="CP34" s="188"/>
      <c r="CQ34" s="188"/>
      <c r="CR34" s="24"/>
      <c r="CS34" s="24">
        <v>34</v>
      </c>
      <c r="CT34" s="24"/>
      <c r="CU34" s="24"/>
      <c r="CV34" s="24"/>
      <c r="CW34" s="24"/>
      <c r="CX34" s="24"/>
      <c r="CY34" s="24"/>
      <c r="CZ34" s="24"/>
      <c r="DA34" s="24"/>
      <c r="DB34" s="24"/>
      <c r="DC34" s="24"/>
      <c r="DD34" s="24"/>
      <c r="DE34" s="24"/>
      <c r="DF34" s="24"/>
      <c r="DG34" s="24"/>
      <c r="DH34" s="24"/>
      <c r="DI34" s="24"/>
      <c r="DJ34" s="24"/>
      <c r="DK34" s="24"/>
      <c r="DL34" s="24"/>
      <c r="DM34" s="24"/>
      <c r="DN34" s="24"/>
      <c r="DO34" s="24"/>
      <c r="DP34" s="24"/>
      <c r="DQ34" s="24"/>
      <c r="DR34" s="24"/>
      <c r="DS34" s="24"/>
      <c r="DT34" s="24"/>
      <c r="DU34" s="24"/>
      <c r="DV34" s="24"/>
      <c r="DW34" s="24"/>
      <c r="DX34" s="24"/>
      <c r="DY34" s="24"/>
      <c r="DZ34" s="24"/>
      <c r="EA34" s="24"/>
      <c r="EB34" s="24"/>
      <c r="EC34" s="24"/>
      <c r="ED34" s="24"/>
      <c r="EE34" s="24"/>
      <c r="EF34" s="24"/>
      <c r="EG34" s="24"/>
      <c r="EH34" s="24"/>
      <c r="EI34" s="24"/>
      <c r="EJ34" s="24"/>
      <c r="EK34" s="24"/>
      <c r="EL34" s="24"/>
      <c r="EM34" s="24"/>
    </row>
    <row r="35" spans="1:143" s="5" customFormat="1" ht="171" customHeight="1" x14ac:dyDescent="0.2">
      <c r="A35" s="276">
        <v>9</v>
      </c>
      <c r="B35" s="269" t="s">
        <v>4575</v>
      </c>
      <c r="C35" s="269" t="s">
        <v>1266</v>
      </c>
      <c r="D35" s="189" t="s">
        <v>147</v>
      </c>
      <c r="E35" s="276" t="s">
        <v>154</v>
      </c>
      <c r="F35" s="189" t="s">
        <v>148</v>
      </c>
      <c r="G35" s="172"/>
      <c r="H35" s="276"/>
      <c r="I35" s="276"/>
      <c r="J35" s="276"/>
      <c r="K35" s="276"/>
      <c r="L35" s="189" t="s">
        <v>3040</v>
      </c>
      <c r="M35" s="276"/>
      <c r="N35" s="189"/>
      <c r="O35" s="189" t="s">
        <v>62</v>
      </c>
      <c r="P35" s="276"/>
      <c r="Q35" s="276"/>
      <c r="R35" s="276"/>
      <c r="S35" s="276"/>
      <c r="T35" s="276"/>
      <c r="U35" s="276"/>
      <c r="V35" s="276"/>
      <c r="W35" s="78"/>
      <c r="X35" s="173"/>
      <c r="Y35" s="276">
        <v>1</v>
      </c>
      <c r="Z35" s="276">
        <v>0</v>
      </c>
      <c r="AA35" s="276" t="s">
        <v>1220</v>
      </c>
      <c r="AB35" s="276"/>
      <c r="AC35" s="275">
        <v>6</v>
      </c>
      <c r="AD35" s="189" t="s">
        <v>1290</v>
      </c>
      <c r="AE35" s="189" t="s">
        <v>1291</v>
      </c>
      <c r="AF35" s="189" t="s">
        <v>3026</v>
      </c>
      <c r="AG35" s="276" t="s">
        <v>1236</v>
      </c>
      <c r="AH35" s="77"/>
      <c r="AI35" s="275"/>
      <c r="AJ35" s="275"/>
      <c r="AK35" s="83" t="s">
        <v>3041</v>
      </c>
      <c r="AL35" s="189" t="s">
        <v>1322</v>
      </c>
      <c r="AM35" s="189"/>
      <c r="AN35" s="189" t="s">
        <v>1467</v>
      </c>
      <c r="AO35" s="78" t="s">
        <v>10</v>
      </c>
      <c r="AP35" s="189" t="s">
        <v>3042</v>
      </c>
      <c r="AQ35" s="189" t="s">
        <v>3043</v>
      </c>
      <c r="AR35" s="83" t="s">
        <v>3012</v>
      </c>
      <c r="AS35" s="189" t="s">
        <v>3013</v>
      </c>
      <c r="AT35" s="83" t="s">
        <v>3014</v>
      </c>
      <c r="AU35" s="276" t="s">
        <v>3015</v>
      </c>
      <c r="AV35" s="79" t="s">
        <v>3016</v>
      </c>
      <c r="AW35" s="189" t="s">
        <v>3017</v>
      </c>
      <c r="AX35" s="275">
        <v>1</v>
      </c>
      <c r="AY35" s="276"/>
      <c r="AZ35" s="276" t="s">
        <v>1373</v>
      </c>
      <c r="BA35" s="83" t="s">
        <v>3018</v>
      </c>
      <c r="BB35" s="78" t="s">
        <v>1373</v>
      </c>
      <c r="BC35" s="78" t="s">
        <v>11</v>
      </c>
      <c r="BD35" s="78" t="s">
        <v>3016</v>
      </c>
      <c r="BE35" s="78" t="s">
        <v>9</v>
      </c>
      <c r="BF35" s="83" t="s">
        <v>3019</v>
      </c>
      <c r="BG35" s="83" t="s">
        <v>3020</v>
      </c>
      <c r="BH35" s="83" t="s">
        <v>3021</v>
      </c>
      <c r="BI35" s="276" t="s">
        <v>3022</v>
      </c>
      <c r="BJ35" s="276" t="s">
        <v>3023</v>
      </c>
      <c r="BK35" s="276" t="s">
        <v>3024</v>
      </c>
      <c r="BL35" s="78" t="s">
        <v>3025</v>
      </c>
      <c r="BM35" s="78">
        <v>2015</v>
      </c>
      <c r="BN35" s="169">
        <v>0.57059940713235202</v>
      </c>
      <c r="BO35" s="169">
        <v>0.67004416579179205</v>
      </c>
      <c r="BP35" s="169">
        <v>1</v>
      </c>
      <c r="BQ35" s="124">
        <f t="shared" si="0"/>
        <v>9.9444758659440025E-2</v>
      </c>
      <c r="BR35" s="275">
        <v>5</v>
      </c>
      <c r="BS35" s="170">
        <f t="shared" si="1"/>
        <v>0.59048835886424</v>
      </c>
      <c r="BT35" s="170">
        <v>0.58584036735715295</v>
      </c>
      <c r="BU35" s="170">
        <f t="shared" si="2"/>
        <v>1.5240960224800926E-2</v>
      </c>
      <c r="BV35" s="188">
        <f t="shared" si="3"/>
        <v>0.15326056828188744</v>
      </c>
      <c r="BW35" s="188">
        <f t="shared" si="4"/>
        <v>0.61037731059612799</v>
      </c>
      <c r="BX35" s="170">
        <v>0.59160650183881403</v>
      </c>
      <c r="BY35" s="188">
        <f t="shared" si="5"/>
        <v>2.1007094706462004E-2</v>
      </c>
      <c r="BZ35" s="89">
        <f t="shared" si="6"/>
        <v>0.21124386030643613</v>
      </c>
      <c r="CA35" s="188">
        <f t="shared" si="7"/>
        <v>0.63026626232801608</v>
      </c>
      <c r="CB35" s="188"/>
      <c r="CC35" s="188">
        <f t="shared" si="8"/>
        <v>-0.57059940713235202</v>
      </c>
      <c r="CD35" s="188">
        <f t="shared" si="9"/>
        <v>-5.7378530032581718</v>
      </c>
      <c r="CE35" s="188">
        <f t="shared" si="10"/>
        <v>0.65015521405990406</v>
      </c>
      <c r="CF35" s="188"/>
      <c r="CG35" s="188">
        <f t="shared" si="11"/>
        <v>-0.57059940713235202</v>
      </c>
      <c r="CH35" s="188">
        <f t="shared" si="12"/>
        <v>-5.7378530032581718</v>
      </c>
      <c r="CI35" s="188">
        <f t="shared" si="13"/>
        <v>0.67004416579179205</v>
      </c>
      <c r="CJ35" s="188"/>
      <c r="CK35" s="188">
        <f t="shared" si="14"/>
        <v>-0.57059940713235202</v>
      </c>
      <c r="CL35" s="89">
        <f t="shared" si="15"/>
        <v>-5.7378530032581718</v>
      </c>
      <c r="CM35" s="89" t="s">
        <v>11</v>
      </c>
      <c r="CN35" s="188"/>
      <c r="CO35" s="188"/>
      <c r="CP35" s="188"/>
      <c r="CQ35" s="188"/>
      <c r="CR35" s="24"/>
      <c r="CS35" s="24">
        <v>35</v>
      </c>
      <c r="CT35" s="24"/>
      <c r="CU35" s="24"/>
      <c r="CV35" s="24"/>
      <c r="CW35" s="24"/>
      <c r="CX35" s="24"/>
      <c r="CY35" s="24"/>
      <c r="CZ35" s="24"/>
      <c r="DA35" s="24"/>
      <c r="DB35" s="24"/>
      <c r="DC35" s="24"/>
      <c r="DD35" s="24"/>
      <c r="DE35" s="24"/>
      <c r="DF35" s="24"/>
      <c r="DG35" s="24"/>
      <c r="DH35" s="24"/>
      <c r="DI35" s="24"/>
      <c r="DJ35" s="24"/>
      <c r="DK35" s="24"/>
      <c r="DL35" s="24"/>
      <c r="DM35" s="24"/>
      <c r="DN35" s="24"/>
      <c r="DO35" s="24"/>
      <c r="DP35" s="24"/>
      <c r="DQ35" s="24"/>
      <c r="DR35" s="24"/>
      <c r="DS35" s="24"/>
      <c r="DT35" s="24"/>
      <c r="DU35" s="24"/>
      <c r="DV35" s="24"/>
      <c r="DW35" s="24"/>
      <c r="DX35" s="24"/>
      <c r="DY35" s="24"/>
      <c r="DZ35" s="24"/>
      <c r="EA35" s="24"/>
      <c r="EB35" s="24"/>
      <c r="EC35" s="24"/>
      <c r="ED35" s="24"/>
      <c r="EE35" s="24"/>
      <c r="EF35" s="24"/>
      <c r="EG35" s="24"/>
      <c r="EH35" s="24"/>
      <c r="EI35" s="24"/>
      <c r="EJ35" s="24"/>
      <c r="EK35" s="24"/>
      <c r="EL35" s="24"/>
      <c r="EM35" s="24"/>
    </row>
    <row r="36" spans="1:143" s="5" customFormat="1" ht="185.25" customHeight="1" x14ac:dyDescent="0.2">
      <c r="A36" s="276">
        <v>18</v>
      </c>
      <c r="B36" s="269" t="s">
        <v>4575</v>
      </c>
      <c r="C36" s="269" t="s">
        <v>1266</v>
      </c>
      <c r="D36" s="189" t="s">
        <v>147</v>
      </c>
      <c r="E36" s="276" t="s">
        <v>169</v>
      </c>
      <c r="F36" s="189" t="s">
        <v>2504</v>
      </c>
      <c r="G36" s="172">
        <v>1</v>
      </c>
      <c r="H36" s="276" t="s">
        <v>165</v>
      </c>
      <c r="I36" s="276">
        <v>43</v>
      </c>
      <c r="J36" s="276" t="s">
        <v>166</v>
      </c>
      <c r="K36" s="276" t="s">
        <v>851</v>
      </c>
      <c r="L36" s="189" t="s">
        <v>3090</v>
      </c>
      <c r="M36" s="189" t="s">
        <v>152</v>
      </c>
      <c r="N36" s="189" t="s">
        <v>168</v>
      </c>
      <c r="O36" s="276" t="s">
        <v>2505</v>
      </c>
      <c r="P36" s="276" t="s">
        <v>63</v>
      </c>
      <c r="Q36" s="189" t="s">
        <v>152</v>
      </c>
      <c r="R36" s="276">
        <v>1</v>
      </c>
      <c r="S36" s="276" t="s">
        <v>1323</v>
      </c>
      <c r="T36" s="276" t="s">
        <v>65</v>
      </c>
      <c r="U36" s="276" t="s">
        <v>1323</v>
      </c>
      <c r="V36" s="276" t="s">
        <v>1323</v>
      </c>
      <c r="W36" s="275" t="s">
        <v>170</v>
      </c>
      <c r="X36" s="173" t="e">
        <f>100/COUNTIFS(($B$4:$B$308),C36,($D$4:$D$308),E36)</f>
        <v>#DIV/0!</v>
      </c>
      <c r="Y36" s="276">
        <f>COUNTIF(T36,"RS")</f>
        <v>1</v>
      </c>
      <c r="Z36" s="276">
        <v>0</v>
      </c>
      <c r="AA36" s="276" t="s">
        <v>1220</v>
      </c>
      <c r="AB36" s="276">
        <v>1</v>
      </c>
      <c r="AC36" s="275" t="s">
        <v>2506</v>
      </c>
      <c r="AD36" s="189" t="s">
        <v>2507</v>
      </c>
      <c r="AE36" s="189" t="s">
        <v>2508</v>
      </c>
      <c r="AF36" s="275" t="s">
        <v>1323</v>
      </c>
      <c r="AG36" s="276" t="s">
        <v>1236</v>
      </c>
      <c r="AH36" s="275" t="s">
        <v>1323</v>
      </c>
      <c r="AI36" s="275">
        <v>1</v>
      </c>
      <c r="AJ36" s="276" t="str">
        <f t="shared" ref="AJ36:AJ81" si="16">CONCATENATE(K36,AI36)</f>
        <v>02020431</v>
      </c>
      <c r="AK36" s="189" t="s">
        <v>3550</v>
      </c>
      <c r="AL36" s="276" t="s">
        <v>1259</v>
      </c>
      <c r="AM36" s="276" t="s">
        <v>1347</v>
      </c>
      <c r="AN36" s="189" t="s">
        <v>2509</v>
      </c>
      <c r="AO36" s="275" t="s">
        <v>2510</v>
      </c>
      <c r="AP36" s="83" t="s">
        <v>2511</v>
      </c>
      <c r="AQ36" s="116" t="s">
        <v>3573</v>
      </c>
      <c r="AR36" s="83" t="s">
        <v>3574</v>
      </c>
      <c r="AS36" s="83" t="s">
        <v>2512</v>
      </c>
      <c r="AT36" s="83" t="s">
        <v>3575</v>
      </c>
      <c r="AU36" s="83" t="s">
        <v>2513</v>
      </c>
      <c r="AV36" s="276" t="s">
        <v>2514</v>
      </c>
      <c r="AW36" s="83" t="s">
        <v>2515</v>
      </c>
      <c r="AX36" s="275">
        <v>1</v>
      </c>
      <c r="AY36" s="276" t="str">
        <f>CONCATENATE(AJ36,AX36)</f>
        <v>020204311</v>
      </c>
      <c r="AZ36" s="189" t="s">
        <v>2516</v>
      </c>
      <c r="BA36" s="189" t="s">
        <v>2517</v>
      </c>
      <c r="BB36" s="276" t="s">
        <v>1373</v>
      </c>
      <c r="BC36" s="276" t="s">
        <v>1359</v>
      </c>
      <c r="BD36" s="172" t="s">
        <v>2514</v>
      </c>
      <c r="BE36" s="189" t="s">
        <v>2518</v>
      </c>
      <c r="BF36" s="276" t="s">
        <v>2519</v>
      </c>
      <c r="BG36" s="189" t="s">
        <v>2520</v>
      </c>
      <c r="BH36" s="189" t="s">
        <v>2521</v>
      </c>
      <c r="BI36" s="189" t="s">
        <v>2522</v>
      </c>
      <c r="BJ36" s="189" t="s">
        <v>2523</v>
      </c>
      <c r="BK36" s="189" t="s">
        <v>2524</v>
      </c>
      <c r="BL36" s="189" t="s">
        <v>2525</v>
      </c>
      <c r="BM36" s="127">
        <v>42369</v>
      </c>
      <c r="BN36" s="188">
        <f>(7390+204)/16488</f>
        <v>0.46057738961669092</v>
      </c>
      <c r="BO36" s="188">
        <f>16476/16476</f>
        <v>1</v>
      </c>
      <c r="BP36" s="275" t="s">
        <v>2526</v>
      </c>
      <c r="BQ36" s="187">
        <f t="shared" si="0"/>
        <v>0.53942261038330908</v>
      </c>
      <c r="BR36" s="275">
        <v>5</v>
      </c>
      <c r="BS36" s="188">
        <f t="shared" si="1"/>
        <v>0.56846191169335269</v>
      </c>
      <c r="BT36" s="188">
        <f>(8819+204)/16488</f>
        <v>0.54724648229015038</v>
      </c>
      <c r="BU36" s="188">
        <f t="shared" si="2"/>
        <v>8.6669092673459458E-2</v>
      </c>
      <c r="BV36" s="188">
        <f t="shared" si="3"/>
        <v>0.16067011468405662</v>
      </c>
      <c r="BW36" s="188">
        <f t="shared" si="4"/>
        <v>0.67634643377001458</v>
      </c>
      <c r="BX36" s="188">
        <f>(10510+204)/16488</f>
        <v>0.64980591945657451</v>
      </c>
      <c r="BY36" s="188">
        <f t="shared" si="5"/>
        <v>0.18922852983988359</v>
      </c>
      <c r="BZ36" s="89">
        <f t="shared" si="6"/>
        <v>0.350798290982685</v>
      </c>
      <c r="CA36" s="188">
        <f t="shared" si="7"/>
        <v>0.78423095584667635</v>
      </c>
      <c r="CB36" s="188"/>
      <c r="CC36" s="188">
        <f t="shared" si="8"/>
        <v>-0.46057738961669092</v>
      </c>
      <c r="CD36" s="188">
        <f t="shared" si="9"/>
        <v>-0.8538340454238813</v>
      </c>
      <c r="CE36" s="188">
        <f t="shared" si="10"/>
        <v>0.89211547792333823</v>
      </c>
      <c r="CF36" s="188"/>
      <c r="CG36" s="188">
        <f t="shared" si="11"/>
        <v>-0.46057738961669092</v>
      </c>
      <c r="CH36" s="188">
        <f t="shared" si="12"/>
        <v>-0.8538340454238813</v>
      </c>
      <c r="CI36" s="188">
        <f t="shared" si="13"/>
        <v>1</v>
      </c>
      <c r="CJ36" s="188"/>
      <c r="CK36" s="188">
        <f t="shared" si="14"/>
        <v>-0.46057738961669092</v>
      </c>
      <c r="CL36" s="89">
        <f t="shared" si="15"/>
        <v>-0.8538340454238813</v>
      </c>
      <c r="CM36" s="89"/>
      <c r="CN36" s="188"/>
      <c r="CO36" s="188" t="s">
        <v>1366</v>
      </c>
      <c r="CP36" s="188"/>
      <c r="CQ36" s="188"/>
      <c r="CR36" s="24"/>
      <c r="CS36" s="2">
        <v>36</v>
      </c>
      <c r="CT36" s="24"/>
      <c r="CU36" s="24"/>
      <c r="CV36" s="24"/>
      <c r="CW36" s="24"/>
      <c r="CX36" s="24"/>
      <c r="CY36" s="24"/>
      <c r="CZ36" s="24"/>
      <c r="DA36" s="24"/>
      <c r="DB36" s="24"/>
      <c r="DC36" s="24"/>
      <c r="DD36" s="24"/>
      <c r="DE36" s="24"/>
      <c r="DF36" s="24"/>
      <c r="DG36" s="24"/>
      <c r="DH36" s="24"/>
      <c r="DI36" s="24"/>
      <c r="DJ36" s="24"/>
      <c r="DK36" s="24"/>
      <c r="DL36" s="24"/>
      <c r="DM36" s="24"/>
      <c r="DN36" s="24"/>
      <c r="DO36" s="24"/>
      <c r="DP36" s="24"/>
      <c r="DQ36" s="24"/>
      <c r="DR36" s="24"/>
      <c r="DS36" s="24"/>
      <c r="DT36" s="24"/>
      <c r="DU36" s="24"/>
      <c r="DV36" s="24"/>
      <c r="DW36" s="24"/>
      <c r="DX36" s="24"/>
      <c r="DY36" s="24"/>
      <c r="DZ36" s="24"/>
      <c r="EA36" s="24"/>
      <c r="EB36" s="24"/>
      <c r="EC36" s="24"/>
      <c r="ED36" s="24"/>
      <c r="EE36" s="24"/>
      <c r="EF36" s="24"/>
      <c r="EG36" s="24"/>
      <c r="EH36" s="24"/>
      <c r="EI36" s="24"/>
      <c r="EJ36" s="24"/>
      <c r="EK36" s="24"/>
      <c r="EL36" s="24"/>
      <c r="EM36" s="24"/>
    </row>
    <row r="37" spans="1:143" s="5" customFormat="1" ht="171" customHeight="1" x14ac:dyDescent="0.2">
      <c r="A37" s="276">
        <v>18</v>
      </c>
      <c r="B37" s="269" t="s">
        <v>4575</v>
      </c>
      <c r="C37" s="269" t="s">
        <v>1266</v>
      </c>
      <c r="D37" s="189" t="s">
        <v>147</v>
      </c>
      <c r="E37" s="276" t="s">
        <v>169</v>
      </c>
      <c r="F37" s="189" t="s">
        <v>2504</v>
      </c>
      <c r="G37" s="172">
        <v>2</v>
      </c>
      <c r="H37" s="276" t="s">
        <v>171</v>
      </c>
      <c r="I37" s="276">
        <v>44</v>
      </c>
      <c r="J37" s="276" t="s">
        <v>172</v>
      </c>
      <c r="K37" s="276" t="s">
        <v>852</v>
      </c>
      <c r="L37" s="189" t="s">
        <v>2527</v>
      </c>
      <c r="M37" s="189" t="s">
        <v>152</v>
      </c>
      <c r="N37" s="189" t="s">
        <v>168</v>
      </c>
      <c r="O37" s="276" t="s">
        <v>2505</v>
      </c>
      <c r="P37" s="276" t="s">
        <v>63</v>
      </c>
      <c r="Q37" s="189" t="s">
        <v>152</v>
      </c>
      <c r="R37" s="276">
        <v>1</v>
      </c>
      <c r="S37" s="276" t="s">
        <v>1323</v>
      </c>
      <c r="T37" s="276" t="s">
        <v>65</v>
      </c>
      <c r="U37" s="276" t="s">
        <v>1323</v>
      </c>
      <c r="V37" s="276" t="s">
        <v>1323</v>
      </c>
      <c r="W37" s="275" t="s">
        <v>170</v>
      </c>
      <c r="X37" s="173" t="e">
        <f>100/COUNTIFS(($B$4:$B$308),C37,($D$4:$D$308),E37)</f>
        <v>#DIV/0!</v>
      </c>
      <c r="Y37" s="276">
        <f>COUNTIF(T37,"RS")</f>
        <v>1</v>
      </c>
      <c r="Z37" s="276">
        <v>0</v>
      </c>
      <c r="AA37" s="276" t="s">
        <v>1220</v>
      </c>
      <c r="AB37" s="276">
        <v>1</v>
      </c>
      <c r="AC37" s="275"/>
      <c r="AD37" s="189"/>
      <c r="AE37" s="189"/>
      <c r="AF37" s="275"/>
      <c r="AG37" s="276" t="s">
        <v>1364</v>
      </c>
      <c r="AH37" s="275"/>
      <c r="AI37" s="275">
        <v>2</v>
      </c>
      <c r="AJ37" s="276" t="str">
        <f t="shared" si="16"/>
        <v>02020442</v>
      </c>
      <c r="AK37" s="189" t="s">
        <v>3555</v>
      </c>
      <c r="AL37" s="276" t="s">
        <v>1259</v>
      </c>
      <c r="AM37" s="276" t="s">
        <v>1347</v>
      </c>
      <c r="AN37" s="189" t="s">
        <v>2509</v>
      </c>
      <c r="AO37" s="275" t="s">
        <v>2510</v>
      </c>
      <c r="AP37" s="83" t="s">
        <v>2528</v>
      </c>
      <c r="AQ37" s="116" t="s">
        <v>3576</v>
      </c>
      <c r="AR37" s="83" t="s">
        <v>3577</v>
      </c>
      <c r="AS37" s="83" t="s">
        <v>2512</v>
      </c>
      <c r="AT37" s="83" t="s">
        <v>3575</v>
      </c>
      <c r="AU37" s="83" t="s">
        <v>2513</v>
      </c>
      <c r="AV37" s="276" t="s">
        <v>2514</v>
      </c>
      <c r="AW37" s="83" t="s">
        <v>2515</v>
      </c>
      <c r="AX37" s="275">
        <v>1</v>
      </c>
      <c r="AY37" s="276" t="str">
        <f>CONCATENATE(AJ37,AX37)</f>
        <v>020204421</v>
      </c>
      <c r="AZ37" s="189" t="s">
        <v>2516</v>
      </c>
      <c r="BA37" s="189" t="s">
        <v>2517</v>
      </c>
      <c r="BB37" s="276" t="s">
        <v>1373</v>
      </c>
      <c r="BC37" s="276" t="s">
        <v>1359</v>
      </c>
      <c r="BD37" s="172" t="s">
        <v>2514</v>
      </c>
      <c r="BE37" s="189" t="s">
        <v>2518</v>
      </c>
      <c r="BF37" s="276" t="s">
        <v>2519</v>
      </c>
      <c r="BG37" s="189" t="s">
        <v>2520</v>
      </c>
      <c r="BH37" s="189" t="s">
        <v>2521</v>
      </c>
      <c r="BI37" s="189" t="s">
        <v>2522</v>
      </c>
      <c r="BJ37" s="189" t="s">
        <v>2523</v>
      </c>
      <c r="BK37" s="189" t="s">
        <v>2524</v>
      </c>
      <c r="BL37" s="189" t="s">
        <v>2525</v>
      </c>
      <c r="BM37" s="127">
        <v>42369</v>
      </c>
      <c r="BN37" s="188">
        <f>(5276+204)/16488</f>
        <v>0.3323629306162057</v>
      </c>
      <c r="BO37" s="188">
        <f>16476/16476</f>
        <v>1</v>
      </c>
      <c r="BP37" s="275" t="s">
        <v>2526</v>
      </c>
      <c r="BQ37" s="187">
        <f t="shared" si="0"/>
        <v>0.6676370693837943</v>
      </c>
      <c r="BR37" s="275">
        <v>5</v>
      </c>
      <c r="BS37" s="188">
        <f t="shared" si="1"/>
        <v>0.46589034449296457</v>
      </c>
      <c r="BT37" s="188">
        <f>(5634+204)/16488</f>
        <v>0.35407569141193596</v>
      </c>
      <c r="BU37" s="188">
        <f t="shared" si="2"/>
        <v>2.1712760795730257E-2</v>
      </c>
      <c r="BV37" s="188">
        <f t="shared" si="3"/>
        <v>3.2521802325581439E-2</v>
      </c>
      <c r="BW37" s="188">
        <f t="shared" si="4"/>
        <v>0.59941775836972344</v>
      </c>
      <c r="BX37" s="188">
        <f>(6131+204)/16488</f>
        <v>0.38421882581271227</v>
      </c>
      <c r="BY37" s="188">
        <f t="shared" si="5"/>
        <v>5.1855895196506574E-2</v>
      </c>
      <c r="BZ37" s="89">
        <f t="shared" si="6"/>
        <v>7.7670784883720964E-2</v>
      </c>
      <c r="CA37" s="188">
        <f t="shared" si="7"/>
        <v>0.73294517224648237</v>
      </c>
      <c r="CB37" s="188"/>
      <c r="CC37" s="188">
        <f t="shared" si="8"/>
        <v>-0.3323629306162057</v>
      </c>
      <c r="CD37" s="188">
        <f t="shared" si="9"/>
        <v>-0.49781976744186041</v>
      </c>
      <c r="CE37" s="188">
        <f t="shared" si="10"/>
        <v>0.86647258612324118</v>
      </c>
      <c r="CF37" s="188"/>
      <c r="CG37" s="188">
        <f t="shared" si="11"/>
        <v>-0.3323629306162057</v>
      </c>
      <c r="CH37" s="188">
        <f t="shared" si="12"/>
        <v>-0.49781976744186041</v>
      </c>
      <c r="CI37" s="188">
        <f t="shared" si="13"/>
        <v>1</v>
      </c>
      <c r="CJ37" s="188"/>
      <c r="CK37" s="188">
        <f t="shared" si="14"/>
        <v>-0.3323629306162057</v>
      </c>
      <c r="CL37" s="89">
        <f t="shared" si="15"/>
        <v>-0.49781976744186041</v>
      </c>
      <c r="CM37" s="89"/>
      <c r="CN37" s="188"/>
      <c r="CO37" s="188" t="s">
        <v>1366</v>
      </c>
      <c r="CP37" s="188"/>
      <c r="CQ37" s="188"/>
      <c r="CR37" s="24"/>
      <c r="CS37" s="24">
        <v>37</v>
      </c>
      <c r="CT37" s="24"/>
      <c r="CU37" s="24"/>
      <c r="CV37" s="24"/>
      <c r="CW37" s="24"/>
      <c r="CX37" s="24"/>
      <c r="CY37" s="24"/>
      <c r="CZ37" s="24"/>
      <c r="DA37" s="24"/>
      <c r="DB37" s="24"/>
      <c r="DC37" s="24"/>
      <c r="DD37" s="24"/>
      <c r="DE37" s="24"/>
      <c r="DF37" s="24"/>
      <c r="DG37" s="24"/>
      <c r="DH37" s="24"/>
      <c r="DI37" s="24"/>
      <c r="DJ37" s="24"/>
      <c r="DK37" s="24"/>
      <c r="DL37" s="24"/>
      <c r="DM37" s="24"/>
      <c r="DN37" s="24"/>
      <c r="DO37" s="24"/>
      <c r="DP37" s="24"/>
      <c r="DQ37" s="24"/>
      <c r="DR37" s="24"/>
      <c r="DS37" s="24"/>
      <c r="DT37" s="24"/>
      <c r="DU37" s="24"/>
      <c r="DV37" s="24"/>
      <c r="DW37" s="24"/>
      <c r="DX37" s="24"/>
      <c r="DY37" s="24"/>
      <c r="DZ37" s="24"/>
      <c r="EA37" s="24"/>
      <c r="EB37" s="24"/>
      <c r="EC37" s="24"/>
      <c r="ED37" s="24"/>
      <c r="EE37" s="24"/>
      <c r="EF37" s="24"/>
      <c r="EG37" s="24"/>
      <c r="EH37" s="24"/>
      <c r="EI37" s="24"/>
      <c r="EJ37" s="24"/>
      <c r="EK37" s="24"/>
      <c r="EL37" s="24"/>
      <c r="EM37" s="24"/>
    </row>
    <row r="38" spans="1:143" s="5" customFormat="1" ht="171" customHeight="1" x14ac:dyDescent="0.2">
      <c r="A38" s="276">
        <v>15</v>
      </c>
      <c r="B38" s="269" t="s">
        <v>1620</v>
      </c>
      <c r="C38" s="269" t="s">
        <v>1266</v>
      </c>
      <c r="D38" s="189" t="s">
        <v>147</v>
      </c>
      <c r="E38" s="276" t="s">
        <v>179</v>
      </c>
      <c r="F38" s="189" t="s">
        <v>174</v>
      </c>
      <c r="G38" s="172">
        <v>1</v>
      </c>
      <c r="H38" s="276" t="s">
        <v>175</v>
      </c>
      <c r="I38" s="276">
        <v>45</v>
      </c>
      <c r="J38" s="276" t="s">
        <v>176</v>
      </c>
      <c r="K38" s="276" t="s">
        <v>853</v>
      </c>
      <c r="L38" s="189" t="s">
        <v>177</v>
      </c>
      <c r="M38" s="276" t="s">
        <v>152</v>
      </c>
      <c r="N38" s="189" t="s">
        <v>178</v>
      </c>
      <c r="O38" s="189" t="s">
        <v>62</v>
      </c>
      <c r="P38" s="276" t="s">
        <v>63</v>
      </c>
      <c r="Q38" s="276" t="s">
        <v>152</v>
      </c>
      <c r="R38" s="276">
        <v>1</v>
      </c>
      <c r="S38" s="276"/>
      <c r="T38" s="276" t="s">
        <v>65</v>
      </c>
      <c r="U38" s="276"/>
      <c r="V38" s="276"/>
      <c r="W38" s="78" t="s">
        <v>170</v>
      </c>
      <c r="X38" s="173" t="e">
        <f>100/COUNTIFS(($B$4:$B$12),C38,($D$4:$D$12),E38)</f>
        <v>#DIV/0!</v>
      </c>
      <c r="Y38" s="276">
        <f>COUNTIF(T38,"RS")</f>
        <v>1</v>
      </c>
      <c r="Z38" s="276">
        <v>0</v>
      </c>
      <c r="AA38" s="276" t="s">
        <v>1220</v>
      </c>
      <c r="AB38" s="276"/>
      <c r="AC38" s="275">
        <v>7</v>
      </c>
      <c r="AD38" s="276" t="s">
        <v>1292</v>
      </c>
      <c r="AE38" s="276" t="s">
        <v>1293</v>
      </c>
      <c r="AF38" s="275"/>
      <c r="AG38" s="275" t="s">
        <v>1235</v>
      </c>
      <c r="AH38" s="77"/>
      <c r="AI38" s="275">
        <v>1</v>
      </c>
      <c r="AJ38" s="276" t="str">
        <f t="shared" si="16"/>
        <v>02030451</v>
      </c>
      <c r="AK38" s="276" t="s">
        <v>1621</v>
      </c>
      <c r="AL38" s="276" t="s">
        <v>1259</v>
      </c>
      <c r="AM38" s="189"/>
      <c r="AN38" s="276" t="s">
        <v>1622</v>
      </c>
      <c r="AO38" s="276" t="s">
        <v>10</v>
      </c>
      <c r="AP38" s="276" t="s">
        <v>1623</v>
      </c>
      <c r="AQ38" s="118" t="s">
        <v>1624</v>
      </c>
      <c r="AR38" s="276" t="s">
        <v>1625</v>
      </c>
      <c r="AS38" s="276" t="s">
        <v>1626</v>
      </c>
      <c r="AT38" s="276" t="s">
        <v>1627</v>
      </c>
      <c r="AU38" s="276" t="s">
        <v>1628</v>
      </c>
      <c r="AV38" s="275" t="s">
        <v>1629</v>
      </c>
      <c r="AW38" s="276" t="s">
        <v>1630</v>
      </c>
      <c r="AX38" s="275">
        <v>1</v>
      </c>
      <c r="AY38" s="276" t="str">
        <f>CONCATENATE($AI$4,AX38)</f>
        <v>11</v>
      </c>
      <c r="AZ38" s="276" t="s">
        <v>1631</v>
      </c>
      <c r="BA38" s="276" t="s">
        <v>1632</v>
      </c>
      <c r="BB38" s="276" t="s">
        <v>1633</v>
      </c>
      <c r="BC38" s="276" t="s">
        <v>11</v>
      </c>
      <c r="BD38" s="276" t="s">
        <v>1629</v>
      </c>
      <c r="BE38" s="276" t="s">
        <v>1634</v>
      </c>
      <c r="BF38" s="276" t="s">
        <v>1635</v>
      </c>
      <c r="BG38" s="276" t="s">
        <v>1636</v>
      </c>
      <c r="BH38" s="276" t="s">
        <v>1637</v>
      </c>
      <c r="BI38" s="276" t="s">
        <v>1638</v>
      </c>
      <c r="BJ38" s="276" t="s">
        <v>1639</v>
      </c>
      <c r="BK38" s="276" t="s">
        <v>1640</v>
      </c>
      <c r="BL38" s="276" t="s">
        <v>1641</v>
      </c>
      <c r="BM38" s="127">
        <v>42339</v>
      </c>
      <c r="BN38" s="124">
        <v>0.874</v>
      </c>
      <c r="BO38" s="81">
        <v>0.97</v>
      </c>
      <c r="BP38" s="80">
        <v>1</v>
      </c>
      <c r="BQ38" s="187">
        <f t="shared" si="0"/>
        <v>9.5999999999999974E-2</v>
      </c>
      <c r="BR38" s="275">
        <v>5</v>
      </c>
      <c r="BS38" s="188">
        <f t="shared" si="1"/>
        <v>0.89319999999999999</v>
      </c>
      <c r="BT38" s="124">
        <v>0.90300000000000002</v>
      </c>
      <c r="BU38" s="188">
        <f t="shared" si="2"/>
        <v>2.9000000000000026E-2</v>
      </c>
      <c r="BV38" s="188">
        <f t="shared" si="3"/>
        <v>0.3020833333333337</v>
      </c>
      <c r="BW38" s="188">
        <f t="shared" si="4"/>
        <v>0.91239999999999999</v>
      </c>
      <c r="BX38" s="187">
        <v>0.90700000000000003</v>
      </c>
      <c r="BY38" s="188">
        <f t="shared" si="5"/>
        <v>3.3000000000000029E-2</v>
      </c>
      <c r="BZ38" s="89">
        <f t="shared" si="6"/>
        <v>0.34375000000000039</v>
      </c>
      <c r="CA38" s="188">
        <f t="shared" si="7"/>
        <v>0.93159999999999998</v>
      </c>
      <c r="CB38" s="188"/>
      <c r="CC38" s="188">
        <f t="shared" si="8"/>
        <v>-0.874</v>
      </c>
      <c r="CD38" s="188">
        <f t="shared" si="9"/>
        <v>-9.1041666666666696</v>
      </c>
      <c r="CE38" s="188">
        <f t="shared" si="10"/>
        <v>0.95079999999999998</v>
      </c>
      <c r="CF38" s="188"/>
      <c r="CG38" s="188">
        <f t="shared" si="11"/>
        <v>-0.874</v>
      </c>
      <c r="CH38" s="188">
        <f t="shared" si="12"/>
        <v>-9.1041666666666696</v>
      </c>
      <c r="CI38" s="188">
        <f t="shared" si="13"/>
        <v>0.97</v>
      </c>
      <c r="CJ38" s="188"/>
      <c r="CK38" s="188">
        <f t="shared" si="14"/>
        <v>-0.874</v>
      </c>
      <c r="CL38" s="89">
        <f t="shared" si="15"/>
        <v>-9.1041666666666696</v>
      </c>
      <c r="CM38" s="89" t="s">
        <v>11</v>
      </c>
      <c r="CN38" s="188"/>
      <c r="CO38" s="188"/>
      <c r="CP38" s="188"/>
      <c r="CQ38" s="188"/>
      <c r="CR38" s="24"/>
      <c r="CS38" s="24">
        <v>38</v>
      </c>
      <c r="CT38" s="24"/>
      <c r="CU38" s="24"/>
      <c r="CV38" s="24"/>
      <c r="CW38" s="24"/>
      <c r="CX38" s="24"/>
      <c r="CY38" s="24"/>
      <c r="CZ38" s="24"/>
      <c r="DA38" s="24"/>
      <c r="DB38" s="24"/>
      <c r="DC38" s="24"/>
      <c r="DD38" s="24"/>
      <c r="DE38" s="24"/>
      <c r="DF38" s="24"/>
      <c r="DG38" s="24"/>
      <c r="DH38" s="24"/>
      <c r="DI38" s="24"/>
      <c r="DJ38" s="24"/>
      <c r="DK38" s="24"/>
      <c r="DL38" s="24"/>
      <c r="DM38" s="24"/>
      <c r="DN38" s="24"/>
      <c r="DO38" s="24"/>
      <c r="DP38" s="24"/>
      <c r="DQ38" s="24"/>
      <c r="DR38" s="24"/>
      <c r="DS38" s="24"/>
      <c r="DT38" s="24"/>
      <c r="DU38" s="24"/>
      <c r="DV38" s="24"/>
      <c r="DW38" s="24"/>
      <c r="DX38" s="24"/>
      <c r="DY38" s="24"/>
      <c r="DZ38" s="24"/>
      <c r="EA38" s="24"/>
      <c r="EB38" s="24"/>
      <c r="EC38" s="24"/>
      <c r="ED38" s="24"/>
      <c r="EE38" s="24"/>
      <c r="EF38" s="24"/>
      <c r="EG38" s="24"/>
      <c r="EH38" s="24"/>
      <c r="EI38" s="24"/>
      <c r="EJ38" s="24"/>
      <c r="EK38" s="24"/>
      <c r="EL38" s="24"/>
      <c r="EM38" s="24"/>
    </row>
    <row r="39" spans="1:143" s="5" customFormat="1" ht="313.5" customHeight="1" x14ac:dyDescent="0.2">
      <c r="A39" s="276">
        <v>15</v>
      </c>
      <c r="B39" s="269" t="s">
        <v>1642</v>
      </c>
      <c r="C39" s="269" t="s">
        <v>1266</v>
      </c>
      <c r="D39" s="189" t="s">
        <v>147</v>
      </c>
      <c r="E39" s="276" t="s">
        <v>179</v>
      </c>
      <c r="F39" s="189" t="s">
        <v>174</v>
      </c>
      <c r="G39" s="172">
        <v>2</v>
      </c>
      <c r="H39" s="276" t="s">
        <v>180</v>
      </c>
      <c r="I39" s="276">
        <v>46</v>
      </c>
      <c r="J39" s="276" t="s">
        <v>181</v>
      </c>
      <c r="K39" s="276" t="s">
        <v>854</v>
      </c>
      <c r="L39" s="189" t="s">
        <v>182</v>
      </c>
      <c r="M39" s="276" t="s">
        <v>152</v>
      </c>
      <c r="N39" s="189" t="s">
        <v>178</v>
      </c>
      <c r="O39" s="189" t="s">
        <v>62</v>
      </c>
      <c r="P39" s="276" t="s">
        <v>63</v>
      </c>
      <c r="Q39" s="276" t="s">
        <v>152</v>
      </c>
      <c r="R39" s="276">
        <v>1</v>
      </c>
      <c r="S39" s="276"/>
      <c r="T39" s="276" t="s">
        <v>65</v>
      </c>
      <c r="U39" s="276"/>
      <c r="V39" s="276"/>
      <c r="W39" s="78" t="s">
        <v>170</v>
      </c>
      <c r="X39" s="173" t="e">
        <f>100/COUNTIFS(($B$4:$B$12),C39,($D$4:$D$12),E39)</f>
        <v>#DIV/0!</v>
      </c>
      <c r="Y39" s="276">
        <f>COUNTIF(T39,"RS")</f>
        <v>1</v>
      </c>
      <c r="Z39" s="276">
        <v>0</v>
      </c>
      <c r="AA39" s="276" t="s">
        <v>1220</v>
      </c>
      <c r="AB39" s="276"/>
      <c r="AC39" s="275">
        <v>7</v>
      </c>
      <c r="AD39" s="189" t="s">
        <v>1292</v>
      </c>
      <c r="AE39" s="189" t="s">
        <v>1293</v>
      </c>
      <c r="AF39" s="79"/>
      <c r="AG39" s="275" t="s">
        <v>1235</v>
      </c>
      <c r="AH39" s="77"/>
      <c r="AI39" s="275">
        <v>1</v>
      </c>
      <c r="AJ39" s="83" t="str">
        <f t="shared" si="16"/>
        <v>02030461</v>
      </c>
      <c r="AK39" s="83" t="s">
        <v>1643</v>
      </c>
      <c r="AL39" s="189" t="s">
        <v>1259</v>
      </c>
      <c r="AM39" s="189"/>
      <c r="AN39" s="189" t="s">
        <v>1622</v>
      </c>
      <c r="AO39" s="83" t="s">
        <v>10</v>
      </c>
      <c r="AP39" s="189" t="s">
        <v>1644</v>
      </c>
      <c r="AQ39" s="118" t="s">
        <v>1645</v>
      </c>
      <c r="AR39" s="189" t="s">
        <v>1646</v>
      </c>
      <c r="AS39" s="276" t="s">
        <v>1626</v>
      </c>
      <c r="AT39" s="189" t="s">
        <v>1647</v>
      </c>
      <c r="AU39" s="189" t="s">
        <v>1648</v>
      </c>
      <c r="AV39" s="79" t="s">
        <v>1629</v>
      </c>
      <c r="AW39" s="189" t="s">
        <v>1649</v>
      </c>
      <c r="AX39" s="275">
        <v>1</v>
      </c>
      <c r="AY39" s="276" t="str">
        <f t="shared" ref="AY39:AY59" si="17">CONCATENATE(AJ39,AX39)</f>
        <v>020304611</v>
      </c>
      <c r="AZ39" s="276" t="s">
        <v>1631</v>
      </c>
      <c r="BA39" s="276" t="s">
        <v>1632</v>
      </c>
      <c r="BB39" s="276" t="s">
        <v>1633</v>
      </c>
      <c r="BC39" s="276" t="s">
        <v>11</v>
      </c>
      <c r="BD39" s="276" t="s">
        <v>1629</v>
      </c>
      <c r="BE39" s="276" t="s">
        <v>1634</v>
      </c>
      <c r="BF39" s="276" t="s">
        <v>1635</v>
      </c>
      <c r="BG39" s="276" t="s">
        <v>1636</v>
      </c>
      <c r="BH39" s="276" t="s">
        <v>1637</v>
      </c>
      <c r="BI39" s="276" t="s">
        <v>1638</v>
      </c>
      <c r="BJ39" s="276" t="s">
        <v>1639</v>
      </c>
      <c r="BK39" s="276" t="s">
        <v>1640</v>
      </c>
      <c r="BL39" s="276" t="s">
        <v>1641</v>
      </c>
      <c r="BM39" s="149">
        <v>42339</v>
      </c>
      <c r="BN39" s="150">
        <v>0.97199999999999998</v>
      </c>
      <c r="BO39" s="81">
        <v>1</v>
      </c>
      <c r="BP39" s="80">
        <v>1</v>
      </c>
      <c r="BQ39" s="187">
        <f t="shared" si="0"/>
        <v>2.8000000000000025E-2</v>
      </c>
      <c r="BR39" s="275">
        <v>5</v>
      </c>
      <c r="BS39" s="188">
        <f t="shared" si="1"/>
        <v>0.97760000000000002</v>
      </c>
      <c r="BT39" s="124">
        <v>0.99</v>
      </c>
      <c r="BU39" s="188">
        <f t="shared" si="2"/>
        <v>1.8000000000000016E-2</v>
      </c>
      <c r="BV39" s="188">
        <f t="shared" si="3"/>
        <v>0.6428571428571429</v>
      </c>
      <c r="BW39" s="188">
        <f t="shared" si="4"/>
        <v>0.98319999999999996</v>
      </c>
      <c r="BX39" s="80">
        <v>0.99</v>
      </c>
      <c r="BY39" s="188">
        <f t="shared" si="5"/>
        <v>1.8000000000000016E-2</v>
      </c>
      <c r="BZ39" s="89">
        <f t="shared" si="6"/>
        <v>0.6428571428571429</v>
      </c>
      <c r="CA39" s="188">
        <f t="shared" si="7"/>
        <v>0.98880000000000001</v>
      </c>
      <c r="CB39" s="188"/>
      <c r="CC39" s="188">
        <f t="shared" si="8"/>
        <v>-0.97199999999999998</v>
      </c>
      <c r="CD39" s="188">
        <f t="shared" si="9"/>
        <v>-34.71428571428568</v>
      </c>
      <c r="CE39" s="188">
        <f t="shared" si="10"/>
        <v>0.99439999999999995</v>
      </c>
      <c r="CF39" s="188"/>
      <c r="CG39" s="188">
        <f t="shared" si="11"/>
        <v>-0.97199999999999998</v>
      </c>
      <c r="CH39" s="188">
        <f t="shared" si="12"/>
        <v>-34.71428571428568</v>
      </c>
      <c r="CI39" s="188">
        <f t="shared" si="13"/>
        <v>1</v>
      </c>
      <c r="CJ39" s="188"/>
      <c r="CK39" s="188">
        <f t="shared" si="14"/>
        <v>-0.97199999999999998</v>
      </c>
      <c r="CL39" s="89">
        <f t="shared" si="15"/>
        <v>-34.71428571428568</v>
      </c>
      <c r="CM39" s="89" t="s">
        <v>11</v>
      </c>
      <c r="CN39" s="188"/>
      <c r="CO39" s="188"/>
      <c r="CP39" s="188"/>
      <c r="CQ39" s="188"/>
      <c r="CR39" s="24"/>
      <c r="CS39" s="2">
        <v>39</v>
      </c>
      <c r="CT39" s="24"/>
      <c r="CU39" s="24"/>
      <c r="CV39" s="24"/>
      <c r="CW39" s="24"/>
      <c r="CX39" s="24"/>
      <c r="CY39" s="24"/>
      <c r="CZ39" s="24"/>
      <c r="DA39" s="24"/>
      <c r="DB39" s="24"/>
      <c r="DC39" s="24"/>
      <c r="DD39" s="24"/>
      <c r="DE39" s="24"/>
      <c r="DF39" s="24"/>
      <c r="DG39" s="24"/>
      <c r="DH39" s="24"/>
      <c r="DI39" s="24"/>
      <c r="DJ39" s="24"/>
      <c r="DK39" s="24"/>
      <c r="DL39" s="24"/>
      <c r="DM39" s="24"/>
      <c r="DN39" s="24"/>
      <c r="DO39" s="24"/>
      <c r="DP39" s="24"/>
      <c r="DQ39" s="24"/>
      <c r="DR39" s="24"/>
      <c r="DS39" s="24"/>
      <c r="DT39" s="24"/>
      <c r="DU39" s="24"/>
      <c r="DV39" s="24"/>
      <c r="DW39" s="24"/>
      <c r="DX39" s="24"/>
      <c r="DY39" s="24"/>
      <c r="DZ39" s="24"/>
      <c r="EA39" s="24"/>
      <c r="EB39" s="24"/>
      <c r="EC39" s="24"/>
      <c r="ED39" s="24"/>
      <c r="EE39" s="24"/>
      <c r="EF39" s="24"/>
      <c r="EG39" s="24"/>
      <c r="EH39" s="24"/>
      <c r="EI39" s="24"/>
      <c r="EJ39" s="24"/>
      <c r="EK39" s="24"/>
      <c r="EL39" s="24"/>
      <c r="EM39" s="24"/>
    </row>
    <row r="40" spans="1:143" s="5" customFormat="1" ht="256.5" customHeight="1" x14ac:dyDescent="0.2">
      <c r="A40" s="276">
        <v>15</v>
      </c>
      <c r="B40" s="269" t="s">
        <v>1642</v>
      </c>
      <c r="C40" s="269" t="s">
        <v>1266</v>
      </c>
      <c r="D40" s="189" t="s">
        <v>147</v>
      </c>
      <c r="E40" s="276" t="s">
        <v>179</v>
      </c>
      <c r="F40" s="189" t="s">
        <v>174</v>
      </c>
      <c r="G40" s="172">
        <v>3</v>
      </c>
      <c r="H40" s="276" t="s">
        <v>183</v>
      </c>
      <c r="I40" s="276">
        <v>47</v>
      </c>
      <c r="J40" s="276" t="s">
        <v>184</v>
      </c>
      <c r="K40" s="276" t="s">
        <v>855</v>
      </c>
      <c r="L40" s="189" t="s">
        <v>185</v>
      </c>
      <c r="M40" s="276" t="s">
        <v>152</v>
      </c>
      <c r="N40" s="189" t="s">
        <v>178</v>
      </c>
      <c r="O40" s="189" t="s">
        <v>62</v>
      </c>
      <c r="P40" s="276" t="s">
        <v>63</v>
      </c>
      <c r="Q40" s="276" t="s">
        <v>152</v>
      </c>
      <c r="R40" s="276">
        <v>1</v>
      </c>
      <c r="S40" s="276"/>
      <c r="T40" s="276" t="s">
        <v>65</v>
      </c>
      <c r="U40" s="276"/>
      <c r="V40" s="276"/>
      <c r="W40" s="78" t="s">
        <v>170</v>
      </c>
      <c r="X40" s="173" t="e">
        <f>100/COUNTIFS(($B$4:$B$12),C40,($D$4:$D$12),E40)</f>
        <v>#DIV/0!</v>
      </c>
      <c r="Y40" s="276">
        <f>COUNTIF(T40,"RS")</f>
        <v>1</v>
      </c>
      <c r="Z40" s="276">
        <v>0</v>
      </c>
      <c r="AA40" s="276" t="s">
        <v>1220</v>
      </c>
      <c r="AB40" s="276"/>
      <c r="AC40" s="275">
        <v>7</v>
      </c>
      <c r="AD40" s="189" t="s">
        <v>1292</v>
      </c>
      <c r="AE40" s="189" t="s">
        <v>1293</v>
      </c>
      <c r="AF40" s="79"/>
      <c r="AG40" s="275" t="s">
        <v>1235</v>
      </c>
      <c r="AH40" s="77"/>
      <c r="AI40" s="275">
        <v>1</v>
      </c>
      <c r="AJ40" s="83" t="str">
        <f t="shared" si="16"/>
        <v>02030471</v>
      </c>
      <c r="AK40" s="83" t="s">
        <v>1650</v>
      </c>
      <c r="AL40" s="189" t="s">
        <v>1259</v>
      </c>
      <c r="AM40" s="189"/>
      <c r="AN40" s="189" t="s">
        <v>1622</v>
      </c>
      <c r="AO40" s="83" t="s">
        <v>10</v>
      </c>
      <c r="AP40" s="189" t="s">
        <v>1651</v>
      </c>
      <c r="AQ40" s="118" t="s">
        <v>1652</v>
      </c>
      <c r="AR40" s="189" t="s">
        <v>1653</v>
      </c>
      <c r="AS40" s="276" t="s">
        <v>1626</v>
      </c>
      <c r="AT40" s="189" t="s">
        <v>1654</v>
      </c>
      <c r="AU40" s="189" t="s">
        <v>1648</v>
      </c>
      <c r="AV40" s="79" t="s">
        <v>1629</v>
      </c>
      <c r="AW40" s="189" t="s">
        <v>1655</v>
      </c>
      <c r="AX40" s="275">
        <v>1</v>
      </c>
      <c r="AY40" s="276" t="str">
        <f t="shared" si="17"/>
        <v>020304711</v>
      </c>
      <c r="AZ40" s="276" t="s">
        <v>1631</v>
      </c>
      <c r="BA40" s="276" t="s">
        <v>1632</v>
      </c>
      <c r="BB40" s="276" t="s">
        <v>1633</v>
      </c>
      <c r="BC40" s="276" t="s">
        <v>11</v>
      </c>
      <c r="BD40" s="276" t="s">
        <v>1629</v>
      </c>
      <c r="BE40" s="276" t="s">
        <v>1634</v>
      </c>
      <c r="BF40" s="276" t="s">
        <v>1635</v>
      </c>
      <c r="BG40" s="276" t="s">
        <v>1636</v>
      </c>
      <c r="BH40" s="276" t="s">
        <v>1637</v>
      </c>
      <c r="BI40" s="276" t="s">
        <v>1638</v>
      </c>
      <c r="BJ40" s="276" t="s">
        <v>1639</v>
      </c>
      <c r="BK40" s="276" t="s">
        <v>1640</v>
      </c>
      <c r="BL40" s="276" t="s">
        <v>1641</v>
      </c>
      <c r="BM40" s="149">
        <v>42339</v>
      </c>
      <c r="BN40" s="150">
        <v>0.68</v>
      </c>
      <c r="BO40" s="81">
        <v>0.9</v>
      </c>
      <c r="BP40" s="80">
        <v>1</v>
      </c>
      <c r="BQ40" s="187">
        <f t="shared" si="0"/>
        <v>0.21999999999999997</v>
      </c>
      <c r="BR40" s="275">
        <v>5</v>
      </c>
      <c r="BS40" s="188">
        <f t="shared" si="1"/>
        <v>0.72400000000000009</v>
      </c>
      <c r="BT40" s="124">
        <v>0.73</v>
      </c>
      <c r="BU40" s="188">
        <f t="shared" si="2"/>
        <v>4.9999999999999933E-2</v>
      </c>
      <c r="BV40" s="188">
        <f t="shared" si="3"/>
        <v>0.22727272727272699</v>
      </c>
      <c r="BW40" s="188">
        <f t="shared" si="4"/>
        <v>0.76800000000000002</v>
      </c>
      <c r="BX40" s="187">
        <v>0.73799999999999999</v>
      </c>
      <c r="BY40" s="188">
        <f t="shared" si="5"/>
        <v>5.799999999999994E-2</v>
      </c>
      <c r="BZ40" s="89">
        <f t="shared" si="6"/>
        <v>0.26363636363636339</v>
      </c>
      <c r="CA40" s="188">
        <f t="shared" si="7"/>
        <v>0.81200000000000006</v>
      </c>
      <c r="CB40" s="188"/>
      <c r="CC40" s="188">
        <f t="shared" si="8"/>
        <v>-0.68</v>
      </c>
      <c r="CD40" s="188">
        <f t="shared" si="9"/>
        <v>-3.0909090909090917</v>
      </c>
      <c r="CE40" s="188">
        <f t="shared" si="10"/>
        <v>0.85600000000000009</v>
      </c>
      <c r="CF40" s="188"/>
      <c r="CG40" s="188">
        <f t="shared" si="11"/>
        <v>-0.68</v>
      </c>
      <c r="CH40" s="188">
        <f t="shared" si="12"/>
        <v>-3.0909090909090917</v>
      </c>
      <c r="CI40" s="188">
        <f t="shared" si="13"/>
        <v>0.9</v>
      </c>
      <c r="CJ40" s="188"/>
      <c r="CK40" s="188">
        <f t="shared" si="14"/>
        <v>-0.68</v>
      </c>
      <c r="CL40" s="89">
        <f t="shared" si="15"/>
        <v>-3.0909090909090917</v>
      </c>
      <c r="CM40" s="89" t="s">
        <v>11</v>
      </c>
      <c r="CN40" s="188"/>
      <c r="CO40" s="188"/>
      <c r="CP40" s="188"/>
      <c r="CQ40" s="188"/>
      <c r="CR40" s="24"/>
      <c r="CS40" s="24">
        <v>40</v>
      </c>
      <c r="CT40" s="24"/>
      <c r="CU40" s="24"/>
      <c r="CV40" s="24"/>
      <c r="CW40" s="24"/>
      <c r="CX40" s="24"/>
      <c r="CY40" s="24"/>
      <c r="CZ40" s="24"/>
      <c r="DA40" s="24"/>
      <c r="DB40" s="24"/>
      <c r="DC40" s="24"/>
      <c r="DD40" s="24"/>
      <c r="DE40" s="24"/>
      <c r="DF40" s="24"/>
      <c r="DG40" s="24"/>
      <c r="DH40" s="24"/>
      <c r="DI40" s="24"/>
      <c r="DJ40" s="24"/>
      <c r="DK40" s="24"/>
      <c r="DL40" s="24"/>
      <c r="DM40" s="24"/>
      <c r="DN40" s="24"/>
      <c r="DO40" s="24"/>
      <c r="DP40" s="24"/>
      <c r="DQ40" s="24"/>
      <c r="DR40" s="24"/>
      <c r="DS40" s="24"/>
      <c r="DT40" s="24"/>
      <c r="DU40" s="24"/>
      <c r="DV40" s="24"/>
      <c r="DW40" s="24"/>
      <c r="DX40" s="24"/>
      <c r="DY40" s="24"/>
      <c r="DZ40" s="24"/>
      <c r="EA40" s="24"/>
      <c r="EB40" s="24"/>
      <c r="EC40" s="24"/>
      <c r="ED40" s="24"/>
      <c r="EE40" s="24"/>
      <c r="EF40" s="24"/>
      <c r="EG40" s="24"/>
      <c r="EH40" s="24"/>
      <c r="EI40" s="24"/>
      <c r="EJ40" s="24"/>
      <c r="EK40" s="24"/>
      <c r="EL40" s="24"/>
      <c r="EM40" s="24"/>
    </row>
    <row r="41" spans="1:143" s="5" customFormat="1" ht="384.75" customHeight="1" x14ac:dyDescent="0.25">
      <c r="A41" s="276">
        <v>14</v>
      </c>
      <c r="B41" s="269" t="s">
        <v>1447</v>
      </c>
      <c r="C41" s="269" t="s">
        <v>1266</v>
      </c>
      <c r="D41" s="189" t="s">
        <v>147</v>
      </c>
      <c r="E41" s="276" t="s">
        <v>190</v>
      </c>
      <c r="F41" s="189" t="s">
        <v>186</v>
      </c>
      <c r="G41" s="172">
        <v>1</v>
      </c>
      <c r="H41" s="276" t="s">
        <v>191</v>
      </c>
      <c r="I41" s="276">
        <v>48</v>
      </c>
      <c r="J41" s="276" t="s">
        <v>192</v>
      </c>
      <c r="K41" s="276" t="s">
        <v>856</v>
      </c>
      <c r="L41" s="189" t="s">
        <v>193</v>
      </c>
      <c r="M41" s="276" t="s">
        <v>152</v>
      </c>
      <c r="N41" s="189" t="s">
        <v>188</v>
      </c>
      <c r="O41" s="189" t="s">
        <v>137</v>
      </c>
      <c r="P41" s="276" t="s">
        <v>189</v>
      </c>
      <c r="Q41" s="276" t="s">
        <v>188</v>
      </c>
      <c r="R41" s="276"/>
      <c r="S41" s="276"/>
      <c r="T41" s="276" t="s">
        <v>138</v>
      </c>
      <c r="U41" s="276"/>
      <c r="V41" s="276"/>
      <c r="W41" s="276"/>
      <c r="X41" s="173">
        <v>3.3333333333333335</v>
      </c>
      <c r="Y41" s="276">
        <v>0</v>
      </c>
      <c r="Z41" s="276">
        <v>1</v>
      </c>
      <c r="AA41" s="276" t="s">
        <v>1221</v>
      </c>
      <c r="AB41" s="276"/>
      <c r="AC41" s="275">
        <v>9</v>
      </c>
      <c r="AD41" s="189" t="s">
        <v>1294</v>
      </c>
      <c r="AE41" s="189"/>
      <c r="AF41" s="79"/>
      <c r="AG41" s="276" t="s">
        <v>1236</v>
      </c>
      <c r="AH41" s="78"/>
      <c r="AI41" s="275">
        <v>1</v>
      </c>
      <c r="AJ41" s="83" t="str">
        <f t="shared" si="16"/>
        <v>02040481</v>
      </c>
      <c r="AK41" s="83" t="s">
        <v>1550</v>
      </c>
      <c r="AL41" s="189" t="s">
        <v>137</v>
      </c>
      <c r="AM41" s="189"/>
      <c r="AN41" s="83" t="s">
        <v>1390</v>
      </c>
      <c r="AO41" s="83" t="s">
        <v>1394</v>
      </c>
      <c r="AP41" s="189" t="s">
        <v>1461</v>
      </c>
      <c r="AQ41" s="189" t="s">
        <v>1448</v>
      </c>
      <c r="AR41" s="189" t="s">
        <v>1449</v>
      </c>
      <c r="AS41" s="189" t="s">
        <v>1391</v>
      </c>
      <c r="AT41" s="189" t="s">
        <v>1395</v>
      </c>
      <c r="AU41" s="189" t="s">
        <v>1395</v>
      </c>
      <c r="AV41" s="189">
        <v>2006</v>
      </c>
      <c r="AW41" s="189" t="s">
        <v>1375</v>
      </c>
      <c r="AX41" s="276">
        <v>1</v>
      </c>
      <c r="AY41" s="276" t="str">
        <f t="shared" si="17"/>
        <v>020404811</v>
      </c>
      <c r="AZ41" s="276" t="s">
        <v>1373</v>
      </c>
      <c r="BA41" s="83" t="s">
        <v>1395</v>
      </c>
      <c r="BB41" s="83" t="s">
        <v>1392</v>
      </c>
      <c r="BC41" s="83" t="s">
        <v>1360</v>
      </c>
      <c r="BD41" s="83">
        <v>2006</v>
      </c>
      <c r="BE41" s="83" t="s">
        <v>1257</v>
      </c>
      <c r="BF41" s="83" t="s">
        <v>1467</v>
      </c>
      <c r="BG41" s="83" t="s">
        <v>1393</v>
      </c>
      <c r="BH41" s="83" t="s">
        <v>1375</v>
      </c>
      <c r="BI41" s="83" t="s">
        <v>1468</v>
      </c>
      <c r="BJ41" s="83" t="s">
        <v>1469</v>
      </c>
      <c r="BK41" s="83" t="s">
        <v>1469</v>
      </c>
      <c r="BL41" s="83">
        <v>2159800</v>
      </c>
      <c r="BM41" s="83">
        <v>2015</v>
      </c>
      <c r="BN41" s="83">
        <v>0</v>
      </c>
      <c r="BO41" s="83">
        <v>996.16</v>
      </c>
      <c r="BP41" s="83"/>
      <c r="BQ41" s="173">
        <f t="shared" si="0"/>
        <v>996.16</v>
      </c>
      <c r="BR41" s="275">
        <v>5</v>
      </c>
      <c r="BS41" s="94">
        <f t="shared" si="1"/>
        <v>199.232</v>
      </c>
      <c r="BT41" s="94">
        <v>199.232</v>
      </c>
      <c r="BU41" s="94">
        <f t="shared" si="2"/>
        <v>199.232</v>
      </c>
      <c r="BV41" s="188">
        <f t="shared" si="3"/>
        <v>0.2</v>
      </c>
      <c r="BW41" s="94">
        <f t="shared" si="4"/>
        <v>398.464</v>
      </c>
      <c r="BX41" s="138">
        <v>47.5</v>
      </c>
      <c r="BY41" s="94">
        <f t="shared" si="5"/>
        <v>47.5</v>
      </c>
      <c r="BZ41" s="89">
        <f t="shared" si="6"/>
        <v>4.7683103115965311E-2</v>
      </c>
      <c r="CA41" s="94">
        <f t="shared" si="7"/>
        <v>597.69600000000003</v>
      </c>
      <c r="CB41" s="94"/>
      <c r="CC41" s="94">
        <f t="shared" si="8"/>
        <v>0</v>
      </c>
      <c r="CD41" s="188">
        <f t="shared" si="9"/>
        <v>0</v>
      </c>
      <c r="CE41" s="94">
        <f t="shared" si="10"/>
        <v>796.928</v>
      </c>
      <c r="CF41" s="94"/>
      <c r="CG41" s="94">
        <f t="shared" si="11"/>
        <v>0</v>
      </c>
      <c r="CH41" s="188">
        <f t="shared" si="12"/>
        <v>0</v>
      </c>
      <c r="CI41" s="94">
        <f t="shared" si="13"/>
        <v>996.16</v>
      </c>
      <c r="CJ41" s="94"/>
      <c r="CK41" s="94">
        <f t="shared" si="14"/>
        <v>0</v>
      </c>
      <c r="CL41" s="89">
        <f t="shared" si="15"/>
        <v>0</v>
      </c>
      <c r="CM41" s="89" t="s">
        <v>11</v>
      </c>
      <c r="CN41" s="188" t="s">
        <v>1363</v>
      </c>
      <c r="CO41" s="188"/>
      <c r="CP41" s="188"/>
      <c r="CQ41" s="188"/>
      <c r="CR41" s="24"/>
      <c r="CS41" s="24">
        <v>41</v>
      </c>
      <c r="CT41" s="24"/>
      <c r="CU41" s="24"/>
      <c r="CV41" s="24"/>
      <c r="CW41" s="24"/>
      <c r="CX41" s="24"/>
      <c r="CY41" s="24"/>
      <c r="CZ41" s="24"/>
      <c r="DA41" s="24"/>
      <c r="DB41" s="24"/>
      <c r="DC41" s="24"/>
      <c r="DD41" s="24"/>
      <c r="DE41" s="24"/>
      <c r="DF41" s="24"/>
      <c r="DG41" s="24"/>
      <c r="DH41" s="24"/>
      <c r="DI41" s="24"/>
      <c r="DJ41" s="24"/>
      <c r="DK41" s="24"/>
      <c r="DL41" s="24"/>
      <c r="DM41" s="24"/>
      <c r="DN41" s="24"/>
      <c r="DO41" s="24"/>
      <c r="DP41" s="24"/>
      <c r="DQ41" s="24"/>
      <c r="DR41" s="24"/>
      <c r="DS41" s="24"/>
      <c r="DT41" s="24"/>
      <c r="DU41" s="24"/>
      <c r="DV41" s="24"/>
      <c r="DW41" s="24"/>
      <c r="DX41" s="24"/>
      <c r="DY41" s="24"/>
      <c r="DZ41" s="24"/>
      <c r="EA41" s="24"/>
      <c r="EB41" s="24"/>
      <c r="EC41" s="24"/>
      <c r="ED41" s="24"/>
      <c r="EE41" s="24"/>
      <c r="EF41" s="24"/>
      <c r="EG41" s="24"/>
      <c r="EH41" s="24"/>
      <c r="EI41" s="24"/>
      <c r="EJ41" s="24"/>
      <c r="EK41" s="24"/>
      <c r="EL41" s="24"/>
      <c r="EM41" s="24"/>
    </row>
    <row r="42" spans="1:143" s="5" customFormat="1" ht="171" x14ac:dyDescent="0.2">
      <c r="A42" s="276">
        <v>14</v>
      </c>
      <c r="B42" s="269" t="s">
        <v>1447</v>
      </c>
      <c r="C42" s="269" t="s">
        <v>1266</v>
      </c>
      <c r="D42" s="189" t="s">
        <v>147</v>
      </c>
      <c r="E42" s="276" t="s">
        <v>190</v>
      </c>
      <c r="F42" s="189" t="s">
        <v>186</v>
      </c>
      <c r="G42" s="172">
        <v>1</v>
      </c>
      <c r="H42" s="276" t="s">
        <v>191</v>
      </c>
      <c r="I42" s="276">
        <v>48</v>
      </c>
      <c r="J42" s="276" t="s">
        <v>192</v>
      </c>
      <c r="K42" s="276" t="s">
        <v>856</v>
      </c>
      <c r="L42" s="189" t="s">
        <v>193</v>
      </c>
      <c r="M42" s="276" t="s">
        <v>152</v>
      </c>
      <c r="N42" s="189" t="s">
        <v>188</v>
      </c>
      <c r="O42" s="189" t="s">
        <v>137</v>
      </c>
      <c r="P42" s="276" t="s">
        <v>189</v>
      </c>
      <c r="Q42" s="276" t="s">
        <v>188</v>
      </c>
      <c r="R42" s="276"/>
      <c r="S42" s="276"/>
      <c r="T42" s="276" t="s">
        <v>138</v>
      </c>
      <c r="U42" s="276"/>
      <c r="V42" s="276"/>
      <c r="W42" s="276"/>
      <c r="X42" s="173">
        <v>3.3333333333333335</v>
      </c>
      <c r="Y42" s="276">
        <v>0</v>
      </c>
      <c r="Z42" s="276">
        <v>1</v>
      </c>
      <c r="AA42" s="276" t="s">
        <v>1221</v>
      </c>
      <c r="AB42" s="276"/>
      <c r="AC42" s="275">
        <v>9</v>
      </c>
      <c r="AD42" s="189" t="s">
        <v>1294</v>
      </c>
      <c r="AE42" s="189"/>
      <c r="AF42" s="79"/>
      <c r="AG42" s="276" t="s">
        <v>1236</v>
      </c>
      <c r="AH42" s="78"/>
      <c r="AI42" s="275">
        <v>2</v>
      </c>
      <c r="AJ42" s="83" t="str">
        <f t="shared" si="16"/>
        <v>02040482</v>
      </c>
      <c r="AK42" s="83" t="s">
        <v>1551</v>
      </c>
      <c r="AL42" s="189" t="s">
        <v>78</v>
      </c>
      <c r="AM42" s="189"/>
      <c r="AN42" s="83" t="s">
        <v>1390</v>
      </c>
      <c r="AO42" s="83" t="s">
        <v>10</v>
      </c>
      <c r="AP42" s="189" t="s">
        <v>1462</v>
      </c>
      <c r="AQ42" s="189" t="s">
        <v>1450</v>
      </c>
      <c r="AR42" s="189" t="s">
        <v>1449</v>
      </c>
      <c r="AS42" s="189" t="s">
        <v>1391</v>
      </c>
      <c r="AT42" s="189" t="s">
        <v>1451</v>
      </c>
      <c r="AU42" s="189" t="s">
        <v>1391</v>
      </c>
      <c r="AV42" s="189">
        <v>2006</v>
      </c>
      <c r="AW42" s="189" t="s">
        <v>1375</v>
      </c>
      <c r="AX42" s="276">
        <v>1</v>
      </c>
      <c r="AY42" s="276" t="str">
        <f t="shared" si="17"/>
        <v>020404821</v>
      </c>
      <c r="AZ42" s="276" t="s">
        <v>1373</v>
      </c>
      <c r="BA42" s="83" t="s">
        <v>1395</v>
      </c>
      <c r="BB42" s="83" t="s">
        <v>1392</v>
      </c>
      <c r="BC42" s="83" t="s">
        <v>1360</v>
      </c>
      <c r="BD42" s="83">
        <v>2006</v>
      </c>
      <c r="BE42" s="83" t="s">
        <v>1257</v>
      </c>
      <c r="BF42" s="83" t="s">
        <v>1467</v>
      </c>
      <c r="BG42" s="83" t="s">
        <v>1393</v>
      </c>
      <c r="BH42" s="83" t="s">
        <v>1375</v>
      </c>
      <c r="BI42" s="83" t="s">
        <v>1468</v>
      </c>
      <c r="BJ42" s="83" t="s">
        <v>1469</v>
      </c>
      <c r="BK42" s="83" t="s">
        <v>1469</v>
      </c>
      <c r="BL42" s="83">
        <v>2159800</v>
      </c>
      <c r="BM42" s="83">
        <v>2015</v>
      </c>
      <c r="BN42" s="83">
        <v>0</v>
      </c>
      <c r="BO42" s="83">
        <v>1</v>
      </c>
      <c r="BP42" s="83"/>
      <c r="BQ42" s="81">
        <f t="shared" si="0"/>
        <v>1</v>
      </c>
      <c r="BR42" s="275">
        <v>5</v>
      </c>
      <c r="BS42" s="139">
        <f t="shared" si="1"/>
        <v>0.2</v>
      </c>
      <c r="BT42" s="188">
        <v>0.2</v>
      </c>
      <c r="BU42" s="188">
        <f t="shared" si="2"/>
        <v>0.2</v>
      </c>
      <c r="BV42" s="188">
        <f t="shared" si="3"/>
        <v>0.2</v>
      </c>
      <c r="BW42" s="139">
        <f t="shared" si="4"/>
        <v>0.4</v>
      </c>
      <c r="BX42" s="140">
        <v>4.7683103115965311E-2</v>
      </c>
      <c r="BY42" s="188">
        <f t="shared" si="5"/>
        <v>4.7683103115965311E-2</v>
      </c>
      <c r="BZ42" s="89">
        <f t="shared" si="6"/>
        <v>4.7683103115965311E-2</v>
      </c>
      <c r="CA42" s="188">
        <f t="shared" si="7"/>
        <v>0.60000000000000009</v>
      </c>
      <c r="CB42" s="188"/>
      <c r="CC42" s="188">
        <f t="shared" si="8"/>
        <v>0</v>
      </c>
      <c r="CD42" s="188">
        <f t="shared" si="9"/>
        <v>0</v>
      </c>
      <c r="CE42" s="188">
        <f t="shared" si="10"/>
        <v>0.8</v>
      </c>
      <c r="CF42" s="188"/>
      <c r="CG42" s="188">
        <f t="shared" si="11"/>
        <v>0</v>
      </c>
      <c r="CH42" s="188">
        <f t="shared" si="12"/>
        <v>0</v>
      </c>
      <c r="CI42" s="188">
        <f t="shared" si="13"/>
        <v>1</v>
      </c>
      <c r="CJ42" s="188"/>
      <c r="CK42" s="188">
        <f t="shared" si="14"/>
        <v>0</v>
      </c>
      <c r="CL42" s="89">
        <f t="shared" si="15"/>
        <v>0</v>
      </c>
      <c r="CM42" s="89" t="s">
        <v>11</v>
      </c>
      <c r="CN42" s="188" t="s">
        <v>1363</v>
      </c>
      <c r="CO42" s="188"/>
      <c r="CP42" s="188"/>
      <c r="CQ42" s="188"/>
      <c r="CR42" s="24"/>
      <c r="CS42" s="2">
        <v>42</v>
      </c>
      <c r="CT42" s="24"/>
      <c r="CU42" s="24"/>
      <c r="CV42" s="24"/>
      <c r="CW42" s="24"/>
      <c r="CX42" s="24"/>
      <c r="CY42" s="24"/>
      <c r="CZ42" s="24"/>
      <c r="DA42" s="24"/>
      <c r="DB42" s="24"/>
      <c r="DC42" s="24"/>
      <c r="DD42" s="24"/>
      <c r="DE42" s="24"/>
      <c r="DF42" s="24"/>
      <c r="DG42" s="24"/>
      <c r="DH42" s="24"/>
      <c r="DI42" s="24"/>
      <c r="DJ42" s="24"/>
      <c r="DK42" s="24"/>
      <c r="DL42" s="24"/>
      <c r="DM42" s="24"/>
      <c r="DN42" s="24"/>
      <c r="DO42" s="24"/>
      <c r="DP42" s="24"/>
      <c r="DQ42" s="24"/>
      <c r="DR42" s="24"/>
      <c r="DS42" s="24"/>
      <c r="DT42" s="24"/>
      <c r="DU42" s="24"/>
      <c r="DV42" s="24"/>
      <c r="DW42" s="24"/>
      <c r="DX42" s="24"/>
      <c r="DY42" s="24"/>
      <c r="DZ42" s="24"/>
      <c r="EA42" s="24"/>
      <c r="EB42" s="24"/>
      <c r="EC42" s="24"/>
      <c r="ED42" s="24"/>
      <c r="EE42" s="24"/>
      <c r="EF42" s="24"/>
      <c r="EG42" s="24"/>
      <c r="EH42" s="24"/>
      <c r="EI42" s="24"/>
      <c r="EJ42" s="24"/>
      <c r="EK42" s="24"/>
      <c r="EL42" s="24"/>
      <c r="EM42" s="24"/>
    </row>
    <row r="43" spans="1:143" s="1" customFormat="1" ht="171" x14ac:dyDescent="0.25">
      <c r="A43" s="276">
        <v>14</v>
      </c>
      <c r="B43" s="269" t="s">
        <v>1447</v>
      </c>
      <c r="C43" s="269" t="s">
        <v>1266</v>
      </c>
      <c r="D43" s="189" t="s">
        <v>147</v>
      </c>
      <c r="E43" s="276" t="s">
        <v>190</v>
      </c>
      <c r="F43" s="189" t="s">
        <v>186</v>
      </c>
      <c r="G43" s="172">
        <v>2</v>
      </c>
      <c r="H43" s="276" t="s">
        <v>194</v>
      </c>
      <c r="I43" s="276">
        <v>49</v>
      </c>
      <c r="J43" s="276" t="s">
        <v>195</v>
      </c>
      <c r="K43" s="276" t="s">
        <v>857</v>
      </c>
      <c r="L43" s="189" t="s">
        <v>196</v>
      </c>
      <c r="M43" s="276" t="s">
        <v>152</v>
      </c>
      <c r="N43" s="189" t="s">
        <v>188</v>
      </c>
      <c r="O43" s="189" t="s">
        <v>137</v>
      </c>
      <c r="P43" s="276" t="s">
        <v>189</v>
      </c>
      <c r="Q43" s="276" t="s">
        <v>188</v>
      </c>
      <c r="R43" s="276"/>
      <c r="S43" s="276"/>
      <c r="T43" s="276" t="s">
        <v>138</v>
      </c>
      <c r="U43" s="276"/>
      <c r="V43" s="276"/>
      <c r="W43" s="276"/>
      <c r="X43" s="173">
        <v>3.3333333333333335</v>
      </c>
      <c r="Y43" s="276">
        <v>0</v>
      </c>
      <c r="Z43" s="276">
        <v>1</v>
      </c>
      <c r="AA43" s="276" t="s">
        <v>1221</v>
      </c>
      <c r="AB43" s="276"/>
      <c r="AC43" s="275">
        <v>9</v>
      </c>
      <c r="AD43" s="189" t="s">
        <v>1294</v>
      </c>
      <c r="AE43" s="189"/>
      <c r="AF43" s="79"/>
      <c r="AG43" s="276" t="s">
        <v>1236</v>
      </c>
      <c r="AH43" s="78"/>
      <c r="AI43" s="275">
        <v>1</v>
      </c>
      <c r="AJ43" s="83" t="str">
        <f t="shared" si="16"/>
        <v>02040491</v>
      </c>
      <c r="AK43" s="83" t="s">
        <v>1552</v>
      </c>
      <c r="AL43" s="189" t="s">
        <v>137</v>
      </c>
      <c r="AM43" s="189"/>
      <c r="AN43" s="83" t="s">
        <v>1390</v>
      </c>
      <c r="AO43" s="83" t="s">
        <v>1394</v>
      </c>
      <c r="AP43" s="189" t="s">
        <v>1463</v>
      </c>
      <c r="AQ43" s="189" t="s">
        <v>1452</v>
      </c>
      <c r="AR43" s="189" t="s">
        <v>1453</v>
      </c>
      <c r="AS43" s="189" t="s">
        <v>1391</v>
      </c>
      <c r="AT43" s="189" t="s">
        <v>1395</v>
      </c>
      <c r="AU43" s="189" t="s">
        <v>1395</v>
      </c>
      <c r="AV43" s="189">
        <v>2006</v>
      </c>
      <c r="AW43" s="189" t="s">
        <v>1375</v>
      </c>
      <c r="AX43" s="276">
        <v>1</v>
      </c>
      <c r="AY43" s="276" t="str">
        <f t="shared" si="17"/>
        <v>020404911</v>
      </c>
      <c r="AZ43" s="276" t="s">
        <v>1373</v>
      </c>
      <c r="BA43" s="83" t="s">
        <v>1395</v>
      </c>
      <c r="BB43" s="83" t="s">
        <v>1392</v>
      </c>
      <c r="BC43" s="83" t="s">
        <v>1360</v>
      </c>
      <c r="BD43" s="83">
        <v>2006</v>
      </c>
      <c r="BE43" s="83" t="s">
        <v>1257</v>
      </c>
      <c r="BF43" s="83" t="s">
        <v>1467</v>
      </c>
      <c r="BG43" s="83" t="s">
        <v>1393</v>
      </c>
      <c r="BH43" s="83" t="s">
        <v>1375</v>
      </c>
      <c r="BI43" s="83" t="s">
        <v>1468</v>
      </c>
      <c r="BJ43" s="83" t="s">
        <v>1469</v>
      </c>
      <c r="BK43" s="83" t="s">
        <v>1469</v>
      </c>
      <c r="BL43" s="83">
        <v>2159800</v>
      </c>
      <c r="BM43" s="83">
        <v>2015</v>
      </c>
      <c r="BN43" s="83">
        <v>0</v>
      </c>
      <c r="BO43" s="83">
        <v>740.72</v>
      </c>
      <c r="BP43" s="83"/>
      <c r="BQ43" s="173">
        <f t="shared" si="0"/>
        <v>740.72</v>
      </c>
      <c r="BR43" s="275">
        <v>5</v>
      </c>
      <c r="BS43" s="94">
        <f t="shared" si="1"/>
        <v>148.14400000000001</v>
      </c>
      <c r="BT43" s="94">
        <v>148.14400000000001</v>
      </c>
      <c r="BU43" s="94">
        <f t="shared" si="2"/>
        <v>148.14400000000001</v>
      </c>
      <c r="BV43" s="188">
        <f t="shared" si="3"/>
        <v>0.2</v>
      </c>
      <c r="BW43" s="94">
        <f t="shared" si="4"/>
        <v>296.28800000000001</v>
      </c>
      <c r="BX43" s="138">
        <v>222.07</v>
      </c>
      <c r="BY43" s="94">
        <f t="shared" si="5"/>
        <v>222.07</v>
      </c>
      <c r="BZ43" s="89">
        <f t="shared" si="6"/>
        <v>0.29980289448104547</v>
      </c>
      <c r="CA43" s="94">
        <f t="shared" si="7"/>
        <v>444.43200000000002</v>
      </c>
      <c r="CB43" s="94"/>
      <c r="CC43" s="94">
        <f t="shared" si="8"/>
        <v>0</v>
      </c>
      <c r="CD43" s="188">
        <f t="shared" si="9"/>
        <v>0</v>
      </c>
      <c r="CE43" s="94">
        <f t="shared" si="10"/>
        <v>592.57600000000002</v>
      </c>
      <c r="CF43" s="94"/>
      <c r="CG43" s="94">
        <f t="shared" si="11"/>
        <v>0</v>
      </c>
      <c r="CH43" s="188">
        <f t="shared" si="12"/>
        <v>0</v>
      </c>
      <c r="CI43" s="94">
        <f t="shared" si="13"/>
        <v>740.72</v>
      </c>
      <c r="CJ43" s="94"/>
      <c r="CK43" s="94">
        <f t="shared" si="14"/>
        <v>0</v>
      </c>
      <c r="CL43" s="89">
        <f t="shared" si="15"/>
        <v>0</v>
      </c>
      <c r="CM43" s="89" t="s">
        <v>11</v>
      </c>
      <c r="CN43" s="188" t="s">
        <v>1363</v>
      </c>
      <c r="CO43" s="188"/>
      <c r="CP43" s="188"/>
      <c r="CQ43" s="188"/>
      <c r="CS43" s="24">
        <v>43</v>
      </c>
    </row>
    <row r="44" spans="1:143" ht="242.25" customHeight="1" x14ac:dyDescent="0.25">
      <c r="A44" s="276">
        <v>14</v>
      </c>
      <c r="B44" s="269" t="s">
        <v>1447</v>
      </c>
      <c r="C44" s="269" t="s">
        <v>1266</v>
      </c>
      <c r="D44" s="189" t="s">
        <v>147</v>
      </c>
      <c r="E44" s="276" t="s">
        <v>190</v>
      </c>
      <c r="F44" s="189" t="s">
        <v>186</v>
      </c>
      <c r="G44" s="172">
        <v>2</v>
      </c>
      <c r="H44" s="276" t="s">
        <v>194</v>
      </c>
      <c r="I44" s="276">
        <v>49</v>
      </c>
      <c r="J44" s="276" t="s">
        <v>195</v>
      </c>
      <c r="K44" s="276" t="s">
        <v>857</v>
      </c>
      <c r="L44" s="189" t="s">
        <v>196</v>
      </c>
      <c r="M44" s="276" t="s">
        <v>152</v>
      </c>
      <c r="N44" s="189" t="s">
        <v>188</v>
      </c>
      <c r="O44" s="189" t="s">
        <v>137</v>
      </c>
      <c r="P44" s="276" t="s">
        <v>189</v>
      </c>
      <c r="Q44" s="276" t="s">
        <v>188</v>
      </c>
      <c r="R44" s="276"/>
      <c r="S44" s="276"/>
      <c r="T44" s="276" t="s">
        <v>138</v>
      </c>
      <c r="U44" s="276"/>
      <c r="V44" s="276"/>
      <c r="W44" s="276"/>
      <c r="X44" s="173">
        <v>3.3333333333333335</v>
      </c>
      <c r="Y44" s="276">
        <v>0</v>
      </c>
      <c r="Z44" s="276">
        <v>1</v>
      </c>
      <c r="AA44" s="276" t="s">
        <v>1221</v>
      </c>
      <c r="AB44" s="276"/>
      <c r="AC44" s="275">
        <v>9</v>
      </c>
      <c r="AD44" s="189" t="s">
        <v>1294</v>
      </c>
      <c r="AE44" s="189"/>
      <c r="AF44" s="79"/>
      <c r="AG44" s="276" t="s">
        <v>1236</v>
      </c>
      <c r="AH44" s="78"/>
      <c r="AI44" s="275">
        <v>2</v>
      </c>
      <c r="AJ44" s="83" t="str">
        <f t="shared" si="16"/>
        <v>02040492</v>
      </c>
      <c r="AK44" s="83" t="s">
        <v>1553</v>
      </c>
      <c r="AL44" s="189" t="s">
        <v>78</v>
      </c>
      <c r="AM44" s="189"/>
      <c r="AN44" s="83" t="s">
        <v>1390</v>
      </c>
      <c r="AO44" s="83" t="s">
        <v>10</v>
      </c>
      <c r="AP44" s="189" t="s">
        <v>1464</v>
      </c>
      <c r="AQ44" s="189" t="s">
        <v>1454</v>
      </c>
      <c r="AR44" s="189" t="s">
        <v>1453</v>
      </c>
      <c r="AS44" s="189" t="s">
        <v>1391</v>
      </c>
      <c r="AT44" s="189" t="s">
        <v>1455</v>
      </c>
      <c r="AU44" s="189" t="s">
        <v>1391</v>
      </c>
      <c r="AV44" s="189">
        <v>2006</v>
      </c>
      <c r="AW44" s="189" t="s">
        <v>1375</v>
      </c>
      <c r="AX44" s="276">
        <v>1</v>
      </c>
      <c r="AY44" s="276" t="str">
        <f t="shared" si="17"/>
        <v>020404921</v>
      </c>
      <c r="AZ44" s="276" t="s">
        <v>1373</v>
      </c>
      <c r="BA44" s="83" t="s">
        <v>1395</v>
      </c>
      <c r="BB44" s="83" t="s">
        <v>1392</v>
      </c>
      <c r="BC44" s="83" t="s">
        <v>1360</v>
      </c>
      <c r="BD44" s="83">
        <v>2006</v>
      </c>
      <c r="BE44" s="83" t="s">
        <v>1257</v>
      </c>
      <c r="BF44" s="83" t="s">
        <v>1467</v>
      </c>
      <c r="BG44" s="83" t="s">
        <v>1393</v>
      </c>
      <c r="BH44" s="83" t="s">
        <v>1375</v>
      </c>
      <c r="BI44" s="83" t="s">
        <v>1468</v>
      </c>
      <c r="BJ44" s="83" t="s">
        <v>1469</v>
      </c>
      <c r="BK44" s="83" t="s">
        <v>1469</v>
      </c>
      <c r="BL44" s="83">
        <v>2159800</v>
      </c>
      <c r="BM44" s="83">
        <v>2015</v>
      </c>
      <c r="BN44" s="83">
        <v>0</v>
      </c>
      <c r="BO44" s="83">
        <v>1</v>
      </c>
      <c r="BP44" s="83"/>
      <c r="BQ44" s="81">
        <f t="shared" si="0"/>
        <v>1</v>
      </c>
      <c r="BR44" s="275">
        <v>5</v>
      </c>
      <c r="BS44" s="139">
        <f t="shared" si="1"/>
        <v>0.2</v>
      </c>
      <c r="BT44" s="188">
        <v>0.2</v>
      </c>
      <c r="BU44" s="188">
        <f t="shared" si="2"/>
        <v>0.2</v>
      </c>
      <c r="BV44" s="188">
        <f t="shared" si="3"/>
        <v>0.2</v>
      </c>
      <c r="BW44" s="139">
        <f t="shared" si="4"/>
        <v>0.4</v>
      </c>
      <c r="BX44" s="140">
        <v>0.29980289448104547</v>
      </c>
      <c r="BY44" s="188">
        <f t="shared" si="5"/>
        <v>0.29980289448104547</v>
      </c>
      <c r="BZ44" s="89">
        <f t="shared" si="6"/>
        <v>0.29980289448104547</v>
      </c>
      <c r="CA44" s="188">
        <f t="shared" si="7"/>
        <v>0.60000000000000009</v>
      </c>
      <c r="CB44" s="188"/>
      <c r="CC44" s="188">
        <f t="shared" si="8"/>
        <v>0</v>
      </c>
      <c r="CD44" s="188">
        <f t="shared" si="9"/>
        <v>0</v>
      </c>
      <c r="CE44" s="188">
        <f t="shared" si="10"/>
        <v>0.8</v>
      </c>
      <c r="CF44" s="188"/>
      <c r="CG44" s="188">
        <f t="shared" si="11"/>
        <v>0</v>
      </c>
      <c r="CH44" s="188">
        <f t="shared" si="12"/>
        <v>0</v>
      </c>
      <c r="CI44" s="188">
        <f t="shared" si="13"/>
        <v>1</v>
      </c>
      <c r="CJ44" s="188"/>
      <c r="CK44" s="188">
        <f t="shared" si="14"/>
        <v>0</v>
      </c>
      <c r="CL44" s="89">
        <f t="shared" si="15"/>
        <v>0</v>
      </c>
      <c r="CM44" s="89" t="s">
        <v>11</v>
      </c>
      <c r="CN44" s="188" t="s">
        <v>1363</v>
      </c>
      <c r="CO44" s="188"/>
      <c r="CP44" s="188"/>
      <c r="CQ44" s="188"/>
      <c r="CR44" s="52"/>
      <c r="CS44" s="24">
        <v>44</v>
      </c>
      <c r="CT44" s="36"/>
      <c r="CU44" s="36"/>
      <c r="CV44" s="36"/>
      <c r="CW44" s="36"/>
      <c r="CX44" s="36"/>
      <c r="CY44" s="36"/>
      <c r="CZ44" s="36"/>
      <c r="DA44" s="36"/>
      <c r="DB44" s="36"/>
    </row>
    <row r="45" spans="1:143" ht="242.25" customHeight="1" x14ac:dyDescent="0.25">
      <c r="A45" s="276">
        <v>14</v>
      </c>
      <c r="B45" s="269" t="s">
        <v>1447</v>
      </c>
      <c r="C45" s="269" t="s">
        <v>1266</v>
      </c>
      <c r="D45" s="189" t="s">
        <v>147</v>
      </c>
      <c r="E45" s="276" t="s">
        <v>190</v>
      </c>
      <c r="F45" s="189" t="s">
        <v>186</v>
      </c>
      <c r="G45" s="172">
        <v>3</v>
      </c>
      <c r="H45" s="276" t="s">
        <v>198</v>
      </c>
      <c r="I45" s="276">
        <v>50</v>
      </c>
      <c r="J45" s="276" t="s">
        <v>199</v>
      </c>
      <c r="K45" s="269" t="s">
        <v>858</v>
      </c>
      <c r="L45" s="189" t="s">
        <v>200</v>
      </c>
      <c r="M45" s="276" t="s">
        <v>152</v>
      </c>
      <c r="N45" s="189" t="s">
        <v>188</v>
      </c>
      <c r="O45" s="189" t="s">
        <v>137</v>
      </c>
      <c r="P45" s="276" t="s">
        <v>189</v>
      </c>
      <c r="Q45" s="276" t="s">
        <v>188</v>
      </c>
      <c r="R45" s="276"/>
      <c r="S45" s="276"/>
      <c r="T45" s="276" t="s">
        <v>138</v>
      </c>
      <c r="U45" s="276"/>
      <c r="V45" s="276"/>
      <c r="W45" s="276"/>
      <c r="X45" s="173">
        <v>3.3333333333333335</v>
      </c>
      <c r="Y45" s="276">
        <v>0</v>
      </c>
      <c r="Z45" s="276">
        <v>1</v>
      </c>
      <c r="AA45" s="276" t="s">
        <v>1221</v>
      </c>
      <c r="AB45" s="276"/>
      <c r="AC45" s="275">
        <v>9</v>
      </c>
      <c r="AD45" s="189" t="s">
        <v>1294</v>
      </c>
      <c r="AE45" s="189"/>
      <c r="AF45" s="79"/>
      <c r="AG45" s="276" t="s">
        <v>1236</v>
      </c>
      <c r="AH45" s="78"/>
      <c r="AI45" s="275">
        <v>1</v>
      </c>
      <c r="AJ45" s="83" t="str">
        <f t="shared" si="16"/>
        <v>02040501</v>
      </c>
      <c r="AK45" s="83" t="s">
        <v>1554</v>
      </c>
      <c r="AL45" s="189" t="s">
        <v>137</v>
      </c>
      <c r="AM45" s="189"/>
      <c r="AN45" s="83" t="s">
        <v>1390</v>
      </c>
      <c r="AO45" s="83" t="s">
        <v>1394</v>
      </c>
      <c r="AP45" s="189" t="s">
        <v>1463</v>
      </c>
      <c r="AQ45" s="189" t="s">
        <v>1452</v>
      </c>
      <c r="AR45" s="189" t="s">
        <v>1453</v>
      </c>
      <c r="AS45" s="189" t="s">
        <v>1391</v>
      </c>
      <c r="AT45" s="189" t="s">
        <v>1395</v>
      </c>
      <c r="AU45" s="189" t="s">
        <v>1395</v>
      </c>
      <c r="AV45" s="189">
        <v>2006</v>
      </c>
      <c r="AW45" s="189" t="s">
        <v>1375</v>
      </c>
      <c r="AX45" s="276">
        <v>1</v>
      </c>
      <c r="AY45" s="276" t="str">
        <f t="shared" si="17"/>
        <v>020405011</v>
      </c>
      <c r="AZ45" s="276" t="s">
        <v>1373</v>
      </c>
      <c r="BA45" s="83" t="s">
        <v>1395</v>
      </c>
      <c r="BB45" s="83" t="s">
        <v>1392</v>
      </c>
      <c r="BC45" s="83" t="s">
        <v>1360</v>
      </c>
      <c r="BD45" s="83">
        <v>2006</v>
      </c>
      <c r="BE45" s="83" t="s">
        <v>1257</v>
      </c>
      <c r="BF45" s="83" t="s">
        <v>1467</v>
      </c>
      <c r="BG45" s="83" t="s">
        <v>1393</v>
      </c>
      <c r="BH45" s="83" t="s">
        <v>1375</v>
      </c>
      <c r="BI45" s="83" t="s">
        <v>1468</v>
      </c>
      <c r="BJ45" s="83" t="s">
        <v>1469</v>
      </c>
      <c r="BK45" s="83" t="s">
        <v>1469</v>
      </c>
      <c r="BL45" s="83">
        <v>2159800</v>
      </c>
      <c r="BM45" s="83">
        <v>2015</v>
      </c>
      <c r="BN45" s="83">
        <v>0</v>
      </c>
      <c r="BO45" s="83">
        <v>785</v>
      </c>
      <c r="BP45" s="83"/>
      <c r="BQ45" s="173">
        <f t="shared" si="0"/>
        <v>785</v>
      </c>
      <c r="BR45" s="275">
        <v>5</v>
      </c>
      <c r="BS45" s="94">
        <f t="shared" si="1"/>
        <v>157</v>
      </c>
      <c r="BT45" s="94">
        <v>157</v>
      </c>
      <c r="BU45" s="94">
        <f t="shared" si="2"/>
        <v>157</v>
      </c>
      <c r="BV45" s="188">
        <f t="shared" si="3"/>
        <v>0.2</v>
      </c>
      <c r="BW45" s="94">
        <f t="shared" si="4"/>
        <v>314</v>
      </c>
      <c r="BX45" s="138">
        <v>0</v>
      </c>
      <c r="BY45" s="94">
        <f t="shared" si="5"/>
        <v>0</v>
      </c>
      <c r="BZ45" s="89">
        <f t="shared" si="6"/>
        <v>0</v>
      </c>
      <c r="CA45" s="94">
        <f t="shared" si="7"/>
        <v>471</v>
      </c>
      <c r="CB45" s="94">
        <v>0</v>
      </c>
      <c r="CC45" s="94">
        <f t="shared" si="8"/>
        <v>0</v>
      </c>
      <c r="CD45" s="188">
        <f t="shared" si="9"/>
        <v>0</v>
      </c>
      <c r="CE45" s="94">
        <f t="shared" si="10"/>
        <v>628</v>
      </c>
      <c r="CF45" s="94">
        <v>0</v>
      </c>
      <c r="CG45" s="94">
        <f t="shared" si="11"/>
        <v>0</v>
      </c>
      <c r="CH45" s="188">
        <f t="shared" si="12"/>
        <v>0</v>
      </c>
      <c r="CI45" s="94">
        <f t="shared" si="13"/>
        <v>785</v>
      </c>
      <c r="CJ45" s="94">
        <v>785</v>
      </c>
      <c r="CK45" s="94">
        <f t="shared" si="14"/>
        <v>785</v>
      </c>
      <c r="CL45" s="89">
        <f t="shared" si="15"/>
        <v>1</v>
      </c>
      <c r="CM45" s="89" t="s">
        <v>11</v>
      </c>
      <c r="CN45" s="188" t="s">
        <v>1363</v>
      </c>
      <c r="CO45" s="188"/>
      <c r="CP45" s="188"/>
      <c r="CQ45" s="188"/>
      <c r="CR45" s="52"/>
      <c r="CS45" s="2">
        <v>45</v>
      </c>
      <c r="CT45" s="36"/>
      <c r="CU45" s="36"/>
      <c r="CV45" s="36"/>
      <c r="CW45" s="36"/>
      <c r="CX45" s="36"/>
      <c r="CY45" s="36"/>
      <c r="CZ45" s="36"/>
      <c r="DA45" s="36"/>
      <c r="DB45" s="36"/>
    </row>
    <row r="46" spans="1:143" ht="242.25" customHeight="1" x14ac:dyDescent="0.25">
      <c r="A46" s="276">
        <v>14</v>
      </c>
      <c r="B46" s="269" t="s">
        <v>1447</v>
      </c>
      <c r="C46" s="269" t="s">
        <v>1266</v>
      </c>
      <c r="D46" s="189" t="s">
        <v>147</v>
      </c>
      <c r="E46" s="276" t="s">
        <v>190</v>
      </c>
      <c r="F46" s="189" t="s">
        <v>186</v>
      </c>
      <c r="G46" s="172">
        <v>3</v>
      </c>
      <c r="H46" s="276" t="s">
        <v>198</v>
      </c>
      <c r="I46" s="276">
        <v>50</v>
      </c>
      <c r="J46" s="276" t="s">
        <v>199</v>
      </c>
      <c r="K46" s="269" t="s">
        <v>858</v>
      </c>
      <c r="L46" s="189" t="s">
        <v>200</v>
      </c>
      <c r="M46" s="276" t="s">
        <v>152</v>
      </c>
      <c r="N46" s="189" t="s">
        <v>188</v>
      </c>
      <c r="O46" s="189" t="s">
        <v>137</v>
      </c>
      <c r="P46" s="276" t="s">
        <v>189</v>
      </c>
      <c r="Q46" s="276" t="s">
        <v>188</v>
      </c>
      <c r="R46" s="276"/>
      <c r="S46" s="276"/>
      <c r="T46" s="276" t="s">
        <v>138</v>
      </c>
      <c r="U46" s="276"/>
      <c r="V46" s="276"/>
      <c r="W46" s="276"/>
      <c r="X46" s="173">
        <v>3.3333333333333335</v>
      </c>
      <c r="Y46" s="276">
        <v>0</v>
      </c>
      <c r="Z46" s="276">
        <v>1</v>
      </c>
      <c r="AA46" s="276" t="s">
        <v>1221</v>
      </c>
      <c r="AB46" s="276"/>
      <c r="AC46" s="275">
        <v>9</v>
      </c>
      <c r="AD46" s="189" t="s">
        <v>1294</v>
      </c>
      <c r="AE46" s="189"/>
      <c r="AF46" s="79"/>
      <c r="AG46" s="276" t="s">
        <v>1236</v>
      </c>
      <c r="AH46" s="78"/>
      <c r="AI46" s="275">
        <v>2</v>
      </c>
      <c r="AJ46" s="83" t="str">
        <f t="shared" si="16"/>
        <v>02040502</v>
      </c>
      <c r="AK46" s="83" t="s">
        <v>1555</v>
      </c>
      <c r="AL46" s="189" t="s">
        <v>78</v>
      </c>
      <c r="AM46" s="189"/>
      <c r="AN46" s="83" t="s">
        <v>1390</v>
      </c>
      <c r="AO46" s="83" t="s">
        <v>10</v>
      </c>
      <c r="AP46" s="189" t="s">
        <v>1464</v>
      </c>
      <c r="AQ46" s="189" t="s">
        <v>1454</v>
      </c>
      <c r="AR46" s="189" t="s">
        <v>1453</v>
      </c>
      <c r="AS46" s="189" t="s">
        <v>1391</v>
      </c>
      <c r="AT46" s="189" t="s">
        <v>1455</v>
      </c>
      <c r="AU46" s="189" t="s">
        <v>1391</v>
      </c>
      <c r="AV46" s="189">
        <v>2006</v>
      </c>
      <c r="AW46" s="189" t="s">
        <v>1375</v>
      </c>
      <c r="AX46" s="276">
        <v>1</v>
      </c>
      <c r="AY46" s="276" t="str">
        <f t="shared" si="17"/>
        <v>020405021</v>
      </c>
      <c r="AZ46" s="276" t="s">
        <v>1373</v>
      </c>
      <c r="BA46" s="83" t="s">
        <v>1395</v>
      </c>
      <c r="BB46" s="83" t="s">
        <v>1392</v>
      </c>
      <c r="BC46" s="83" t="s">
        <v>1360</v>
      </c>
      <c r="BD46" s="83">
        <v>2006</v>
      </c>
      <c r="BE46" s="83" t="s">
        <v>1257</v>
      </c>
      <c r="BF46" s="83" t="s">
        <v>1467</v>
      </c>
      <c r="BG46" s="83" t="s">
        <v>1393</v>
      </c>
      <c r="BH46" s="83" t="s">
        <v>1375</v>
      </c>
      <c r="BI46" s="83" t="s">
        <v>1468</v>
      </c>
      <c r="BJ46" s="83" t="s">
        <v>1469</v>
      </c>
      <c r="BK46" s="83" t="s">
        <v>1469</v>
      </c>
      <c r="BL46" s="83">
        <v>2159800</v>
      </c>
      <c r="BM46" s="83">
        <v>2015</v>
      </c>
      <c r="BN46" s="83">
        <v>0</v>
      </c>
      <c r="BO46" s="83">
        <v>1</v>
      </c>
      <c r="BP46" s="83"/>
      <c r="BQ46" s="81">
        <f t="shared" si="0"/>
        <v>1</v>
      </c>
      <c r="BR46" s="275">
        <v>5</v>
      </c>
      <c r="BS46" s="139">
        <f t="shared" si="1"/>
        <v>0.2</v>
      </c>
      <c r="BT46" s="188">
        <v>0.2</v>
      </c>
      <c r="BU46" s="188">
        <f t="shared" si="2"/>
        <v>0.2</v>
      </c>
      <c r="BV46" s="188">
        <f t="shared" si="3"/>
        <v>0.2</v>
      </c>
      <c r="BW46" s="139">
        <f t="shared" si="4"/>
        <v>0.4</v>
      </c>
      <c r="BX46" s="140">
        <v>0</v>
      </c>
      <c r="BY46" s="140">
        <f t="shared" si="5"/>
        <v>0</v>
      </c>
      <c r="BZ46" s="89">
        <f t="shared" si="6"/>
        <v>0</v>
      </c>
      <c r="CA46" s="188">
        <f t="shared" si="7"/>
        <v>0.60000000000000009</v>
      </c>
      <c r="CB46" s="188">
        <v>0</v>
      </c>
      <c r="CC46" s="188">
        <f t="shared" si="8"/>
        <v>0</v>
      </c>
      <c r="CD46" s="188">
        <f t="shared" si="9"/>
        <v>0</v>
      </c>
      <c r="CE46" s="188">
        <f t="shared" si="10"/>
        <v>0.8</v>
      </c>
      <c r="CF46" s="188">
        <v>0</v>
      </c>
      <c r="CG46" s="188">
        <f t="shared" si="11"/>
        <v>0</v>
      </c>
      <c r="CH46" s="188">
        <f t="shared" si="12"/>
        <v>0</v>
      </c>
      <c r="CI46" s="188">
        <f t="shared" si="13"/>
        <v>1</v>
      </c>
      <c r="CJ46" s="188">
        <v>1</v>
      </c>
      <c r="CK46" s="188">
        <f t="shared" si="14"/>
        <v>1</v>
      </c>
      <c r="CL46" s="89">
        <f t="shared" si="15"/>
        <v>1</v>
      </c>
      <c r="CM46" s="89" t="s">
        <v>11</v>
      </c>
      <c r="CN46" s="188" t="s">
        <v>1363</v>
      </c>
      <c r="CO46" s="188"/>
      <c r="CP46" s="188"/>
      <c r="CQ46" s="188"/>
      <c r="CR46" s="4"/>
      <c r="CS46" s="24">
        <v>46</v>
      </c>
      <c r="CT46" s="4"/>
      <c r="CU46" s="4"/>
      <c r="CV46" s="4"/>
      <c r="CW46" s="4"/>
      <c r="CX46" s="4"/>
      <c r="CY46" s="4"/>
      <c r="CZ46" s="4"/>
      <c r="DA46" s="4"/>
      <c r="DB46" s="4"/>
    </row>
    <row r="47" spans="1:143" ht="313.5" customHeight="1" x14ac:dyDescent="0.25">
      <c r="A47" s="276">
        <v>14</v>
      </c>
      <c r="B47" s="269" t="s">
        <v>1447</v>
      </c>
      <c r="C47" s="269" t="s">
        <v>1266</v>
      </c>
      <c r="D47" s="189" t="s">
        <v>147</v>
      </c>
      <c r="E47" s="276" t="s">
        <v>190</v>
      </c>
      <c r="F47" s="189" t="s">
        <v>186</v>
      </c>
      <c r="G47" s="172">
        <v>4</v>
      </c>
      <c r="H47" s="276" t="s">
        <v>201</v>
      </c>
      <c r="I47" s="276">
        <v>51</v>
      </c>
      <c r="J47" s="276" t="s">
        <v>202</v>
      </c>
      <c r="K47" s="269" t="s">
        <v>859</v>
      </c>
      <c r="L47" s="189" t="s">
        <v>203</v>
      </c>
      <c r="M47" s="276" t="s">
        <v>152</v>
      </c>
      <c r="N47" s="189" t="s">
        <v>188</v>
      </c>
      <c r="O47" s="189" t="s">
        <v>137</v>
      </c>
      <c r="P47" s="276" t="s">
        <v>189</v>
      </c>
      <c r="Q47" s="276" t="s">
        <v>188</v>
      </c>
      <c r="R47" s="276"/>
      <c r="S47" s="276"/>
      <c r="T47" s="276" t="s">
        <v>138</v>
      </c>
      <c r="U47" s="276"/>
      <c r="V47" s="276"/>
      <c r="W47" s="276"/>
      <c r="X47" s="173">
        <v>3.3333333333333335</v>
      </c>
      <c r="Y47" s="276">
        <v>0</v>
      </c>
      <c r="Z47" s="276">
        <v>1</v>
      </c>
      <c r="AA47" s="276" t="s">
        <v>1221</v>
      </c>
      <c r="AB47" s="276"/>
      <c r="AC47" s="275">
        <v>9</v>
      </c>
      <c r="AD47" s="189" t="s">
        <v>1294</v>
      </c>
      <c r="AE47" s="189"/>
      <c r="AF47" s="79"/>
      <c r="AG47" s="276" t="s">
        <v>1236</v>
      </c>
      <c r="AH47" s="78"/>
      <c r="AI47" s="275">
        <v>1</v>
      </c>
      <c r="AJ47" s="83" t="str">
        <f t="shared" si="16"/>
        <v>02040511</v>
      </c>
      <c r="AK47" s="83" t="s">
        <v>1556</v>
      </c>
      <c r="AL47" s="189" t="s">
        <v>137</v>
      </c>
      <c r="AM47" s="189"/>
      <c r="AN47" s="83" t="s">
        <v>1390</v>
      </c>
      <c r="AO47" s="83" t="s">
        <v>1394</v>
      </c>
      <c r="AP47" s="189" t="s">
        <v>1463</v>
      </c>
      <c r="AQ47" s="189" t="s">
        <v>1452</v>
      </c>
      <c r="AR47" s="189" t="s">
        <v>1453</v>
      </c>
      <c r="AS47" s="189" t="s">
        <v>1391</v>
      </c>
      <c r="AT47" s="189" t="s">
        <v>1395</v>
      </c>
      <c r="AU47" s="189" t="s">
        <v>1395</v>
      </c>
      <c r="AV47" s="189">
        <v>2006</v>
      </c>
      <c r="AW47" s="189" t="s">
        <v>1375</v>
      </c>
      <c r="AX47" s="276">
        <v>1</v>
      </c>
      <c r="AY47" s="276" t="str">
        <f t="shared" si="17"/>
        <v>020405111</v>
      </c>
      <c r="AZ47" s="276" t="s">
        <v>1373</v>
      </c>
      <c r="BA47" s="83" t="s">
        <v>1395</v>
      </c>
      <c r="BB47" s="83" t="s">
        <v>1392</v>
      </c>
      <c r="BC47" s="83" t="s">
        <v>1360</v>
      </c>
      <c r="BD47" s="83">
        <v>2006</v>
      </c>
      <c r="BE47" s="83" t="s">
        <v>1257</v>
      </c>
      <c r="BF47" s="83" t="s">
        <v>1467</v>
      </c>
      <c r="BG47" s="83" t="s">
        <v>1393</v>
      </c>
      <c r="BH47" s="83" t="s">
        <v>1375</v>
      </c>
      <c r="BI47" s="83" t="s">
        <v>1468</v>
      </c>
      <c r="BJ47" s="83" t="s">
        <v>1469</v>
      </c>
      <c r="BK47" s="83" t="s">
        <v>1469</v>
      </c>
      <c r="BL47" s="83">
        <v>2159800</v>
      </c>
      <c r="BM47" s="83">
        <v>2015</v>
      </c>
      <c r="BN47" s="83">
        <v>0</v>
      </c>
      <c r="BO47" s="83">
        <v>1879.52</v>
      </c>
      <c r="BP47" s="83"/>
      <c r="BQ47" s="173">
        <f t="shared" si="0"/>
        <v>1879.52</v>
      </c>
      <c r="BR47" s="275">
        <v>5</v>
      </c>
      <c r="BS47" s="94">
        <f t="shared" si="1"/>
        <v>375.904</v>
      </c>
      <c r="BT47" s="94">
        <v>375.904</v>
      </c>
      <c r="BU47" s="94">
        <f t="shared" si="2"/>
        <v>375.904</v>
      </c>
      <c r="BV47" s="188">
        <f t="shared" si="3"/>
        <v>0.2</v>
      </c>
      <c r="BW47" s="94">
        <f t="shared" si="4"/>
        <v>751.80799999999999</v>
      </c>
      <c r="BX47" s="138">
        <v>0</v>
      </c>
      <c r="BY47" s="94">
        <f t="shared" si="5"/>
        <v>0</v>
      </c>
      <c r="BZ47" s="89">
        <f t="shared" si="6"/>
        <v>0</v>
      </c>
      <c r="CA47" s="94">
        <f t="shared" si="7"/>
        <v>1127.712</v>
      </c>
      <c r="CB47" s="94"/>
      <c r="CC47" s="94">
        <f t="shared" si="8"/>
        <v>0</v>
      </c>
      <c r="CD47" s="188">
        <f t="shared" si="9"/>
        <v>0</v>
      </c>
      <c r="CE47" s="94">
        <f t="shared" si="10"/>
        <v>1503.616</v>
      </c>
      <c r="CF47" s="94"/>
      <c r="CG47" s="94">
        <f t="shared" si="11"/>
        <v>0</v>
      </c>
      <c r="CH47" s="188">
        <f t="shared" si="12"/>
        <v>0</v>
      </c>
      <c r="CI47" s="94">
        <f t="shared" si="13"/>
        <v>1879.52</v>
      </c>
      <c r="CJ47" s="94"/>
      <c r="CK47" s="94">
        <f t="shared" si="14"/>
        <v>0</v>
      </c>
      <c r="CL47" s="89">
        <f t="shared" si="15"/>
        <v>0</v>
      </c>
      <c r="CM47" s="89" t="s">
        <v>11</v>
      </c>
      <c r="CN47" s="188" t="s">
        <v>1363</v>
      </c>
      <c r="CO47" s="188"/>
      <c r="CP47" s="188"/>
      <c r="CQ47" s="188"/>
      <c r="CR47" s="52"/>
      <c r="CS47" s="24">
        <v>47</v>
      </c>
      <c r="CT47" s="36"/>
      <c r="CU47" s="36"/>
      <c r="CV47" s="36"/>
      <c r="CW47" s="36"/>
      <c r="CX47" s="36"/>
      <c r="CY47" s="36"/>
      <c r="CZ47" s="36"/>
      <c r="DA47" s="36"/>
      <c r="DB47" s="36"/>
    </row>
    <row r="48" spans="1:143" ht="313.5" customHeight="1" x14ac:dyDescent="0.25">
      <c r="A48" s="276">
        <v>14</v>
      </c>
      <c r="B48" s="269" t="s">
        <v>1447</v>
      </c>
      <c r="C48" s="269" t="s">
        <v>1266</v>
      </c>
      <c r="D48" s="189" t="s">
        <v>147</v>
      </c>
      <c r="E48" s="276" t="s">
        <v>190</v>
      </c>
      <c r="F48" s="189" t="s">
        <v>186</v>
      </c>
      <c r="G48" s="172">
        <v>4</v>
      </c>
      <c r="H48" s="276" t="s">
        <v>201</v>
      </c>
      <c r="I48" s="276">
        <v>51</v>
      </c>
      <c r="J48" s="276" t="s">
        <v>202</v>
      </c>
      <c r="K48" s="269" t="s">
        <v>859</v>
      </c>
      <c r="L48" s="189" t="s">
        <v>203</v>
      </c>
      <c r="M48" s="276" t="s">
        <v>152</v>
      </c>
      <c r="N48" s="189" t="s">
        <v>188</v>
      </c>
      <c r="O48" s="189" t="s">
        <v>137</v>
      </c>
      <c r="P48" s="276" t="s">
        <v>189</v>
      </c>
      <c r="Q48" s="276" t="s">
        <v>188</v>
      </c>
      <c r="R48" s="276"/>
      <c r="S48" s="276"/>
      <c r="T48" s="276" t="s">
        <v>138</v>
      </c>
      <c r="U48" s="276"/>
      <c r="V48" s="276"/>
      <c r="W48" s="276"/>
      <c r="X48" s="173">
        <v>3.3333333333333335</v>
      </c>
      <c r="Y48" s="276">
        <v>0</v>
      </c>
      <c r="Z48" s="276">
        <v>1</v>
      </c>
      <c r="AA48" s="276" t="s">
        <v>1221</v>
      </c>
      <c r="AB48" s="276"/>
      <c r="AC48" s="275">
        <v>9</v>
      </c>
      <c r="AD48" s="189" t="s">
        <v>1294</v>
      </c>
      <c r="AE48" s="189"/>
      <c r="AF48" s="79"/>
      <c r="AG48" s="276" t="s">
        <v>1236</v>
      </c>
      <c r="AH48" s="78"/>
      <c r="AI48" s="275">
        <v>2</v>
      </c>
      <c r="AJ48" s="83" t="str">
        <f t="shared" si="16"/>
        <v>02040512</v>
      </c>
      <c r="AK48" s="83" t="s">
        <v>1557</v>
      </c>
      <c r="AL48" s="189" t="s">
        <v>78</v>
      </c>
      <c r="AM48" s="189"/>
      <c r="AN48" s="83" t="s">
        <v>1390</v>
      </c>
      <c r="AO48" s="83" t="s">
        <v>10</v>
      </c>
      <c r="AP48" s="189" t="s">
        <v>1464</v>
      </c>
      <c r="AQ48" s="189" t="s">
        <v>1454</v>
      </c>
      <c r="AR48" s="189" t="s">
        <v>1453</v>
      </c>
      <c r="AS48" s="189" t="s">
        <v>1391</v>
      </c>
      <c r="AT48" s="189" t="s">
        <v>1455</v>
      </c>
      <c r="AU48" s="189" t="s">
        <v>1391</v>
      </c>
      <c r="AV48" s="189">
        <v>2006</v>
      </c>
      <c r="AW48" s="189" t="s">
        <v>1375</v>
      </c>
      <c r="AX48" s="276">
        <v>1</v>
      </c>
      <c r="AY48" s="276" t="str">
        <f t="shared" si="17"/>
        <v>020405121</v>
      </c>
      <c r="AZ48" s="276" t="s">
        <v>1373</v>
      </c>
      <c r="BA48" s="83" t="s">
        <v>1395</v>
      </c>
      <c r="BB48" s="83" t="s">
        <v>1392</v>
      </c>
      <c r="BC48" s="83" t="s">
        <v>1360</v>
      </c>
      <c r="BD48" s="83">
        <v>2006</v>
      </c>
      <c r="BE48" s="83" t="s">
        <v>1257</v>
      </c>
      <c r="BF48" s="83" t="s">
        <v>1467</v>
      </c>
      <c r="BG48" s="83" t="s">
        <v>1393</v>
      </c>
      <c r="BH48" s="83" t="s">
        <v>1375</v>
      </c>
      <c r="BI48" s="83" t="s">
        <v>1468</v>
      </c>
      <c r="BJ48" s="83" t="s">
        <v>1469</v>
      </c>
      <c r="BK48" s="83" t="s">
        <v>1469</v>
      </c>
      <c r="BL48" s="83">
        <v>2159800</v>
      </c>
      <c r="BM48" s="83">
        <v>2015</v>
      </c>
      <c r="BN48" s="83">
        <v>0</v>
      </c>
      <c r="BO48" s="83">
        <v>1</v>
      </c>
      <c r="BP48" s="83"/>
      <c r="BQ48" s="81">
        <f t="shared" si="0"/>
        <v>1</v>
      </c>
      <c r="BR48" s="275">
        <v>5</v>
      </c>
      <c r="BS48" s="139">
        <f t="shared" si="1"/>
        <v>0.2</v>
      </c>
      <c r="BT48" s="188">
        <v>0.2</v>
      </c>
      <c r="BU48" s="188">
        <f t="shared" si="2"/>
        <v>0.2</v>
      </c>
      <c r="BV48" s="188">
        <f t="shared" si="3"/>
        <v>0.2</v>
      </c>
      <c r="BW48" s="139">
        <f t="shared" si="4"/>
        <v>0.4</v>
      </c>
      <c r="BX48" s="140">
        <v>0</v>
      </c>
      <c r="BY48" s="140">
        <f t="shared" si="5"/>
        <v>0</v>
      </c>
      <c r="BZ48" s="89">
        <f t="shared" si="6"/>
        <v>0</v>
      </c>
      <c r="CA48" s="188">
        <f t="shared" si="7"/>
        <v>0.60000000000000009</v>
      </c>
      <c r="CB48" s="188"/>
      <c r="CC48" s="188">
        <f t="shared" si="8"/>
        <v>0</v>
      </c>
      <c r="CD48" s="188">
        <f t="shared" si="9"/>
        <v>0</v>
      </c>
      <c r="CE48" s="188">
        <f t="shared" si="10"/>
        <v>0.8</v>
      </c>
      <c r="CF48" s="188"/>
      <c r="CG48" s="188">
        <f t="shared" si="11"/>
        <v>0</v>
      </c>
      <c r="CH48" s="188">
        <f t="shared" si="12"/>
        <v>0</v>
      </c>
      <c r="CI48" s="188">
        <f t="shared" si="13"/>
        <v>1</v>
      </c>
      <c r="CJ48" s="188"/>
      <c r="CK48" s="188">
        <f t="shared" si="14"/>
        <v>0</v>
      </c>
      <c r="CL48" s="89">
        <f t="shared" si="15"/>
        <v>0</v>
      </c>
      <c r="CM48" s="89" t="s">
        <v>11</v>
      </c>
      <c r="CN48" s="188" t="s">
        <v>1363</v>
      </c>
      <c r="CO48" s="188"/>
      <c r="CP48" s="188"/>
      <c r="CQ48" s="188"/>
      <c r="CR48" s="4"/>
      <c r="CS48" s="2">
        <v>48</v>
      </c>
      <c r="CT48" s="4"/>
      <c r="CU48" s="4"/>
      <c r="CV48" s="4"/>
      <c r="CW48" s="4"/>
      <c r="CX48" s="4"/>
      <c r="CY48" s="4"/>
      <c r="CZ48" s="4"/>
      <c r="DA48" s="4"/>
      <c r="DB48" s="4"/>
    </row>
    <row r="49" spans="1:106" ht="285" customHeight="1" x14ac:dyDescent="0.25">
      <c r="A49" s="276">
        <v>14</v>
      </c>
      <c r="B49" s="269" t="s">
        <v>1447</v>
      </c>
      <c r="C49" s="269" t="s">
        <v>1266</v>
      </c>
      <c r="D49" s="189" t="s">
        <v>147</v>
      </c>
      <c r="E49" s="276" t="s">
        <v>190</v>
      </c>
      <c r="F49" s="189" t="s">
        <v>186</v>
      </c>
      <c r="G49" s="172">
        <v>5</v>
      </c>
      <c r="H49" s="276" t="s">
        <v>204</v>
      </c>
      <c r="I49" s="276">
        <v>52</v>
      </c>
      <c r="J49" s="276" t="s">
        <v>205</v>
      </c>
      <c r="K49" s="276" t="s">
        <v>860</v>
      </c>
      <c r="L49" s="189" t="s">
        <v>206</v>
      </c>
      <c r="M49" s="276" t="s">
        <v>152</v>
      </c>
      <c r="N49" s="189" t="s">
        <v>188</v>
      </c>
      <c r="O49" s="189" t="s">
        <v>137</v>
      </c>
      <c r="P49" s="276" t="s">
        <v>189</v>
      </c>
      <c r="Q49" s="276" t="s">
        <v>188</v>
      </c>
      <c r="R49" s="276"/>
      <c r="S49" s="276"/>
      <c r="T49" s="276" t="s">
        <v>138</v>
      </c>
      <c r="U49" s="276"/>
      <c r="V49" s="276"/>
      <c r="W49" s="276"/>
      <c r="X49" s="173">
        <v>3.3333333333333335</v>
      </c>
      <c r="Y49" s="276">
        <v>0</v>
      </c>
      <c r="Z49" s="276">
        <v>1</v>
      </c>
      <c r="AA49" s="276" t="s">
        <v>1221</v>
      </c>
      <c r="AB49" s="276"/>
      <c r="AC49" s="275">
        <v>9</v>
      </c>
      <c r="AD49" s="189" t="s">
        <v>1294</v>
      </c>
      <c r="AE49" s="189"/>
      <c r="AF49" s="79"/>
      <c r="AG49" s="276" t="s">
        <v>1236</v>
      </c>
      <c r="AH49" s="78"/>
      <c r="AI49" s="275">
        <v>1</v>
      </c>
      <c r="AJ49" s="83" t="str">
        <f t="shared" si="16"/>
        <v>02040521</v>
      </c>
      <c r="AK49" s="83" t="s">
        <v>1558</v>
      </c>
      <c r="AL49" s="189" t="s">
        <v>137</v>
      </c>
      <c r="AM49" s="189"/>
      <c r="AN49" s="83" t="s">
        <v>1390</v>
      </c>
      <c r="AO49" s="83" t="s">
        <v>1394</v>
      </c>
      <c r="AP49" s="189" t="s">
        <v>1463</v>
      </c>
      <c r="AQ49" s="189" t="s">
        <v>1452</v>
      </c>
      <c r="AR49" s="189" t="s">
        <v>1453</v>
      </c>
      <c r="AS49" s="189" t="s">
        <v>1391</v>
      </c>
      <c r="AT49" s="189" t="s">
        <v>1395</v>
      </c>
      <c r="AU49" s="189" t="s">
        <v>1395</v>
      </c>
      <c r="AV49" s="189">
        <v>2006</v>
      </c>
      <c r="AW49" s="189" t="s">
        <v>1375</v>
      </c>
      <c r="AX49" s="276">
        <v>1</v>
      </c>
      <c r="AY49" s="276" t="str">
        <f t="shared" si="17"/>
        <v>020405211</v>
      </c>
      <c r="AZ49" s="276" t="s">
        <v>1373</v>
      </c>
      <c r="BA49" s="83" t="s">
        <v>1395</v>
      </c>
      <c r="BB49" s="83" t="s">
        <v>1392</v>
      </c>
      <c r="BC49" s="83" t="s">
        <v>1360</v>
      </c>
      <c r="BD49" s="83">
        <v>2006</v>
      </c>
      <c r="BE49" s="83" t="s">
        <v>1257</v>
      </c>
      <c r="BF49" s="83" t="s">
        <v>1467</v>
      </c>
      <c r="BG49" s="83" t="s">
        <v>1393</v>
      </c>
      <c r="BH49" s="83" t="s">
        <v>1375</v>
      </c>
      <c r="BI49" s="83" t="s">
        <v>1468</v>
      </c>
      <c r="BJ49" s="83" t="s">
        <v>1469</v>
      </c>
      <c r="BK49" s="83" t="s">
        <v>1469</v>
      </c>
      <c r="BL49" s="83">
        <v>2159800</v>
      </c>
      <c r="BM49" s="83">
        <v>2015</v>
      </c>
      <c r="BN49" s="83">
        <v>0</v>
      </c>
      <c r="BO49" s="83">
        <v>63.4</v>
      </c>
      <c r="BP49" s="83"/>
      <c r="BQ49" s="173">
        <f t="shared" si="0"/>
        <v>63.4</v>
      </c>
      <c r="BR49" s="275">
        <v>5</v>
      </c>
      <c r="BS49" s="94">
        <f t="shared" si="1"/>
        <v>12.68</v>
      </c>
      <c r="BT49" s="94">
        <v>12.68</v>
      </c>
      <c r="BU49" s="94">
        <f t="shared" si="2"/>
        <v>12.68</v>
      </c>
      <c r="BV49" s="188">
        <f t="shared" si="3"/>
        <v>0.2</v>
      </c>
      <c r="BW49" s="94">
        <f t="shared" si="4"/>
        <v>25.36</v>
      </c>
      <c r="BX49" s="138">
        <v>0</v>
      </c>
      <c r="BY49" s="94">
        <f t="shared" si="5"/>
        <v>0</v>
      </c>
      <c r="BZ49" s="89">
        <f t="shared" si="6"/>
        <v>0</v>
      </c>
      <c r="CA49" s="94">
        <f t="shared" si="7"/>
        <v>38.04</v>
      </c>
      <c r="CB49" s="94">
        <v>0</v>
      </c>
      <c r="CC49" s="94">
        <f t="shared" si="8"/>
        <v>0</v>
      </c>
      <c r="CD49" s="188">
        <f t="shared" si="9"/>
        <v>0</v>
      </c>
      <c r="CE49" s="94">
        <f t="shared" si="10"/>
        <v>50.72</v>
      </c>
      <c r="CF49" s="94">
        <v>0</v>
      </c>
      <c r="CG49" s="94">
        <f t="shared" si="11"/>
        <v>0</v>
      </c>
      <c r="CH49" s="188">
        <f t="shared" si="12"/>
        <v>0</v>
      </c>
      <c r="CI49" s="94">
        <f t="shared" si="13"/>
        <v>63.4</v>
      </c>
      <c r="CJ49" s="94">
        <v>63.4</v>
      </c>
      <c r="CK49" s="94">
        <f t="shared" si="14"/>
        <v>63.4</v>
      </c>
      <c r="CL49" s="89">
        <f t="shared" si="15"/>
        <v>1</v>
      </c>
      <c r="CM49" s="89" t="s">
        <v>11</v>
      </c>
      <c r="CN49" s="188" t="s">
        <v>1363</v>
      </c>
      <c r="CO49" s="188"/>
      <c r="CP49" s="188"/>
      <c r="CQ49" s="188"/>
      <c r="CR49" s="4"/>
      <c r="CS49" s="24">
        <v>49</v>
      </c>
      <c r="CT49" s="4"/>
      <c r="CU49" s="4"/>
      <c r="CV49" s="4"/>
      <c r="CW49" s="4"/>
      <c r="CX49" s="4"/>
      <c r="CY49" s="4"/>
      <c r="CZ49" s="4"/>
      <c r="DA49" s="4"/>
      <c r="DB49" s="4"/>
    </row>
    <row r="50" spans="1:106" ht="171" x14ac:dyDescent="0.25">
      <c r="A50" s="276">
        <v>14</v>
      </c>
      <c r="B50" s="269" t="s">
        <v>1447</v>
      </c>
      <c r="C50" s="269" t="s">
        <v>1266</v>
      </c>
      <c r="D50" s="189" t="s">
        <v>147</v>
      </c>
      <c r="E50" s="276" t="s">
        <v>190</v>
      </c>
      <c r="F50" s="189" t="s">
        <v>186</v>
      </c>
      <c r="G50" s="172">
        <v>5</v>
      </c>
      <c r="H50" s="276" t="s">
        <v>204</v>
      </c>
      <c r="I50" s="276">
        <v>52</v>
      </c>
      <c r="J50" s="276" t="s">
        <v>205</v>
      </c>
      <c r="K50" s="276" t="s">
        <v>860</v>
      </c>
      <c r="L50" s="189" t="s">
        <v>206</v>
      </c>
      <c r="M50" s="276" t="s">
        <v>152</v>
      </c>
      <c r="N50" s="189" t="s">
        <v>188</v>
      </c>
      <c r="O50" s="189" t="s">
        <v>137</v>
      </c>
      <c r="P50" s="276" t="s">
        <v>189</v>
      </c>
      <c r="Q50" s="276" t="s">
        <v>188</v>
      </c>
      <c r="R50" s="276"/>
      <c r="S50" s="276"/>
      <c r="T50" s="276" t="s">
        <v>138</v>
      </c>
      <c r="U50" s="276"/>
      <c r="V50" s="276"/>
      <c r="W50" s="276"/>
      <c r="X50" s="173">
        <v>3.3333333333333335</v>
      </c>
      <c r="Y50" s="276">
        <v>0</v>
      </c>
      <c r="Z50" s="276">
        <v>1</v>
      </c>
      <c r="AA50" s="276" t="s">
        <v>1221</v>
      </c>
      <c r="AB50" s="276"/>
      <c r="AC50" s="275">
        <v>9</v>
      </c>
      <c r="AD50" s="189" t="s">
        <v>1294</v>
      </c>
      <c r="AE50" s="189"/>
      <c r="AF50" s="79"/>
      <c r="AG50" s="276" t="s">
        <v>1236</v>
      </c>
      <c r="AH50" s="78"/>
      <c r="AI50" s="275">
        <v>2</v>
      </c>
      <c r="AJ50" s="83" t="str">
        <f t="shared" si="16"/>
        <v>02040522</v>
      </c>
      <c r="AK50" s="83" t="s">
        <v>1559</v>
      </c>
      <c r="AL50" s="189" t="s">
        <v>78</v>
      </c>
      <c r="AM50" s="189"/>
      <c r="AN50" s="83" t="s">
        <v>1390</v>
      </c>
      <c r="AO50" s="83" t="s">
        <v>10</v>
      </c>
      <c r="AP50" s="189" t="s">
        <v>1464</v>
      </c>
      <c r="AQ50" s="189" t="s">
        <v>1454</v>
      </c>
      <c r="AR50" s="189" t="s">
        <v>1453</v>
      </c>
      <c r="AS50" s="189" t="s">
        <v>1391</v>
      </c>
      <c r="AT50" s="189" t="s">
        <v>1455</v>
      </c>
      <c r="AU50" s="189" t="s">
        <v>1391</v>
      </c>
      <c r="AV50" s="189">
        <v>2006</v>
      </c>
      <c r="AW50" s="189" t="s">
        <v>1375</v>
      </c>
      <c r="AX50" s="276">
        <v>1</v>
      </c>
      <c r="AY50" s="276" t="str">
        <f t="shared" si="17"/>
        <v>020405221</v>
      </c>
      <c r="AZ50" s="276" t="s">
        <v>1373</v>
      </c>
      <c r="BA50" s="83" t="s">
        <v>1395</v>
      </c>
      <c r="BB50" s="83" t="s">
        <v>1392</v>
      </c>
      <c r="BC50" s="83" t="s">
        <v>1360</v>
      </c>
      <c r="BD50" s="83">
        <v>2006</v>
      </c>
      <c r="BE50" s="83" t="s">
        <v>1257</v>
      </c>
      <c r="BF50" s="83" t="s">
        <v>1467</v>
      </c>
      <c r="BG50" s="83" t="s">
        <v>1393</v>
      </c>
      <c r="BH50" s="83" t="s">
        <v>1375</v>
      </c>
      <c r="BI50" s="83" t="s">
        <v>1468</v>
      </c>
      <c r="BJ50" s="83" t="s">
        <v>1469</v>
      </c>
      <c r="BK50" s="83" t="s">
        <v>1469</v>
      </c>
      <c r="BL50" s="83">
        <v>2159800</v>
      </c>
      <c r="BM50" s="83">
        <v>2015</v>
      </c>
      <c r="BN50" s="83">
        <v>0</v>
      </c>
      <c r="BO50" s="83">
        <v>1</v>
      </c>
      <c r="BP50" s="83"/>
      <c r="BQ50" s="81">
        <f t="shared" si="0"/>
        <v>1</v>
      </c>
      <c r="BR50" s="275">
        <v>5</v>
      </c>
      <c r="BS50" s="139">
        <f t="shared" si="1"/>
        <v>0.2</v>
      </c>
      <c r="BT50" s="188">
        <v>0.2</v>
      </c>
      <c r="BU50" s="188">
        <f t="shared" si="2"/>
        <v>0.2</v>
      </c>
      <c r="BV50" s="188">
        <f t="shared" si="3"/>
        <v>0.2</v>
      </c>
      <c r="BW50" s="139">
        <f t="shared" si="4"/>
        <v>0.4</v>
      </c>
      <c r="BX50" s="140">
        <v>0</v>
      </c>
      <c r="BY50" s="140">
        <f t="shared" si="5"/>
        <v>0</v>
      </c>
      <c r="BZ50" s="89">
        <f t="shared" si="6"/>
        <v>0</v>
      </c>
      <c r="CA50" s="188">
        <f t="shared" si="7"/>
        <v>0.60000000000000009</v>
      </c>
      <c r="CB50" s="188">
        <v>0</v>
      </c>
      <c r="CC50" s="188">
        <f t="shared" si="8"/>
        <v>0</v>
      </c>
      <c r="CD50" s="188">
        <f t="shared" si="9"/>
        <v>0</v>
      </c>
      <c r="CE50" s="188">
        <f t="shared" si="10"/>
        <v>0.8</v>
      </c>
      <c r="CF50" s="188">
        <v>0</v>
      </c>
      <c r="CG50" s="188">
        <f t="shared" si="11"/>
        <v>0</v>
      </c>
      <c r="CH50" s="188">
        <f t="shared" si="12"/>
        <v>0</v>
      </c>
      <c r="CI50" s="188">
        <f t="shared" si="13"/>
        <v>1</v>
      </c>
      <c r="CJ50" s="188">
        <v>1</v>
      </c>
      <c r="CK50" s="188">
        <f t="shared" si="14"/>
        <v>1</v>
      </c>
      <c r="CL50" s="89">
        <f t="shared" si="15"/>
        <v>1</v>
      </c>
      <c r="CM50" s="89" t="s">
        <v>11</v>
      </c>
      <c r="CN50" s="188" t="s">
        <v>1363</v>
      </c>
      <c r="CO50" s="188"/>
      <c r="CP50" s="188"/>
      <c r="CQ50" s="188"/>
      <c r="CR50" s="4"/>
      <c r="CS50" s="24">
        <v>50</v>
      </c>
      <c r="CT50" s="4"/>
      <c r="CU50" s="4"/>
      <c r="CV50" s="4"/>
      <c r="CW50" s="4"/>
      <c r="CX50" s="4"/>
      <c r="CY50" s="4"/>
      <c r="CZ50" s="4"/>
      <c r="DA50" s="4"/>
      <c r="DB50" s="4"/>
    </row>
    <row r="51" spans="1:106" ht="185.25" customHeight="1" x14ac:dyDescent="0.25">
      <c r="A51" s="276">
        <v>14</v>
      </c>
      <c r="B51" s="269" t="s">
        <v>1447</v>
      </c>
      <c r="C51" s="269" t="s">
        <v>1266</v>
      </c>
      <c r="D51" s="189" t="s">
        <v>147</v>
      </c>
      <c r="E51" s="276" t="s">
        <v>190</v>
      </c>
      <c r="F51" s="189" t="s">
        <v>186</v>
      </c>
      <c r="G51" s="172">
        <v>6</v>
      </c>
      <c r="H51" s="276" t="s">
        <v>207</v>
      </c>
      <c r="I51" s="276">
        <v>53</v>
      </c>
      <c r="J51" s="276" t="s">
        <v>208</v>
      </c>
      <c r="K51" s="276" t="s">
        <v>861</v>
      </c>
      <c r="L51" s="189" t="s">
        <v>209</v>
      </c>
      <c r="M51" s="276" t="s">
        <v>152</v>
      </c>
      <c r="N51" s="189" t="s">
        <v>188</v>
      </c>
      <c r="O51" s="189" t="s">
        <v>137</v>
      </c>
      <c r="P51" s="276" t="s">
        <v>189</v>
      </c>
      <c r="Q51" s="276" t="s">
        <v>188</v>
      </c>
      <c r="R51" s="276"/>
      <c r="S51" s="276"/>
      <c r="T51" s="276" t="s">
        <v>138</v>
      </c>
      <c r="U51" s="276"/>
      <c r="V51" s="276"/>
      <c r="W51" s="276"/>
      <c r="X51" s="173">
        <v>3.3333333333333335</v>
      </c>
      <c r="Y51" s="276">
        <v>0</v>
      </c>
      <c r="Z51" s="276">
        <v>1</v>
      </c>
      <c r="AA51" s="276" t="s">
        <v>1221</v>
      </c>
      <c r="AB51" s="276"/>
      <c r="AC51" s="275">
        <v>9</v>
      </c>
      <c r="AD51" s="189" t="s">
        <v>1294</v>
      </c>
      <c r="AE51" s="189"/>
      <c r="AF51" s="79"/>
      <c r="AG51" s="276" t="s">
        <v>1236</v>
      </c>
      <c r="AH51" s="78"/>
      <c r="AI51" s="275">
        <v>1</v>
      </c>
      <c r="AJ51" s="83" t="str">
        <f t="shared" si="16"/>
        <v>02040531</v>
      </c>
      <c r="AK51" s="83" t="s">
        <v>1560</v>
      </c>
      <c r="AL51" s="189" t="s">
        <v>137</v>
      </c>
      <c r="AM51" s="189"/>
      <c r="AN51" s="83" t="s">
        <v>1390</v>
      </c>
      <c r="AO51" s="83" t="s">
        <v>1394</v>
      </c>
      <c r="AP51" s="189" t="s">
        <v>1463</v>
      </c>
      <c r="AQ51" s="189" t="s">
        <v>1452</v>
      </c>
      <c r="AR51" s="189" t="s">
        <v>1453</v>
      </c>
      <c r="AS51" s="189" t="s">
        <v>1391</v>
      </c>
      <c r="AT51" s="189" t="s">
        <v>1395</v>
      </c>
      <c r="AU51" s="189" t="s">
        <v>1395</v>
      </c>
      <c r="AV51" s="189">
        <v>2006</v>
      </c>
      <c r="AW51" s="189" t="s">
        <v>1375</v>
      </c>
      <c r="AX51" s="276">
        <v>1</v>
      </c>
      <c r="AY51" s="276" t="str">
        <f t="shared" si="17"/>
        <v>020405311</v>
      </c>
      <c r="AZ51" s="276" t="s">
        <v>1373</v>
      </c>
      <c r="BA51" s="83" t="s">
        <v>1395</v>
      </c>
      <c r="BB51" s="83" t="s">
        <v>1392</v>
      </c>
      <c r="BC51" s="83" t="s">
        <v>1360</v>
      </c>
      <c r="BD51" s="83">
        <v>2006</v>
      </c>
      <c r="BE51" s="83" t="s">
        <v>1257</v>
      </c>
      <c r="BF51" s="83" t="s">
        <v>1467</v>
      </c>
      <c r="BG51" s="83" t="s">
        <v>1393</v>
      </c>
      <c r="BH51" s="83" t="s">
        <v>1375</v>
      </c>
      <c r="BI51" s="83" t="s">
        <v>1468</v>
      </c>
      <c r="BJ51" s="83" t="s">
        <v>1469</v>
      </c>
      <c r="BK51" s="83" t="s">
        <v>1469</v>
      </c>
      <c r="BL51" s="83">
        <v>2159800</v>
      </c>
      <c r="BM51" s="83">
        <v>2015</v>
      </c>
      <c r="BN51" s="83">
        <v>0</v>
      </c>
      <c r="BO51" s="83">
        <v>288.7</v>
      </c>
      <c r="BP51" s="83"/>
      <c r="BQ51" s="173">
        <f t="shared" si="0"/>
        <v>288.7</v>
      </c>
      <c r="BR51" s="275">
        <v>5</v>
      </c>
      <c r="BS51" s="94">
        <f t="shared" si="1"/>
        <v>57.739999999999995</v>
      </c>
      <c r="BT51" s="94">
        <v>57.739999999999995</v>
      </c>
      <c r="BU51" s="94">
        <f t="shared" si="2"/>
        <v>57.739999999999995</v>
      </c>
      <c r="BV51" s="188">
        <f t="shared" si="3"/>
        <v>0.19999999999999998</v>
      </c>
      <c r="BW51" s="94">
        <f t="shared" si="4"/>
        <v>115.47999999999999</v>
      </c>
      <c r="BX51" s="138">
        <v>0</v>
      </c>
      <c r="BY51" s="94">
        <f t="shared" si="5"/>
        <v>0</v>
      </c>
      <c r="BZ51" s="89">
        <f t="shared" si="6"/>
        <v>0</v>
      </c>
      <c r="CA51" s="94">
        <f t="shared" si="7"/>
        <v>173.21999999999997</v>
      </c>
      <c r="CB51" s="94"/>
      <c r="CC51" s="94">
        <f t="shared" si="8"/>
        <v>0</v>
      </c>
      <c r="CD51" s="188">
        <f t="shared" si="9"/>
        <v>0</v>
      </c>
      <c r="CE51" s="94">
        <f t="shared" si="10"/>
        <v>230.95999999999998</v>
      </c>
      <c r="CF51" s="94"/>
      <c r="CG51" s="94">
        <f t="shared" si="11"/>
        <v>0</v>
      </c>
      <c r="CH51" s="188">
        <f t="shared" si="12"/>
        <v>0</v>
      </c>
      <c r="CI51" s="94">
        <f t="shared" si="13"/>
        <v>288.7</v>
      </c>
      <c r="CJ51" s="94"/>
      <c r="CK51" s="94">
        <f t="shared" si="14"/>
        <v>0</v>
      </c>
      <c r="CL51" s="89">
        <f t="shared" si="15"/>
        <v>0</v>
      </c>
      <c r="CM51" s="89" t="s">
        <v>11</v>
      </c>
      <c r="CN51" s="188" t="s">
        <v>1363</v>
      </c>
      <c r="CO51" s="188"/>
      <c r="CP51" s="188"/>
      <c r="CQ51" s="188"/>
      <c r="CR51" s="4"/>
      <c r="CS51" s="2">
        <v>51</v>
      </c>
      <c r="CT51" s="4"/>
      <c r="CU51" s="4"/>
      <c r="CV51" s="4"/>
      <c r="CW51" s="4"/>
      <c r="CX51" s="4"/>
      <c r="CY51" s="4"/>
      <c r="CZ51" s="4"/>
      <c r="DA51" s="4"/>
      <c r="DB51" s="4"/>
    </row>
    <row r="52" spans="1:106" ht="171" x14ac:dyDescent="0.25">
      <c r="A52" s="276">
        <v>14</v>
      </c>
      <c r="B52" s="269" t="s">
        <v>1447</v>
      </c>
      <c r="C52" s="269" t="s">
        <v>1266</v>
      </c>
      <c r="D52" s="189" t="s">
        <v>147</v>
      </c>
      <c r="E52" s="276" t="s">
        <v>190</v>
      </c>
      <c r="F52" s="189" t="s">
        <v>186</v>
      </c>
      <c r="G52" s="172">
        <v>6</v>
      </c>
      <c r="H52" s="276" t="s">
        <v>207</v>
      </c>
      <c r="I52" s="276">
        <v>53</v>
      </c>
      <c r="J52" s="276" t="s">
        <v>208</v>
      </c>
      <c r="K52" s="276" t="s">
        <v>861</v>
      </c>
      <c r="L52" s="189" t="s">
        <v>209</v>
      </c>
      <c r="M52" s="276" t="s">
        <v>152</v>
      </c>
      <c r="N52" s="189" t="s">
        <v>188</v>
      </c>
      <c r="O52" s="189" t="s">
        <v>137</v>
      </c>
      <c r="P52" s="276" t="s">
        <v>189</v>
      </c>
      <c r="Q52" s="276" t="s">
        <v>188</v>
      </c>
      <c r="R52" s="276"/>
      <c r="S52" s="276"/>
      <c r="T52" s="276" t="s">
        <v>138</v>
      </c>
      <c r="U52" s="276"/>
      <c r="V52" s="276"/>
      <c r="W52" s="276"/>
      <c r="X52" s="173">
        <v>3.3333333333333335</v>
      </c>
      <c r="Y52" s="276">
        <v>0</v>
      </c>
      <c r="Z52" s="276">
        <v>1</v>
      </c>
      <c r="AA52" s="276" t="s">
        <v>1221</v>
      </c>
      <c r="AB52" s="276"/>
      <c r="AC52" s="275">
        <v>9</v>
      </c>
      <c r="AD52" s="189" t="s">
        <v>1294</v>
      </c>
      <c r="AE52" s="189"/>
      <c r="AF52" s="79"/>
      <c r="AG52" s="276" t="s">
        <v>1236</v>
      </c>
      <c r="AH52" s="78"/>
      <c r="AI52" s="275">
        <v>2</v>
      </c>
      <c r="AJ52" s="83" t="str">
        <f t="shared" si="16"/>
        <v>02040532</v>
      </c>
      <c r="AK52" s="83" t="s">
        <v>1561</v>
      </c>
      <c r="AL52" s="189" t="s">
        <v>78</v>
      </c>
      <c r="AM52" s="189"/>
      <c r="AN52" s="83" t="s">
        <v>1390</v>
      </c>
      <c r="AO52" s="83" t="s">
        <v>10</v>
      </c>
      <c r="AP52" s="189" t="s">
        <v>1464</v>
      </c>
      <c r="AQ52" s="189" t="s">
        <v>1454</v>
      </c>
      <c r="AR52" s="189" t="s">
        <v>1453</v>
      </c>
      <c r="AS52" s="189" t="s">
        <v>1391</v>
      </c>
      <c r="AT52" s="189" t="s">
        <v>1455</v>
      </c>
      <c r="AU52" s="189" t="s">
        <v>1391</v>
      </c>
      <c r="AV52" s="189">
        <v>2006</v>
      </c>
      <c r="AW52" s="189" t="s">
        <v>1375</v>
      </c>
      <c r="AX52" s="276">
        <v>1</v>
      </c>
      <c r="AY52" s="276" t="str">
        <f t="shared" si="17"/>
        <v>020405321</v>
      </c>
      <c r="AZ52" s="276" t="s">
        <v>1373</v>
      </c>
      <c r="BA52" s="83" t="s">
        <v>1395</v>
      </c>
      <c r="BB52" s="83" t="s">
        <v>1392</v>
      </c>
      <c r="BC52" s="83" t="s">
        <v>1360</v>
      </c>
      <c r="BD52" s="83">
        <v>2006</v>
      </c>
      <c r="BE52" s="83" t="s">
        <v>1257</v>
      </c>
      <c r="BF52" s="83" t="s">
        <v>1467</v>
      </c>
      <c r="BG52" s="83" t="s">
        <v>1393</v>
      </c>
      <c r="BH52" s="83" t="s">
        <v>1375</v>
      </c>
      <c r="BI52" s="83" t="s">
        <v>1468</v>
      </c>
      <c r="BJ52" s="83" t="s">
        <v>1469</v>
      </c>
      <c r="BK52" s="83" t="s">
        <v>1469</v>
      </c>
      <c r="BL52" s="83">
        <v>2159800</v>
      </c>
      <c r="BM52" s="83">
        <v>2015</v>
      </c>
      <c r="BN52" s="83">
        <v>0</v>
      </c>
      <c r="BO52" s="83">
        <v>1</v>
      </c>
      <c r="BP52" s="83"/>
      <c r="BQ52" s="81">
        <f t="shared" si="0"/>
        <v>1</v>
      </c>
      <c r="BR52" s="275">
        <v>5</v>
      </c>
      <c r="BS52" s="139">
        <f t="shared" si="1"/>
        <v>0.2</v>
      </c>
      <c r="BT52" s="188">
        <v>0.2</v>
      </c>
      <c r="BU52" s="188">
        <f t="shared" si="2"/>
        <v>0.2</v>
      </c>
      <c r="BV52" s="188">
        <f t="shared" si="3"/>
        <v>0.2</v>
      </c>
      <c r="BW52" s="139">
        <f t="shared" si="4"/>
        <v>0.4</v>
      </c>
      <c r="BX52" s="140">
        <v>0</v>
      </c>
      <c r="BY52" s="140">
        <f t="shared" si="5"/>
        <v>0</v>
      </c>
      <c r="BZ52" s="89">
        <f t="shared" si="6"/>
        <v>0</v>
      </c>
      <c r="CA52" s="188">
        <f t="shared" si="7"/>
        <v>0.60000000000000009</v>
      </c>
      <c r="CB52" s="188"/>
      <c r="CC52" s="188">
        <f t="shared" si="8"/>
        <v>0</v>
      </c>
      <c r="CD52" s="188">
        <f t="shared" si="9"/>
        <v>0</v>
      </c>
      <c r="CE52" s="188">
        <f t="shared" si="10"/>
        <v>0.8</v>
      </c>
      <c r="CF52" s="188"/>
      <c r="CG52" s="188">
        <f t="shared" si="11"/>
        <v>0</v>
      </c>
      <c r="CH52" s="188">
        <f t="shared" si="12"/>
        <v>0</v>
      </c>
      <c r="CI52" s="188">
        <f t="shared" si="13"/>
        <v>1</v>
      </c>
      <c r="CJ52" s="188"/>
      <c r="CK52" s="188">
        <f t="shared" si="14"/>
        <v>0</v>
      </c>
      <c r="CL52" s="89">
        <f t="shared" si="15"/>
        <v>0</v>
      </c>
      <c r="CM52" s="89" t="s">
        <v>11</v>
      </c>
      <c r="CN52" s="188" t="s">
        <v>1363</v>
      </c>
      <c r="CO52" s="188"/>
      <c r="CP52" s="188"/>
      <c r="CQ52" s="188"/>
      <c r="CR52" s="4"/>
      <c r="CS52" s="24">
        <v>52</v>
      </c>
      <c r="CT52" s="4"/>
      <c r="CU52" s="4"/>
      <c r="CV52" s="4"/>
      <c r="CW52" s="4"/>
      <c r="CX52" s="4"/>
      <c r="CY52" s="4"/>
      <c r="CZ52" s="4"/>
      <c r="DA52" s="4"/>
      <c r="DB52" s="4"/>
    </row>
    <row r="53" spans="1:106" ht="171" x14ac:dyDescent="0.25">
      <c r="A53" s="276">
        <v>14</v>
      </c>
      <c r="B53" s="269" t="s">
        <v>1447</v>
      </c>
      <c r="C53" s="269" t="s">
        <v>1266</v>
      </c>
      <c r="D53" s="189" t="s">
        <v>147</v>
      </c>
      <c r="E53" s="276" t="s">
        <v>190</v>
      </c>
      <c r="F53" s="189" t="s">
        <v>186</v>
      </c>
      <c r="G53" s="172">
        <v>7</v>
      </c>
      <c r="H53" s="276" t="s">
        <v>210</v>
      </c>
      <c r="I53" s="276">
        <v>54</v>
      </c>
      <c r="J53" s="276" t="s">
        <v>211</v>
      </c>
      <c r="K53" s="276" t="s">
        <v>862</v>
      </c>
      <c r="L53" s="189" t="s">
        <v>212</v>
      </c>
      <c r="M53" s="276" t="s">
        <v>152</v>
      </c>
      <c r="N53" s="189" t="s">
        <v>188</v>
      </c>
      <c r="O53" s="189" t="s">
        <v>137</v>
      </c>
      <c r="P53" s="276" t="s">
        <v>189</v>
      </c>
      <c r="Q53" s="276" t="s">
        <v>188</v>
      </c>
      <c r="R53" s="276"/>
      <c r="S53" s="276"/>
      <c r="T53" s="276" t="s">
        <v>138</v>
      </c>
      <c r="U53" s="276"/>
      <c r="V53" s="276"/>
      <c r="W53" s="276"/>
      <c r="X53" s="173">
        <v>3.3333333333333335</v>
      </c>
      <c r="Y53" s="276">
        <v>0</v>
      </c>
      <c r="Z53" s="276">
        <v>1</v>
      </c>
      <c r="AA53" s="276" t="s">
        <v>1221</v>
      </c>
      <c r="AB53" s="276"/>
      <c r="AC53" s="275">
        <v>9</v>
      </c>
      <c r="AD53" s="189" t="s">
        <v>1294</v>
      </c>
      <c r="AE53" s="189"/>
      <c r="AF53" s="79"/>
      <c r="AG53" s="276" t="s">
        <v>1236</v>
      </c>
      <c r="AH53" s="78"/>
      <c r="AI53" s="275">
        <v>1</v>
      </c>
      <c r="AJ53" s="83" t="str">
        <f t="shared" si="16"/>
        <v>02040541</v>
      </c>
      <c r="AK53" s="83" t="s">
        <v>1562</v>
      </c>
      <c r="AL53" s="189" t="s">
        <v>137</v>
      </c>
      <c r="AM53" s="189"/>
      <c r="AN53" s="83" t="s">
        <v>1390</v>
      </c>
      <c r="AO53" s="83" t="s">
        <v>1394</v>
      </c>
      <c r="AP53" s="189" t="s">
        <v>1463</v>
      </c>
      <c r="AQ53" s="189" t="s">
        <v>1452</v>
      </c>
      <c r="AR53" s="189" t="s">
        <v>1453</v>
      </c>
      <c r="AS53" s="189" t="s">
        <v>1391</v>
      </c>
      <c r="AT53" s="189" t="s">
        <v>1395</v>
      </c>
      <c r="AU53" s="189" t="s">
        <v>1395</v>
      </c>
      <c r="AV53" s="189">
        <v>2006</v>
      </c>
      <c r="AW53" s="189" t="s">
        <v>1375</v>
      </c>
      <c r="AX53" s="276">
        <v>1</v>
      </c>
      <c r="AY53" s="276" t="str">
        <f t="shared" si="17"/>
        <v>020405411</v>
      </c>
      <c r="AZ53" s="276" t="s">
        <v>1373</v>
      </c>
      <c r="BA53" s="83" t="s">
        <v>1395</v>
      </c>
      <c r="BB53" s="83" t="s">
        <v>1392</v>
      </c>
      <c r="BC53" s="83" t="s">
        <v>1360</v>
      </c>
      <c r="BD53" s="83">
        <v>2006</v>
      </c>
      <c r="BE53" s="83" t="s">
        <v>1257</v>
      </c>
      <c r="BF53" s="83" t="s">
        <v>1467</v>
      </c>
      <c r="BG53" s="83" t="s">
        <v>1393</v>
      </c>
      <c r="BH53" s="83" t="s">
        <v>1375</v>
      </c>
      <c r="BI53" s="83" t="s">
        <v>1468</v>
      </c>
      <c r="BJ53" s="83" t="s">
        <v>1469</v>
      </c>
      <c r="BK53" s="83" t="s">
        <v>1469</v>
      </c>
      <c r="BL53" s="83">
        <v>2159800</v>
      </c>
      <c r="BM53" s="83">
        <v>2015</v>
      </c>
      <c r="BN53" s="83">
        <v>0</v>
      </c>
      <c r="BO53" s="97">
        <v>1233.8599999999999</v>
      </c>
      <c r="BP53" s="97"/>
      <c r="BQ53" s="173">
        <f t="shared" si="0"/>
        <v>1233.8599999999999</v>
      </c>
      <c r="BR53" s="275">
        <v>5</v>
      </c>
      <c r="BS53" s="94">
        <f t="shared" si="1"/>
        <v>246.77199999999999</v>
      </c>
      <c r="BT53" s="141">
        <v>246.77199999999999</v>
      </c>
      <c r="BU53" s="94">
        <f t="shared" si="2"/>
        <v>246.77199999999999</v>
      </c>
      <c r="BV53" s="188">
        <f t="shared" si="3"/>
        <v>0.2</v>
      </c>
      <c r="BW53" s="94">
        <f t="shared" si="4"/>
        <v>493.54399999999998</v>
      </c>
      <c r="BX53" s="138">
        <v>28.43</v>
      </c>
      <c r="BY53" s="94">
        <f t="shared" si="5"/>
        <v>28.43</v>
      </c>
      <c r="BZ53" s="89">
        <f t="shared" si="6"/>
        <v>2.304151200298251E-2</v>
      </c>
      <c r="CA53" s="94">
        <f t="shared" si="7"/>
        <v>740.31600000000003</v>
      </c>
      <c r="CB53" s="141"/>
      <c r="CC53" s="94">
        <f t="shared" si="8"/>
        <v>0</v>
      </c>
      <c r="CD53" s="188">
        <f t="shared" si="9"/>
        <v>0</v>
      </c>
      <c r="CE53" s="94">
        <f t="shared" si="10"/>
        <v>987.08799999999997</v>
      </c>
      <c r="CF53" s="141"/>
      <c r="CG53" s="94">
        <f t="shared" si="11"/>
        <v>0</v>
      </c>
      <c r="CH53" s="188">
        <f t="shared" si="12"/>
        <v>0</v>
      </c>
      <c r="CI53" s="94">
        <f t="shared" si="13"/>
        <v>1233.8599999999999</v>
      </c>
      <c r="CJ53" s="141"/>
      <c r="CK53" s="94">
        <f t="shared" si="14"/>
        <v>0</v>
      </c>
      <c r="CL53" s="89">
        <f t="shared" si="15"/>
        <v>0</v>
      </c>
      <c r="CM53" s="89" t="s">
        <v>11</v>
      </c>
      <c r="CN53" s="188" t="s">
        <v>1363</v>
      </c>
      <c r="CO53" s="188"/>
      <c r="CP53" s="188"/>
      <c r="CQ53" s="188"/>
      <c r="CR53" s="4"/>
      <c r="CS53" s="24">
        <v>53</v>
      </c>
    </row>
    <row r="54" spans="1:106" ht="213.75" customHeight="1" x14ac:dyDescent="0.25">
      <c r="A54" s="276">
        <v>14</v>
      </c>
      <c r="B54" s="269" t="s">
        <v>1447</v>
      </c>
      <c r="C54" s="269" t="s">
        <v>1266</v>
      </c>
      <c r="D54" s="189" t="s">
        <v>147</v>
      </c>
      <c r="E54" s="276" t="s">
        <v>190</v>
      </c>
      <c r="F54" s="189" t="s">
        <v>186</v>
      </c>
      <c r="G54" s="172">
        <v>7</v>
      </c>
      <c r="H54" s="276" t="s">
        <v>210</v>
      </c>
      <c r="I54" s="276">
        <v>54</v>
      </c>
      <c r="J54" s="276" t="s">
        <v>211</v>
      </c>
      <c r="K54" s="276" t="s">
        <v>862</v>
      </c>
      <c r="L54" s="189" t="s">
        <v>212</v>
      </c>
      <c r="M54" s="276" t="s">
        <v>152</v>
      </c>
      <c r="N54" s="189" t="s">
        <v>188</v>
      </c>
      <c r="O54" s="189" t="s">
        <v>137</v>
      </c>
      <c r="P54" s="276" t="s">
        <v>189</v>
      </c>
      <c r="Q54" s="276" t="s">
        <v>188</v>
      </c>
      <c r="R54" s="276"/>
      <c r="S54" s="276"/>
      <c r="T54" s="276" t="s">
        <v>138</v>
      </c>
      <c r="U54" s="276"/>
      <c r="V54" s="276"/>
      <c r="W54" s="276"/>
      <c r="X54" s="173">
        <v>3.3333333333333335</v>
      </c>
      <c r="Y54" s="276">
        <v>0</v>
      </c>
      <c r="Z54" s="276">
        <v>1</v>
      </c>
      <c r="AA54" s="276" t="s">
        <v>1221</v>
      </c>
      <c r="AB54" s="276"/>
      <c r="AC54" s="275">
        <v>9</v>
      </c>
      <c r="AD54" s="189" t="s">
        <v>1294</v>
      </c>
      <c r="AE54" s="189"/>
      <c r="AF54" s="79"/>
      <c r="AG54" s="276" t="s">
        <v>1236</v>
      </c>
      <c r="AH54" s="78"/>
      <c r="AI54" s="275">
        <v>2</v>
      </c>
      <c r="AJ54" s="83" t="str">
        <f t="shared" si="16"/>
        <v>02040542</v>
      </c>
      <c r="AK54" s="83" t="s">
        <v>1563</v>
      </c>
      <c r="AL54" s="189" t="s">
        <v>78</v>
      </c>
      <c r="AM54" s="189"/>
      <c r="AN54" s="83" t="s">
        <v>1390</v>
      </c>
      <c r="AO54" s="83" t="s">
        <v>10</v>
      </c>
      <c r="AP54" s="189" t="s">
        <v>1464</v>
      </c>
      <c r="AQ54" s="189" t="s">
        <v>1454</v>
      </c>
      <c r="AR54" s="189" t="s">
        <v>1453</v>
      </c>
      <c r="AS54" s="189" t="s">
        <v>1391</v>
      </c>
      <c r="AT54" s="189" t="s">
        <v>1455</v>
      </c>
      <c r="AU54" s="189" t="s">
        <v>1391</v>
      </c>
      <c r="AV54" s="189">
        <v>2006</v>
      </c>
      <c r="AW54" s="189" t="s">
        <v>1375</v>
      </c>
      <c r="AX54" s="276">
        <v>1</v>
      </c>
      <c r="AY54" s="276" t="str">
        <f t="shared" si="17"/>
        <v>020405421</v>
      </c>
      <c r="AZ54" s="276" t="s">
        <v>1373</v>
      </c>
      <c r="BA54" s="83" t="s">
        <v>1395</v>
      </c>
      <c r="BB54" s="83" t="s">
        <v>1392</v>
      </c>
      <c r="BC54" s="83" t="s">
        <v>1360</v>
      </c>
      <c r="BD54" s="83">
        <v>2006</v>
      </c>
      <c r="BE54" s="83" t="s">
        <v>1257</v>
      </c>
      <c r="BF54" s="83" t="s">
        <v>1467</v>
      </c>
      <c r="BG54" s="83" t="s">
        <v>1393</v>
      </c>
      <c r="BH54" s="83" t="s">
        <v>1375</v>
      </c>
      <c r="BI54" s="83" t="s">
        <v>1468</v>
      </c>
      <c r="BJ54" s="83" t="s">
        <v>1469</v>
      </c>
      <c r="BK54" s="83" t="s">
        <v>1469</v>
      </c>
      <c r="BL54" s="83">
        <v>2159800</v>
      </c>
      <c r="BM54" s="83">
        <v>2015</v>
      </c>
      <c r="BN54" s="83">
        <v>0</v>
      </c>
      <c r="BO54" s="83">
        <v>1</v>
      </c>
      <c r="BP54" s="83"/>
      <c r="BQ54" s="81">
        <f t="shared" si="0"/>
        <v>1</v>
      </c>
      <c r="BR54" s="275">
        <v>5</v>
      </c>
      <c r="BS54" s="139">
        <f t="shared" si="1"/>
        <v>0.2</v>
      </c>
      <c r="BT54" s="188">
        <v>0.2</v>
      </c>
      <c r="BU54" s="188">
        <f t="shared" si="2"/>
        <v>0.2</v>
      </c>
      <c r="BV54" s="188">
        <f t="shared" si="3"/>
        <v>0.2</v>
      </c>
      <c r="BW54" s="139">
        <f t="shared" si="4"/>
        <v>0.4</v>
      </c>
      <c r="BX54" s="140">
        <v>2.304151200298251E-2</v>
      </c>
      <c r="BY54" s="140">
        <f t="shared" si="5"/>
        <v>2.304151200298251E-2</v>
      </c>
      <c r="BZ54" s="89">
        <f t="shared" si="6"/>
        <v>2.304151200298251E-2</v>
      </c>
      <c r="CA54" s="188">
        <f t="shared" si="7"/>
        <v>0.60000000000000009</v>
      </c>
      <c r="CB54" s="188"/>
      <c r="CC54" s="188">
        <f t="shared" si="8"/>
        <v>0</v>
      </c>
      <c r="CD54" s="188">
        <f t="shared" si="9"/>
        <v>0</v>
      </c>
      <c r="CE54" s="188">
        <f t="shared" si="10"/>
        <v>0.8</v>
      </c>
      <c r="CF54" s="188"/>
      <c r="CG54" s="188">
        <f t="shared" si="11"/>
        <v>0</v>
      </c>
      <c r="CH54" s="188">
        <f t="shared" si="12"/>
        <v>0</v>
      </c>
      <c r="CI54" s="188">
        <f t="shared" si="13"/>
        <v>1</v>
      </c>
      <c r="CJ54" s="188"/>
      <c r="CK54" s="188">
        <f t="shared" si="14"/>
        <v>0</v>
      </c>
      <c r="CL54" s="89">
        <f t="shared" si="15"/>
        <v>0</v>
      </c>
      <c r="CM54" s="89" t="s">
        <v>11</v>
      </c>
      <c r="CN54" s="188" t="s">
        <v>1363</v>
      </c>
      <c r="CO54" s="188"/>
      <c r="CP54" s="188"/>
      <c r="CQ54" s="188"/>
      <c r="CR54" s="24"/>
      <c r="CS54" s="2">
        <v>54</v>
      </c>
    </row>
    <row r="55" spans="1:106" ht="199.5" customHeight="1" x14ac:dyDescent="0.25">
      <c r="A55" s="276">
        <v>14</v>
      </c>
      <c r="B55" s="269" t="s">
        <v>1447</v>
      </c>
      <c r="C55" s="269" t="s">
        <v>1266</v>
      </c>
      <c r="D55" s="189" t="s">
        <v>147</v>
      </c>
      <c r="E55" s="276" t="s">
        <v>190</v>
      </c>
      <c r="F55" s="189" t="s">
        <v>186</v>
      </c>
      <c r="G55" s="172">
        <v>8</v>
      </c>
      <c r="H55" s="276" t="s">
        <v>213</v>
      </c>
      <c r="I55" s="276">
        <v>55</v>
      </c>
      <c r="J55" s="276" t="s">
        <v>214</v>
      </c>
      <c r="K55" s="276" t="s">
        <v>863</v>
      </c>
      <c r="L55" s="189" t="s">
        <v>215</v>
      </c>
      <c r="M55" s="276" t="s">
        <v>152</v>
      </c>
      <c r="N55" s="189" t="s">
        <v>188</v>
      </c>
      <c r="O55" s="189" t="s">
        <v>137</v>
      </c>
      <c r="P55" s="276" t="s">
        <v>189</v>
      </c>
      <c r="Q55" s="276" t="s">
        <v>188</v>
      </c>
      <c r="R55" s="276"/>
      <c r="S55" s="276"/>
      <c r="T55" s="276" t="s">
        <v>138</v>
      </c>
      <c r="U55" s="276"/>
      <c r="V55" s="276"/>
      <c r="W55" s="276"/>
      <c r="X55" s="173">
        <v>3.3333333333333335</v>
      </c>
      <c r="Y55" s="276">
        <v>0</v>
      </c>
      <c r="Z55" s="276">
        <v>1</v>
      </c>
      <c r="AA55" s="276" t="s">
        <v>1221</v>
      </c>
      <c r="AB55" s="276"/>
      <c r="AC55" s="275">
        <v>9</v>
      </c>
      <c r="AD55" s="189" t="s">
        <v>1294</v>
      </c>
      <c r="AE55" s="189"/>
      <c r="AF55" s="79"/>
      <c r="AG55" s="276" t="s">
        <v>1236</v>
      </c>
      <c r="AH55" s="78"/>
      <c r="AI55" s="275">
        <v>1</v>
      </c>
      <c r="AJ55" s="83" t="str">
        <f t="shared" si="16"/>
        <v>02040551</v>
      </c>
      <c r="AK55" s="83" t="s">
        <v>1564</v>
      </c>
      <c r="AL55" s="189" t="s">
        <v>137</v>
      </c>
      <c r="AM55" s="189"/>
      <c r="AN55" s="83" t="s">
        <v>1390</v>
      </c>
      <c r="AO55" s="83" t="s">
        <v>1396</v>
      </c>
      <c r="AP55" s="189" t="s">
        <v>1465</v>
      </c>
      <c r="AQ55" s="189" t="s">
        <v>1456</v>
      </c>
      <c r="AR55" s="189" t="s">
        <v>1457</v>
      </c>
      <c r="AS55" s="189" t="s">
        <v>1391</v>
      </c>
      <c r="AT55" s="189" t="s">
        <v>1395</v>
      </c>
      <c r="AU55" s="189" t="s">
        <v>1395</v>
      </c>
      <c r="AV55" s="189">
        <v>2006</v>
      </c>
      <c r="AW55" s="189" t="s">
        <v>1375</v>
      </c>
      <c r="AX55" s="276">
        <v>1</v>
      </c>
      <c r="AY55" s="276" t="str">
        <f t="shared" si="17"/>
        <v>020405511</v>
      </c>
      <c r="AZ55" s="276" t="s">
        <v>1373</v>
      </c>
      <c r="BA55" s="83" t="s">
        <v>1395</v>
      </c>
      <c r="BB55" s="83" t="s">
        <v>1392</v>
      </c>
      <c r="BC55" s="83" t="s">
        <v>1360</v>
      </c>
      <c r="BD55" s="83">
        <v>2006</v>
      </c>
      <c r="BE55" s="83" t="s">
        <v>1257</v>
      </c>
      <c r="BF55" s="83" t="s">
        <v>1467</v>
      </c>
      <c r="BG55" s="83" t="s">
        <v>1393</v>
      </c>
      <c r="BH55" s="83" t="s">
        <v>1375</v>
      </c>
      <c r="BI55" s="83" t="s">
        <v>1468</v>
      </c>
      <c r="BJ55" s="83" t="s">
        <v>1469</v>
      </c>
      <c r="BK55" s="83" t="s">
        <v>1469</v>
      </c>
      <c r="BL55" s="83">
        <v>2159800</v>
      </c>
      <c r="BM55" s="83">
        <v>2015</v>
      </c>
      <c r="BN55" s="83">
        <v>0</v>
      </c>
      <c r="BO55" s="97">
        <v>7270</v>
      </c>
      <c r="BP55" s="97"/>
      <c r="BQ55" s="173">
        <f t="shared" si="0"/>
        <v>7270</v>
      </c>
      <c r="BR55" s="275">
        <v>5</v>
      </c>
      <c r="BS55" s="94">
        <f t="shared" si="1"/>
        <v>1454</v>
      </c>
      <c r="BT55" s="141">
        <v>1454</v>
      </c>
      <c r="BU55" s="94">
        <f t="shared" si="2"/>
        <v>1454</v>
      </c>
      <c r="BV55" s="188">
        <f t="shared" si="3"/>
        <v>0.2</v>
      </c>
      <c r="BW55" s="94">
        <f t="shared" si="4"/>
        <v>2908</v>
      </c>
      <c r="BX55" s="138">
        <v>1700</v>
      </c>
      <c r="BY55" s="94">
        <f t="shared" si="5"/>
        <v>1700</v>
      </c>
      <c r="BZ55" s="89">
        <f t="shared" si="6"/>
        <v>0.23383768913342504</v>
      </c>
      <c r="CA55" s="94">
        <f t="shared" si="7"/>
        <v>4362</v>
      </c>
      <c r="CB55" s="141"/>
      <c r="CC55" s="94">
        <f t="shared" si="8"/>
        <v>0</v>
      </c>
      <c r="CD55" s="188">
        <f t="shared" si="9"/>
        <v>0</v>
      </c>
      <c r="CE55" s="94">
        <f t="shared" si="10"/>
        <v>5816</v>
      </c>
      <c r="CF55" s="141"/>
      <c r="CG55" s="94">
        <f t="shared" si="11"/>
        <v>0</v>
      </c>
      <c r="CH55" s="188">
        <f t="shared" si="12"/>
        <v>0</v>
      </c>
      <c r="CI55" s="94">
        <f t="shared" si="13"/>
        <v>7270</v>
      </c>
      <c r="CJ55" s="141"/>
      <c r="CK55" s="94">
        <f t="shared" si="14"/>
        <v>0</v>
      </c>
      <c r="CL55" s="89">
        <f t="shared" si="15"/>
        <v>0</v>
      </c>
      <c r="CM55" s="89" t="s">
        <v>11</v>
      </c>
      <c r="CN55" s="188" t="s">
        <v>1363</v>
      </c>
      <c r="CO55" s="188"/>
      <c r="CP55" s="188"/>
      <c r="CQ55" s="188"/>
      <c r="CR55" s="4"/>
      <c r="CS55" s="24">
        <v>55</v>
      </c>
    </row>
    <row r="56" spans="1:106" ht="199.5" customHeight="1" x14ac:dyDescent="0.25">
      <c r="A56" s="276">
        <v>14</v>
      </c>
      <c r="B56" s="269" t="s">
        <v>1447</v>
      </c>
      <c r="C56" s="269" t="s">
        <v>1266</v>
      </c>
      <c r="D56" s="189" t="s">
        <v>147</v>
      </c>
      <c r="E56" s="276" t="s">
        <v>190</v>
      </c>
      <c r="F56" s="189" t="s">
        <v>186</v>
      </c>
      <c r="G56" s="172">
        <v>8</v>
      </c>
      <c r="H56" s="276" t="s">
        <v>213</v>
      </c>
      <c r="I56" s="276">
        <v>55</v>
      </c>
      <c r="J56" s="276" t="s">
        <v>214</v>
      </c>
      <c r="K56" s="276" t="s">
        <v>863</v>
      </c>
      <c r="L56" s="189" t="s">
        <v>215</v>
      </c>
      <c r="M56" s="276" t="s">
        <v>152</v>
      </c>
      <c r="N56" s="189" t="s">
        <v>188</v>
      </c>
      <c r="O56" s="189" t="s">
        <v>137</v>
      </c>
      <c r="P56" s="276" t="s">
        <v>189</v>
      </c>
      <c r="Q56" s="276" t="s">
        <v>188</v>
      </c>
      <c r="R56" s="276"/>
      <c r="S56" s="276"/>
      <c r="T56" s="276" t="s">
        <v>138</v>
      </c>
      <c r="U56" s="276"/>
      <c r="V56" s="276"/>
      <c r="W56" s="276"/>
      <c r="X56" s="173">
        <v>3.3333333333333335</v>
      </c>
      <c r="Y56" s="276">
        <v>0</v>
      </c>
      <c r="Z56" s="276">
        <v>1</v>
      </c>
      <c r="AA56" s="276" t="s">
        <v>1221</v>
      </c>
      <c r="AB56" s="276"/>
      <c r="AC56" s="275">
        <v>9</v>
      </c>
      <c r="AD56" s="189" t="s">
        <v>1294</v>
      </c>
      <c r="AE56" s="189"/>
      <c r="AF56" s="79"/>
      <c r="AG56" s="276" t="s">
        <v>1236</v>
      </c>
      <c r="AH56" s="78"/>
      <c r="AI56" s="275">
        <v>2</v>
      </c>
      <c r="AJ56" s="189" t="str">
        <f t="shared" si="16"/>
        <v>02040552</v>
      </c>
      <c r="AK56" s="83" t="s">
        <v>1565</v>
      </c>
      <c r="AL56" s="189" t="s">
        <v>78</v>
      </c>
      <c r="AM56" s="189"/>
      <c r="AN56" s="83" t="s">
        <v>1390</v>
      </c>
      <c r="AO56" s="83" t="s">
        <v>10</v>
      </c>
      <c r="AP56" s="189" t="s">
        <v>1466</v>
      </c>
      <c r="AQ56" s="189" t="s">
        <v>1458</v>
      </c>
      <c r="AR56" s="189" t="s">
        <v>1459</v>
      </c>
      <c r="AS56" s="189" t="s">
        <v>1391</v>
      </c>
      <c r="AT56" s="189" t="s">
        <v>1460</v>
      </c>
      <c r="AU56" s="189" t="s">
        <v>1391</v>
      </c>
      <c r="AV56" s="189">
        <v>2006</v>
      </c>
      <c r="AW56" s="189" t="s">
        <v>1375</v>
      </c>
      <c r="AX56" s="276">
        <v>1</v>
      </c>
      <c r="AY56" s="276" t="str">
        <f t="shared" si="17"/>
        <v>020405521</v>
      </c>
      <c r="AZ56" s="276" t="s">
        <v>1373</v>
      </c>
      <c r="BA56" s="83" t="s">
        <v>1395</v>
      </c>
      <c r="BB56" s="83" t="s">
        <v>1392</v>
      </c>
      <c r="BC56" s="83" t="s">
        <v>1360</v>
      </c>
      <c r="BD56" s="83">
        <v>2006</v>
      </c>
      <c r="BE56" s="83" t="s">
        <v>1257</v>
      </c>
      <c r="BF56" s="83" t="s">
        <v>1467</v>
      </c>
      <c r="BG56" s="83" t="s">
        <v>1393</v>
      </c>
      <c r="BH56" s="83" t="s">
        <v>1375</v>
      </c>
      <c r="BI56" s="83" t="s">
        <v>1468</v>
      </c>
      <c r="BJ56" s="83" t="s">
        <v>1469</v>
      </c>
      <c r="BK56" s="83" t="s">
        <v>1469</v>
      </c>
      <c r="BL56" s="83">
        <v>2159800</v>
      </c>
      <c r="BM56" s="83">
        <v>2015</v>
      </c>
      <c r="BN56" s="83">
        <v>0</v>
      </c>
      <c r="BO56" s="83">
        <v>1</v>
      </c>
      <c r="BP56" s="83"/>
      <c r="BQ56" s="81">
        <f t="shared" si="0"/>
        <v>1</v>
      </c>
      <c r="BR56" s="275">
        <v>5</v>
      </c>
      <c r="BS56" s="139">
        <f t="shared" si="1"/>
        <v>0.2</v>
      </c>
      <c r="BT56" s="188">
        <v>0.2</v>
      </c>
      <c r="BU56" s="188">
        <f t="shared" si="2"/>
        <v>0.2</v>
      </c>
      <c r="BV56" s="188">
        <f t="shared" si="3"/>
        <v>0.2</v>
      </c>
      <c r="BW56" s="139">
        <f t="shared" si="4"/>
        <v>0.4</v>
      </c>
      <c r="BX56" s="140">
        <v>0.23383768913342504</v>
      </c>
      <c r="BY56" s="140">
        <f t="shared" si="5"/>
        <v>0.23383768913342504</v>
      </c>
      <c r="BZ56" s="89">
        <f t="shared" si="6"/>
        <v>0.23383768913342504</v>
      </c>
      <c r="CA56" s="188">
        <f t="shared" si="7"/>
        <v>0.60000000000000009</v>
      </c>
      <c r="CB56" s="188"/>
      <c r="CC56" s="188">
        <f t="shared" si="8"/>
        <v>0</v>
      </c>
      <c r="CD56" s="188">
        <f t="shared" si="9"/>
        <v>0</v>
      </c>
      <c r="CE56" s="188">
        <f t="shared" si="10"/>
        <v>0.8</v>
      </c>
      <c r="CF56" s="188"/>
      <c r="CG56" s="188">
        <f t="shared" si="11"/>
        <v>0</v>
      </c>
      <c r="CH56" s="188">
        <f t="shared" si="12"/>
        <v>0</v>
      </c>
      <c r="CI56" s="188">
        <f t="shared" si="13"/>
        <v>1</v>
      </c>
      <c r="CJ56" s="188"/>
      <c r="CK56" s="188">
        <f t="shared" si="14"/>
        <v>0</v>
      </c>
      <c r="CL56" s="89">
        <f t="shared" si="15"/>
        <v>0</v>
      </c>
      <c r="CM56" s="89" t="s">
        <v>11</v>
      </c>
      <c r="CN56" s="188" t="s">
        <v>1363</v>
      </c>
      <c r="CO56" s="188"/>
      <c r="CP56" s="188"/>
      <c r="CQ56" s="188"/>
      <c r="CR56" s="4"/>
      <c r="CS56" s="24">
        <v>56</v>
      </c>
    </row>
    <row r="57" spans="1:106" ht="228" customHeight="1" x14ac:dyDescent="0.25">
      <c r="A57" s="276">
        <v>14</v>
      </c>
      <c r="B57" s="269" t="s">
        <v>1587</v>
      </c>
      <c r="C57" s="269" t="s">
        <v>1266</v>
      </c>
      <c r="D57" s="189" t="s">
        <v>147</v>
      </c>
      <c r="E57" s="276" t="s">
        <v>190</v>
      </c>
      <c r="F57" s="189" t="s">
        <v>186</v>
      </c>
      <c r="G57" s="172">
        <v>9</v>
      </c>
      <c r="H57" s="276" t="s">
        <v>216</v>
      </c>
      <c r="I57" s="276">
        <v>56</v>
      </c>
      <c r="J57" s="276" t="s">
        <v>217</v>
      </c>
      <c r="K57" s="276" t="s">
        <v>864</v>
      </c>
      <c r="L57" s="189" t="s">
        <v>218</v>
      </c>
      <c r="M57" s="276" t="s">
        <v>152</v>
      </c>
      <c r="N57" s="189" t="s">
        <v>188</v>
      </c>
      <c r="O57" s="276" t="s">
        <v>78</v>
      </c>
      <c r="P57" s="276" t="s">
        <v>189</v>
      </c>
      <c r="Q57" s="276" t="s">
        <v>188</v>
      </c>
      <c r="R57" s="276"/>
      <c r="S57" s="276"/>
      <c r="T57" s="276" t="s">
        <v>79</v>
      </c>
      <c r="U57" s="276"/>
      <c r="V57" s="276"/>
      <c r="W57" s="276"/>
      <c r="X57" s="173">
        <f>100/COUNTIFS(($C$4:$C$281),C57,($E$4:$E$281),E57)</f>
        <v>2.8571428571428572</v>
      </c>
      <c r="Y57" s="276">
        <f t="shared" ref="Y57:Y62" si="18">COUNTIF(T57,"RS")</f>
        <v>0</v>
      </c>
      <c r="Z57" s="276">
        <v>1</v>
      </c>
      <c r="AA57" s="276" t="s">
        <v>1221</v>
      </c>
      <c r="AB57" s="276"/>
      <c r="AC57" s="275">
        <v>9</v>
      </c>
      <c r="AD57" s="276" t="s">
        <v>1294</v>
      </c>
      <c r="AE57" s="276"/>
      <c r="AF57" s="275"/>
      <c r="AG57" s="276" t="s">
        <v>1236</v>
      </c>
      <c r="AH57" s="77"/>
      <c r="AI57" s="275">
        <v>1</v>
      </c>
      <c r="AJ57" s="189" t="str">
        <f t="shared" si="16"/>
        <v>02040561</v>
      </c>
      <c r="AK57" s="189" t="s">
        <v>1588</v>
      </c>
      <c r="AL57" s="189" t="s">
        <v>78</v>
      </c>
      <c r="AM57" s="83" t="s">
        <v>1571</v>
      </c>
      <c r="AN57" s="83" t="s">
        <v>1390</v>
      </c>
      <c r="AO57" s="189" t="s">
        <v>1369</v>
      </c>
      <c r="AP57" s="189" t="s">
        <v>1589</v>
      </c>
      <c r="AQ57" s="189" t="s">
        <v>1590</v>
      </c>
      <c r="AR57" s="276" t="s">
        <v>1572</v>
      </c>
      <c r="AS57" s="276" t="s">
        <v>1591</v>
      </c>
      <c r="AT57" s="189" t="s">
        <v>1395</v>
      </c>
      <c r="AU57" s="189" t="s">
        <v>1395</v>
      </c>
      <c r="AV57" s="276" t="s">
        <v>1573</v>
      </c>
      <c r="AW57" s="189" t="s">
        <v>1574</v>
      </c>
      <c r="AX57" s="275">
        <v>1</v>
      </c>
      <c r="AY57" s="276" t="str">
        <f t="shared" si="17"/>
        <v>020405611</v>
      </c>
      <c r="AZ57" s="276" t="s">
        <v>1575</v>
      </c>
      <c r="BA57" s="83" t="s">
        <v>1592</v>
      </c>
      <c r="BB57" s="189" t="s">
        <v>1591</v>
      </c>
      <c r="BC57" s="83" t="s">
        <v>1360</v>
      </c>
      <c r="BD57" s="105" t="s">
        <v>1573</v>
      </c>
      <c r="BE57" s="276" t="s">
        <v>1593</v>
      </c>
      <c r="BF57" s="189" t="s">
        <v>1593</v>
      </c>
      <c r="BG57" s="276" t="s">
        <v>1395</v>
      </c>
      <c r="BH57" s="276"/>
      <c r="BI57" s="83" t="s">
        <v>1468</v>
      </c>
      <c r="BJ57" s="83" t="s">
        <v>1594</v>
      </c>
      <c r="BK57" s="189" t="s">
        <v>1595</v>
      </c>
      <c r="BL57" s="101">
        <v>4141594</v>
      </c>
      <c r="BM57" s="142">
        <v>42005</v>
      </c>
      <c r="BN57" s="105">
        <v>3</v>
      </c>
      <c r="BO57" s="276" t="s">
        <v>1596</v>
      </c>
      <c r="BP57" s="275"/>
      <c r="BQ57" s="173" t="e">
        <f t="shared" si="0"/>
        <v>#VALUE!</v>
      </c>
      <c r="BR57" s="275"/>
      <c r="BS57" s="188" t="e">
        <f t="shared" si="1"/>
        <v>#VALUE!</v>
      </c>
      <c r="BT57" s="188"/>
      <c r="BU57" s="188">
        <f t="shared" si="2"/>
        <v>-3</v>
      </c>
      <c r="BV57" s="188" t="e">
        <f t="shared" si="3"/>
        <v>#VALUE!</v>
      </c>
      <c r="BW57" s="188" t="e">
        <f t="shared" si="4"/>
        <v>#VALUE!</v>
      </c>
      <c r="BX57" s="188"/>
      <c r="BY57" s="188">
        <f t="shared" si="5"/>
        <v>-3</v>
      </c>
      <c r="BZ57" s="89" t="e">
        <f t="shared" si="6"/>
        <v>#VALUE!</v>
      </c>
      <c r="CA57" s="188" t="e">
        <f t="shared" si="7"/>
        <v>#VALUE!</v>
      </c>
      <c r="CB57" s="188"/>
      <c r="CC57" s="188">
        <f t="shared" si="8"/>
        <v>-3</v>
      </c>
      <c r="CD57" s="188" t="e">
        <f t="shared" si="9"/>
        <v>#VALUE!</v>
      </c>
      <c r="CE57" s="188" t="e">
        <f t="shared" si="10"/>
        <v>#VALUE!</v>
      </c>
      <c r="CF57" s="188"/>
      <c r="CG57" s="188">
        <f t="shared" si="11"/>
        <v>-3</v>
      </c>
      <c r="CH57" s="188" t="e">
        <f t="shared" si="12"/>
        <v>#VALUE!</v>
      </c>
      <c r="CI57" s="188" t="e">
        <f t="shared" si="13"/>
        <v>#VALUE!</v>
      </c>
      <c r="CJ57" s="188"/>
      <c r="CK57" s="188">
        <f t="shared" si="14"/>
        <v>-3</v>
      </c>
      <c r="CL57" s="89" t="e">
        <f t="shared" si="15"/>
        <v>#VALUE!</v>
      </c>
      <c r="CM57" s="89" t="s">
        <v>11</v>
      </c>
      <c r="CN57" s="188" t="s">
        <v>1363</v>
      </c>
      <c r="CO57" s="188"/>
      <c r="CP57" s="188"/>
      <c r="CQ57" s="188"/>
      <c r="CR57" s="4"/>
      <c r="CS57" s="2">
        <v>57</v>
      </c>
    </row>
    <row r="58" spans="1:106" ht="171" x14ac:dyDescent="0.25">
      <c r="A58" s="276">
        <v>14</v>
      </c>
      <c r="B58" s="269" t="s">
        <v>1587</v>
      </c>
      <c r="C58" s="269" t="s">
        <v>1266</v>
      </c>
      <c r="D58" s="189" t="s">
        <v>147</v>
      </c>
      <c r="E58" s="276" t="s">
        <v>190</v>
      </c>
      <c r="F58" s="189" t="s">
        <v>186</v>
      </c>
      <c r="G58" s="172">
        <v>10</v>
      </c>
      <c r="H58" s="276" t="s">
        <v>219</v>
      </c>
      <c r="I58" s="276">
        <v>57</v>
      </c>
      <c r="J58" s="276" t="s">
        <v>220</v>
      </c>
      <c r="K58" s="276" t="s">
        <v>865</v>
      </c>
      <c r="L58" s="189" t="s">
        <v>221</v>
      </c>
      <c r="M58" s="276" t="s">
        <v>152</v>
      </c>
      <c r="N58" s="189" t="s">
        <v>188</v>
      </c>
      <c r="O58" s="276" t="s">
        <v>137</v>
      </c>
      <c r="P58" s="276" t="s">
        <v>189</v>
      </c>
      <c r="Q58" s="276" t="s">
        <v>188</v>
      </c>
      <c r="R58" s="276"/>
      <c r="S58" s="276"/>
      <c r="T58" s="276" t="s">
        <v>138</v>
      </c>
      <c r="U58" s="276"/>
      <c r="V58" s="276"/>
      <c r="W58" s="276"/>
      <c r="X58" s="173">
        <f>100/COUNTIFS(($C$4:$C$281),C58,($E$4:$E$281),E58)</f>
        <v>2.8571428571428572</v>
      </c>
      <c r="Y58" s="276">
        <f t="shared" si="18"/>
        <v>0</v>
      </c>
      <c r="Z58" s="276">
        <v>1</v>
      </c>
      <c r="AA58" s="276" t="s">
        <v>1220</v>
      </c>
      <c r="AB58" s="276"/>
      <c r="AC58" s="275">
        <v>9</v>
      </c>
      <c r="AD58" s="276" t="s">
        <v>1294</v>
      </c>
      <c r="AE58" s="276"/>
      <c r="AF58" s="275"/>
      <c r="AG58" s="276" t="s">
        <v>1236</v>
      </c>
      <c r="AH58" s="77"/>
      <c r="AI58" s="275">
        <v>1</v>
      </c>
      <c r="AJ58" s="189" t="str">
        <f t="shared" si="16"/>
        <v>02040571</v>
      </c>
      <c r="AK58" s="189" t="s">
        <v>1597</v>
      </c>
      <c r="AL58" s="189" t="s">
        <v>78</v>
      </c>
      <c r="AM58" s="276" t="s">
        <v>1576</v>
      </c>
      <c r="AN58" s="83" t="s">
        <v>1390</v>
      </c>
      <c r="AO58" s="189" t="s">
        <v>10</v>
      </c>
      <c r="AP58" s="189" t="s">
        <v>1597</v>
      </c>
      <c r="AQ58" s="189" t="s">
        <v>1601</v>
      </c>
      <c r="AR58" s="189" t="s">
        <v>1577</v>
      </c>
      <c r="AS58" s="276" t="s">
        <v>1578</v>
      </c>
      <c r="AT58" s="276" t="s">
        <v>1579</v>
      </c>
      <c r="AU58" s="189" t="s">
        <v>1391</v>
      </c>
      <c r="AV58" s="275">
        <v>2018</v>
      </c>
      <c r="AW58" s="276" t="s">
        <v>1580</v>
      </c>
      <c r="AX58" s="275">
        <v>1</v>
      </c>
      <c r="AY58" s="276" t="str">
        <f t="shared" si="17"/>
        <v>020405711</v>
      </c>
      <c r="AZ58" s="276" t="s">
        <v>1575</v>
      </c>
      <c r="BA58" s="83" t="s">
        <v>1592</v>
      </c>
      <c r="BB58" s="189" t="s">
        <v>1591</v>
      </c>
      <c r="BC58" s="189" t="s">
        <v>1358</v>
      </c>
      <c r="BD58" s="101">
        <v>2017</v>
      </c>
      <c r="BE58" s="275" t="s">
        <v>1257</v>
      </c>
      <c r="BF58" s="79" t="s">
        <v>17</v>
      </c>
      <c r="BG58" s="276" t="s">
        <v>1395</v>
      </c>
      <c r="BH58" s="275"/>
      <c r="BI58" s="83" t="s">
        <v>1468</v>
      </c>
      <c r="BJ58" s="83" t="s">
        <v>1594</v>
      </c>
      <c r="BK58" s="189" t="s">
        <v>1595</v>
      </c>
      <c r="BL58" s="101">
        <v>4141594</v>
      </c>
      <c r="BM58" s="143">
        <v>42948</v>
      </c>
      <c r="BN58" s="101">
        <v>0</v>
      </c>
      <c r="BO58" s="276" t="s">
        <v>1596</v>
      </c>
      <c r="BP58" s="275"/>
      <c r="BQ58" s="173" t="e">
        <f t="shared" si="0"/>
        <v>#VALUE!</v>
      </c>
      <c r="BR58" s="275">
        <v>5</v>
      </c>
      <c r="BS58" s="188" t="e">
        <f t="shared" si="1"/>
        <v>#VALUE!</v>
      </c>
      <c r="BT58" s="188">
        <v>0</v>
      </c>
      <c r="BU58" s="188">
        <f t="shared" si="2"/>
        <v>0</v>
      </c>
      <c r="BV58" s="188" t="e">
        <f t="shared" si="3"/>
        <v>#VALUE!</v>
      </c>
      <c r="BW58" s="188" t="e">
        <f t="shared" si="4"/>
        <v>#VALUE!</v>
      </c>
      <c r="BX58" s="188">
        <v>0.01</v>
      </c>
      <c r="BY58" s="188">
        <f t="shared" si="5"/>
        <v>0.01</v>
      </c>
      <c r="BZ58" s="89" t="e">
        <f t="shared" si="6"/>
        <v>#VALUE!</v>
      </c>
      <c r="CA58" s="188" t="e">
        <f t="shared" si="7"/>
        <v>#VALUE!</v>
      </c>
      <c r="CB58" s="188"/>
      <c r="CC58" s="188">
        <f t="shared" si="8"/>
        <v>0</v>
      </c>
      <c r="CD58" s="188" t="e">
        <f t="shared" si="9"/>
        <v>#VALUE!</v>
      </c>
      <c r="CE58" s="188" t="e">
        <f t="shared" si="10"/>
        <v>#VALUE!</v>
      </c>
      <c r="CF58" s="188"/>
      <c r="CG58" s="188">
        <f t="shared" si="11"/>
        <v>0</v>
      </c>
      <c r="CH58" s="188" t="e">
        <f t="shared" si="12"/>
        <v>#VALUE!</v>
      </c>
      <c r="CI58" s="188" t="e">
        <f t="shared" si="13"/>
        <v>#VALUE!</v>
      </c>
      <c r="CJ58" s="188"/>
      <c r="CK58" s="188">
        <f t="shared" si="14"/>
        <v>0</v>
      </c>
      <c r="CL58" s="89" t="e">
        <f t="shared" si="15"/>
        <v>#VALUE!</v>
      </c>
      <c r="CM58" s="89" t="s">
        <v>11</v>
      </c>
      <c r="CN58" s="188" t="s">
        <v>1363</v>
      </c>
      <c r="CO58" s="188"/>
      <c r="CP58" s="188"/>
      <c r="CQ58" s="188"/>
      <c r="CR58" s="4"/>
      <c r="CS58" s="24">
        <v>58</v>
      </c>
    </row>
    <row r="59" spans="1:106" ht="171" x14ac:dyDescent="0.25">
      <c r="A59" s="276">
        <v>14</v>
      </c>
      <c r="B59" s="269" t="s">
        <v>1587</v>
      </c>
      <c r="C59" s="269" t="s">
        <v>1266</v>
      </c>
      <c r="D59" s="189" t="s">
        <v>147</v>
      </c>
      <c r="E59" s="276" t="s">
        <v>190</v>
      </c>
      <c r="F59" s="189" t="s">
        <v>186</v>
      </c>
      <c r="G59" s="172">
        <v>12</v>
      </c>
      <c r="H59" s="276" t="s">
        <v>223</v>
      </c>
      <c r="I59" s="276">
        <v>59</v>
      </c>
      <c r="J59" s="276" t="s">
        <v>224</v>
      </c>
      <c r="K59" s="276" t="s">
        <v>867</v>
      </c>
      <c r="L59" s="189" t="s">
        <v>225</v>
      </c>
      <c r="M59" s="276" t="s">
        <v>152</v>
      </c>
      <c r="N59" s="189" t="s">
        <v>188</v>
      </c>
      <c r="O59" s="276" t="s">
        <v>137</v>
      </c>
      <c r="P59" s="276" t="s">
        <v>189</v>
      </c>
      <c r="Q59" s="276" t="s">
        <v>188</v>
      </c>
      <c r="R59" s="276"/>
      <c r="S59" s="276"/>
      <c r="T59" s="276" t="s">
        <v>138</v>
      </c>
      <c r="U59" s="276"/>
      <c r="V59" s="276"/>
      <c r="W59" s="276"/>
      <c r="X59" s="173" t="e">
        <f>100/COUNTIFS(($C$4:$C$281),#REF!,($E$4:$E$281),#REF!)</f>
        <v>#DIV/0!</v>
      </c>
      <c r="Y59" s="276">
        <f t="shared" si="18"/>
        <v>0</v>
      </c>
      <c r="Z59" s="276">
        <v>1</v>
      </c>
      <c r="AA59" s="276" t="s">
        <v>1220</v>
      </c>
      <c r="AB59" s="276"/>
      <c r="AC59" s="275">
        <v>9</v>
      </c>
      <c r="AD59" s="276" t="s">
        <v>1294</v>
      </c>
      <c r="AE59" s="276"/>
      <c r="AF59" s="275"/>
      <c r="AG59" s="276" t="s">
        <v>1236</v>
      </c>
      <c r="AH59" s="77"/>
      <c r="AI59" s="275">
        <v>1</v>
      </c>
      <c r="AJ59" s="189" t="str">
        <f t="shared" si="16"/>
        <v>02040591</v>
      </c>
      <c r="AK59" s="189" t="s">
        <v>1598</v>
      </c>
      <c r="AL59" s="189" t="s">
        <v>78</v>
      </c>
      <c r="AM59" s="275" t="s">
        <v>1581</v>
      </c>
      <c r="AN59" s="83" t="s">
        <v>1390</v>
      </c>
      <c r="AO59" s="189" t="s">
        <v>10</v>
      </c>
      <c r="AP59" s="189" t="s">
        <v>1599</v>
      </c>
      <c r="AQ59" s="189" t="s">
        <v>1602</v>
      </c>
      <c r="AR59" s="189" t="s">
        <v>1577</v>
      </c>
      <c r="AS59" s="276" t="s">
        <v>1578</v>
      </c>
      <c r="AT59" s="276" t="s">
        <v>1579</v>
      </c>
      <c r="AU59" s="189" t="s">
        <v>1391</v>
      </c>
      <c r="AV59" s="275">
        <v>2018</v>
      </c>
      <c r="AW59" s="83" t="s">
        <v>1600</v>
      </c>
      <c r="AX59" s="275">
        <v>1</v>
      </c>
      <c r="AY59" s="276" t="str">
        <f t="shared" si="17"/>
        <v>020405911</v>
      </c>
      <c r="AZ59" s="276" t="s">
        <v>1575</v>
      </c>
      <c r="BA59" s="83" t="s">
        <v>1592</v>
      </c>
      <c r="BB59" s="189" t="s">
        <v>1591</v>
      </c>
      <c r="BC59" s="189" t="s">
        <v>1358</v>
      </c>
      <c r="BD59" s="101">
        <v>2017</v>
      </c>
      <c r="BE59" s="79" t="s">
        <v>1257</v>
      </c>
      <c r="BF59" s="79" t="s">
        <v>17</v>
      </c>
      <c r="BG59" s="276" t="s">
        <v>1395</v>
      </c>
      <c r="BH59" s="275"/>
      <c r="BI59" s="83" t="s">
        <v>1468</v>
      </c>
      <c r="BJ59" s="83" t="s">
        <v>1594</v>
      </c>
      <c r="BK59" s="189" t="s">
        <v>1595</v>
      </c>
      <c r="BL59" s="101">
        <v>4141594</v>
      </c>
      <c r="BM59" s="143">
        <v>42054</v>
      </c>
      <c r="BN59" s="275"/>
      <c r="BO59" s="276" t="s">
        <v>1596</v>
      </c>
      <c r="BP59" s="275"/>
      <c r="BQ59" s="173" t="e">
        <f t="shared" si="0"/>
        <v>#VALUE!</v>
      </c>
      <c r="BR59" s="275">
        <v>5</v>
      </c>
      <c r="BS59" s="188" t="e">
        <f t="shared" si="1"/>
        <v>#VALUE!</v>
      </c>
      <c r="BT59" s="188"/>
      <c r="BU59" s="188">
        <f t="shared" si="2"/>
        <v>0</v>
      </c>
      <c r="BV59" s="188" t="e">
        <f t="shared" si="3"/>
        <v>#VALUE!</v>
      </c>
      <c r="BW59" s="188" t="e">
        <f t="shared" si="4"/>
        <v>#VALUE!</v>
      </c>
      <c r="BX59" s="188"/>
      <c r="BY59" s="188">
        <f t="shared" si="5"/>
        <v>0</v>
      </c>
      <c r="BZ59" s="89" t="e">
        <f t="shared" si="6"/>
        <v>#VALUE!</v>
      </c>
      <c r="CA59" s="188" t="e">
        <f t="shared" si="7"/>
        <v>#VALUE!</v>
      </c>
      <c r="CB59" s="188"/>
      <c r="CC59" s="188">
        <f t="shared" si="8"/>
        <v>0</v>
      </c>
      <c r="CD59" s="188" t="e">
        <f t="shared" si="9"/>
        <v>#VALUE!</v>
      </c>
      <c r="CE59" s="188" t="e">
        <f t="shared" si="10"/>
        <v>#VALUE!</v>
      </c>
      <c r="CF59" s="188"/>
      <c r="CG59" s="188">
        <f t="shared" si="11"/>
        <v>0</v>
      </c>
      <c r="CH59" s="188" t="e">
        <f t="shared" si="12"/>
        <v>#VALUE!</v>
      </c>
      <c r="CI59" s="188" t="e">
        <f t="shared" si="13"/>
        <v>#VALUE!</v>
      </c>
      <c r="CJ59" s="188"/>
      <c r="CK59" s="188">
        <f t="shared" si="14"/>
        <v>0</v>
      </c>
      <c r="CL59" s="89" t="e">
        <f t="shared" si="15"/>
        <v>#VALUE!</v>
      </c>
      <c r="CM59" s="89" t="s">
        <v>11</v>
      </c>
      <c r="CN59" s="188" t="s">
        <v>1363</v>
      </c>
      <c r="CO59" s="188"/>
      <c r="CP59" s="188"/>
      <c r="CQ59" s="188"/>
      <c r="CR59" s="4"/>
      <c r="CS59" s="24">
        <v>59</v>
      </c>
    </row>
    <row r="60" spans="1:106" ht="171" x14ac:dyDescent="0.25">
      <c r="A60" s="276">
        <v>14</v>
      </c>
      <c r="B60" s="269" t="s">
        <v>1587</v>
      </c>
      <c r="C60" s="269" t="s">
        <v>1266</v>
      </c>
      <c r="D60" s="189" t="s">
        <v>147</v>
      </c>
      <c r="E60" s="276" t="s">
        <v>190</v>
      </c>
      <c r="F60" s="189" t="s">
        <v>186</v>
      </c>
      <c r="G60" s="172">
        <v>13</v>
      </c>
      <c r="H60" s="276" t="s">
        <v>226</v>
      </c>
      <c r="I60" s="276">
        <v>60</v>
      </c>
      <c r="J60" s="276" t="s">
        <v>227</v>
      </c>
      <c r="K60" s="276" t="s">
        <v>868</v>
      </c>
      <c r="L60" s="189" t="s">
        <v>1603</v>
      </c>
      <c r="M60" s="276" t="s">
        <v>152</v>
      </c>
      <c r="N60" s="276" t="s">
        <v>188</v>
      </c>
      <c r="O60" s="276" t="s">
        <v>137</v>
      </c>
      <c r="P60" s="276" t="s">
        <v>189</v>
      </c>
      <c r="Q60" s="276" t="s">
        <v>188</v>
      </c>
      <c r="R60" s="276"/>
      <c r="S60" s="276"/>
      <c r="T60" s="276" t="s">
        <v>138</v>
      </c>
      <c r="U60" s="276"/>
      <c r="V60" s="276"/>
      <c r="W60" s="276"/>
      <c r="X60" s="173">
        <f>100/COUNTIFS(($C$5:$C$284),C60,($E$5:$E$284),E60)</f>
        <v>2.8571428571428572</v>
      </c>
      <c r="Y60" s="276">
        <f t="shared" si="18"/>
        <v>0</v>
      </c>
      <c r="Z60" s="276">
        <v>1</v>
      </c>
      <c r="AA60" s="276" t="s">
        <v>1582</v>
      </c>
      <c r="AB60" s="276"/>
      <c r="AC60" s="275">
        <v>9</v>
      </c>
      <c r="AD60" s="276" t="s">
        <v>1294</v>
      </c>
      <c r="AE60" s="276"/>
      <c r="AF60" s="275"/>
      <c r="AG60" s="276" t="s">
        <v>1583</v>
      </c>
      <c r="AH60" s="77"/>
      <c r="AI60" s="275">
        <v>1</v>
      </c>
      <c r="AJ60" s="189" t="str">
        <f t="shared" si="16"/>
        <v>02040601</v>
      </c>
      <c r="AK60" s="189" t="s">
        <v>1604</v>
      </c>
      <c r="AL60" s="189" t="s">
        <v>78</v>
      </c>
      <c r="AM60" s="189"/>
      <c r="AN60" s="83" t="s">
        <v>1390</v>
      </c>
      <c r="AO60" s="189" t="s">
        <v>1369</v>
      </c>
      <c r="AP60" s="189" t="s">
        <v>1607</v>
      </c>
      <c r="AQ60" s="79" t="s">
        <v>1610</v>
      </c>
      <c r="AR60" s="189" t="s">
        <v>1611</v>
      </c>
      <c r="AS60" s="83" t="s">
        <v>1591</v>
      </c>
      <c r="AT60" s="189" t="s">
        <v>1395</v>
      </c>
      <c r="AU60" s="189" t="s">
        <v>1395</v>
      </c>
      <c r="AV60" s="189" t="s">
        <v>1395</v>
      </c>
      <c r="AW60" s="275"/>
      <c r="AX60" s="275">
        <v>1</v>
      </c>
      <c r="AY60" s="276">
        <v>20406011</v>
      </c>
      <c r="AZ60" s="276" t="s">
        <v>1584</v>
      </c>
      <c r="BA60" s="83" t="s">
        <v>1592</v>
      </c>
      <c r="BB60" s="189" t="s">
        <v>1591</v>
      </c>
      <c r="BC60" s="79" t="s">
        <v>11</v>
      </c>
      <c r="BD60" s="275"/>
      <c r="BE60" s="79" t="s">
        <v>1257</v>
      </c>
      <c r="BF60" s="79" t="s">
        <v>17</v>
      </c>
      <c r="BG60" s="276" t="s">
        <v>1395</v>
      </c>
      <c r="BH60" s="116" t="s">
        <v>1616</v>
      </c>
      <c r="BI60" s="83" t="s">
        <v>1468</v>
      </c>
      <c r="BJ60" s="83" t="s">
        <v>1594</v>
      </c>
      <c r="BK60" s="189" t="s">
        <v>1617</v>
      </c>
      <c r="BL60" s="105" t="s">
        <v>1585</v>
      </c>
      <c r="BM60" s="276" t="s">
        <v>1586</v>
      </c>
      <c r="BN60" s="101">
        <v>0</v>
      </c>
      <c r="BO60" s="276" t="s">
        <v>1596</v>
      </c>
      <c r="BP60" s="275"/>
      <c r="BQ60" s="173" t="e">
        <f t="shared" si="0"/>
        <v>#VALUE!</v>
      </c>
      <c r="BR60" s="275">
        <v>5</v>
      </c>
      <c r="BS60" s="188" t="e">
        <f t="shared" si="1"/>
        <v>#VALUE!</v>
      </c>
      <c r="BT60" s="188"/>
      <c r="BU60" s="188">
        <f t="shared" si="2"/>
        <v>0</v>
      </c>
      <c r="BV60" s="188" t="e">
        <f t="shared" si="3"/>
        <v>#VALUE!</v>
      </c>
      <c r="BW60" s="188" t="e">
        <f>+BN60-(((BQ59)/5)*(-2))</f>
        <v>#VALUE!</v>
      </c>
      <c r="BX60" s="188"/>
      <c r="BY60" s="188">
        <f t="shared" si="5"/>
        <v>0</v>
      </c>
      <c r="BZ60" s="89" t="e">
        <f>+BY60/BQ59</f>
        <v>#VALUE!</v>
      </c>
      <c r="CA60" s="188" t="e">
        <f>+BN60-(((BQ59)/5)*(-3))</f>
        <v>#VALUE!</v>
      </c>
      <c r="CB60" s="188"/>
      <c r="CC60" s="188">
        <f t="shared" si="8"/>
        <v>0</v>
      </c>
      <c r="CD60" s="188" t="e">
        <f>+CC60/BQ59</f>
        <v>#VALUE!</v>
      </c>
      <c r="CE60" s="188" t="e">
        <f>+BN60-(((BQ59)/5)*(-4))</f>
        <v>#VALUE!</v>
      </c>
      <c r="CF60" s="188"/>
      <c r="CG60" s="188">
        <f t="shared" si="11"/>
        <v>0</v>
      </c>
      <c r="CH60" s="188" t="e">
        <f>+CG60/BQ59</f>
        <v>#VALUE!</v>
      </c>
      <c r="CI60" s="188" t="e">
        <f>+BN60-(((BQ59)/5)*(-5))</f>
        <v>#VALUE!</v>
      </c>
      <c r="CJ60" s="188"/>
      <c r="CK60" s="188">
        <f t="shared" si="14"/>
        <v>0</v>
      </c>
      <c r="CL60" s="89" t="e">
        <f>+CK60/BQ59</f>
        <v>#VALUE!</v>
      </c>
      <c r="CM60" s="89" t="s">
        <v>11</v>
      </c>
      <c r="CN60" s="188" t="s">
        <v>1363</v>
      </c>
      <c r="CO60" s="188"/>
      <c r="CP60" s="188"/>
      <c r="CQ60" s="188"/>
      <c r="CR60" s="4"/>
      <c r="CS60" s="2">
        <v>60</v>
      </c>
    </row>
    <row r="61" spans="1:106" ht="171" x14ac:dyDescent="0.25">
      <c r="A61" s="276">
        <v>14</v>
      </c>
      <c r="B61" s="269" t="s">
        <v>1587</v>
      </c>
      <c r="C61" s="269" t="s">
        <v>1266</v>
      </c>
      <c r="D61" s="276" t="s">
        <v>147</v>
      </c>
      <c r="E61" s="276" t="s">
        <v>190</v>
      </c>
      <c r="F61" s="276" t="s">
        <v>186</v>
      </c>
      <c r="G61" s="172">
        <v>14</v>
      </c>
      <c r="H61" s="276" t="s">
        <v>229</v>
      </c>
      <c r="I61" s="276">
        <v>61</v>
      </c>
      <c r="J61" s="276" t="s">
        <v>230</v>
      </c>
      <c r="K61" s="276" t="s">
        <v>869</v>
      </c>
      <c r="L61" s="189" t="s">
        <v>231</v>
      </c>
      <c r="M61" s="276" t="s">
        <v>152</v>
      </c>
      <c r="N61" s="276" t="s">
        <v>188</v>
      </c>
      <c r="O61" s="276" t="s">
        <v>137</v>
      </c>
      <c r="P61" s="276" t="s">
        <v>189</v>
      </c>
      <c r="Q61" s="276" t="s">
        <v>188</v>
      </c>
      <c r="R61" s="276"/>
      <c r="S61" s="276"/>
      <c r="T61" s="276" t="s">
        <v>138</v>
      </c>
      <c r="U61" s="276"/>
      <c r="V61" s="276"/>
      <c r="W61" s="276"/>
      <c r="X61" s="173">
        <f>100/COUNTIFS(($C$5:$C$283),C61,($E$5:$E$283),E61)</f>
        <v>2.8571428571428572</v>
      </c>
      <c r="Y61" s="276">
        <f t="shared" si="18"/>
        <v>0</v>
      </c>
      <c r="Z61" s="276">
        <v>1</v>
      </c>
      <c r="AA61" s="276" t="s">
        <v>1582</v>
      </c>
      <c r="AB61" s="276"/>
      <c r="AC61" s="275">
        <v>9</v>
      </c>
      <c r="AD61" s="276" t="s">
        <v>1294</v>
      </c>
      <c r="AE61" s="189"/>
      <c r="AF61" s="79"/>
      <c r="AG61" s="276" t="s">
        <v>1583</v>
      </c>
      <c r="AH61" s="77"/>
      <c r="AI61" s="275">
        <v>1</v>
      </c>
      <c r="AJ61" s="189" t="str">
        <f t="shared" si="16"/>
        <v>02040611</v>
      </c>
      <c r="AK61" s="189" t="s">
        <v>1605</v>
      </c>
      <c r="AL61" s="189" t="s">
        <v>78</v>
      </c>
      <c r="AM61" s="189"/>
      <c r="AN61" s="83" t="s">
        <v>1390</v>
      </c>
      <c r="AO61" s="189" t="s">
        <v>1369</v>
      </c>
      <c r="AP61" s="189" t="s">
        <v>1608</v>
      </c>
      <c r="AQ61" s="189" t="s">
        <v>1613</v>
      </c>
      <c r="AR61" s="189" t="s">
        <v>1612</v>
      </c>
      <c r="AS61" s="83" t="s">
        <v>1591</v>
      </c>
      <c r="AT61" s="189" t="s">
        <v>1395</v>
      </c>
      <c r="AU61" s="189" t="s">
        <v>1395</v>
      </c>
      <c r="AV61" s="189" t="s">
        <v>1395</v>
      </c>
      <c r="AW61" s="76"/>
      <c r="AX61" s="275">
        <v>1</v>
      </c>
      <c r="AY61" s="276" t="str">
        <f>CONCATENATE(AJ61,AX61)</f>
        <v>020406111</v>
      </c>
      <c r="AZ61" s="276" t="s">
        <v>1584</v>
      </c>
      <c r="BA61" s="83" t="s">
        <v>1592</v>
      </c>
      <c r="BB61" s="189" t="s">
        <v>1591</v>
      </c>
      <c r="BC61" s="79" t="s">
        <v>11</v>
      </c>
      <c r="BD61" s="77"/>
      <c r="BE61" s="79" t="s">
        <v>1257</v>
      </c>
      <c r="BF61" s="79" t="s">
        <v>17</v>
      </c>
      <c r="BG61" s="276" t="s">
        <v>1395</v>
      </c>
      <c r="BH61" s="116" t="s">
        <v>1616</v>
      </c>
      <c r="BI61" s="83" t="s">
        <v>1468</v>
      </c>
      <c r="BJ61" s="83" t="s">
        <v>1594</v>
      </c>
      <c r="BK61" s="189" t="s">
        <v>1617</v>
      </c>
      <c r="BL61" s="105" t="s">
        <v>1585</v>
      </c>
      <c r="BM61" s="276" t="s">
        <v>1586</v>
      </c>
      <c r="BN61" s="101">
        <v>0</v>
      </c>
      <c r="BO61" s="105">
        <v>3</v>
      </c>
      <c r="BP61" s="77"/>
      <c r="BQ61" s="173">
        <f t="shared" si="0"/>
        <v>3</v>
      </c>
      <c r="BR61" s="275">
        <v>5</v>
      </c>
      <c r="BS61" s="94">
        <f t="shared" si="1"/>
        <v>0.6</v>
      </c>
      <c r="BT61" s="180">
        <v>0</v>
      </c>
      <c r="BU61" s="94">
        <f t="shared" si="2"/>
        <v>0</v>
      </c>
      <c r="BV61" s="188">
        <f t="shared" si="3"/>
        <v>0</v>
      </c>
      <c r="BW61" s="94">
        <v>0</v>
      </c>
      <c r="BX61" s="188">
        <v>0</v>
      </c>
      <c r="BY61" s="188">
        <f t="shared" si="5"/>
        <v>0</v>
      </c>
      <c r="BZ61" s="89">
        <f t="shared" ref="BZ61:BZ81" si="19">+BY61/BQ61</f>
        <v>0</v>
      </c>
      <c r="CA61" s="188">
        <f t="shared" ref="CA61:CA75" si="20">+BN61-(((BQ61)/5)*(-3))</f>
        <v>1.7999999999999998</v>
      </c>
      <c r="CB61" s="188"/>
      <c r="CC61" s="188">
        <f t="shared" si="8"/>
        <v>0</v>
      </c>
      <c r="CD61" s="188">
        <f t="shared" ref="CD61:CD81" si="21">+CC61/BQ61</f>
        <v>0</v>
      </c>
      <c r="CE61" s="188">
        <f t="shared" ref="CE61:CE75" si="22">+BN61-(((BQ61)/5)*(-4))</f>
        <v>2.4</v>
      </c>
      <c r="CF61" s="188"/>
      <c r="CG61" s="188">
        <f t="shared" si="11"/>
        <v>0</v>
      </c>
      <c r="CH61" s="188">
        <f t="shared" ref="CH61:CH81" si="23">+CG61/BQ61</f>
        <v>0</v>
      </c>
      <c r="CI61" s="188">
        <f t="shared" ref="CI61:CI75" si="24">+BN61-(((BQ61)/5)*(-5))</f>
        <v>3</v>
      </c>
      <c r="CJ61" s="188"/>
      <c r="CK61" s="188">
        <f t="shared" si="14"/>
        <v>0</v>
      </c>
      <c r="CL61" s="89">
        <f t="shared" ref="CL61:CL81" si="25">+CK61/BQ61</f>
        <v>0</v>
      </c>
      <c r="CM61" s="89" t="s">
        <v>11</v>
      </c>
      <c r="CN61" s="188" t="s">
        <v>1363</v>
      </c>
      <c r="CO61" s="188"/>
      <c r="CP61" s="188"/>
      <c r="CQ61" s="188"/>
      <c r="CR61" s="37"/>
      <c r="CS61" s="24">
        <v>61</v>
      </c>
      <c r="CT61" s="37"/>
      <c r="CU61" s="37"/>
      <c r="CV61" s="37"/>
      <c r="CW61" s="37"/>
    </row>
    <row r="62" spans="1:106" ht="171" x14ac:dyDescent="0.25">
      <c r="A62" s="276">
        <v>14</v>
      </c>
      <c r="B62" s="269" t="s">
        <v>1587</v>
      </c>
      <c r="C62" s="269" t="s">
        <v>1266</v>
      </c>
      <c r="D62" s="189" t="s">
        <v>147</v>
      </c>
      <c r="E62" s="276" t="s">
        <v>190</v>
      </c>
      <c r="F62" s="189" t="s">
        <v>186</v>
      </c>
      <c r="G62" s="172">
        <v>15</v>
      </c>
      <c r="H62" s="276" t="s">
        <v>232</v>
      </c>
      <c r="I62" s="276">
        <v>62</v>
      </c>
      <c r="J62" s="276" t="s">
        <v>233</v>
      </c>
      <c r="K62" s="276" t="s">
        <v>870</v>
      </c>
      <c r="L62" s="189" t="s">
        <v>234</v>
      </c>
      <c r="M62" s="276" t="s">
        <v>152</v>
      </c>
      <c r="N62" s="189" t="s">
        <v>188</v>
      </c>
      <c r="O62" s="189" t="s">
        <v>78</v>
      </c>
      <c r="P62" s="276" t="s">
        <v>189</v>
      </c>
      <c r="Q62" s="276" t="s">
        <v>188</v>
      </c>
      <c r="R62" s="276"/>
      <c r="S62" s="276"/>
      <c r="T62" s="276" t="s">
        <v>79</v>
      </c>
      <c r="U62" s="276"/>
      <c r="V62" s="276"/>
      <c r="W62" s="276"/>
      <c r="X62" s="173">
        <f>100/COUNTIFS(($C$5:$C$283),C62,($E$5:$E$283),E62)</f>
        <v>2.8571428571428572</v>
      </c>
      <c r="Y62" s="276">
        <f t="shared" si="18"/>
        <v>0</v>
      </c>
      <c r="Z62" s="276">
        <v>1</v>
      </c>
      <c r="AA62" s="276" t="s">
        <v>1582</v>
      </c>
      <c r="AB62" s="276"/>
      <c r="AC62" s="275">
        <v>9</v>
      </c>
      <c r="AD62" s="189" t="s">
        <v>1294</v>
      </c>
      <c r="AE62" s="189"/>
      <c r="AF62" s="79"/>
      <c r="AG62" s="276" t="s">
        <v>1364</v>
      </c>
      <c r="AH62" s="77"/>
      <c r="AI62" s="275">
        <v>1</v>
      </c>
      <c r="AJ62" s="189" t="str">
        <f t="shared" si="16"/>
        <v>02040621</v>
      </c>
      <c r="AK62" s="189" t="s">
        <v>1606</v>
      </c>
      <c r="AL62" s="189" t="s">
        <v>235</v>
      </c>
      <c r="AM62" s="189"/>
      <c r="AN62" s="83" t="s">
        <v>1390</v>
      </c>
      <c r="AO62" s="189" t="s">
        <v>1369</v>
      </c>
      <c r="AP62" s="189" t="s">
        <v>1615</v>
      </c>
      <c r="AQ62" s="79" t="s">
        <v>1609</v>
      </c>
      <c r="AR62" s="189" t="s">
        <v>1614</v>
      </c>
      <c r="AS62" s="83" t="s">
        <v>1591</v>
      </c>
      <c r="AT62" s="189" t="s">
        <v>1395</v>
      </c>
      <c r="AU62" s="189" t="s">
        <v>1395</v>
      </c>
      <c r="AV62" s="189" t="s">
        <v>1395</v>
      </c>
      <c r="AW62" s="76"/>
      <c r="AX62" s="275">
        <v>1</v>
      </c>
      <c r="AY62" s="276" t="str">
        <f>CONCATENATE(AJ62,AX62)</f>
        <v>020406211</v>
      </c>
      <c r="AZ62" s="276" t="s">
        <v>1584</v>
      </c>
      <c r="BA62" s="83" t="s">
        <v>1592</v>
      </c>
      <c r="BB62" s="189" t="s">
        <v>1591</v>
      </c>
      <c r="BC62" s="79" t="s">
        <v>11</v>
      </c>
      <c r="BD62" s="77"/>
      <c r="BE62" s="79" t="s">
        <v>1257</v>
      </c>
      <c r="BF62" s="79" t="s">
        <v>17</v>
      </c>
      <c r="BG62" s="276" t="s">
        <v>1395</v>
      </c>
      <c r="BH62" s="116" t="s">
        <v>1616</v>
      </c>
      <c r="BI62" s="83" t="s">
        <v>1468</v>
      </c>
      <c r="BJ62" s="83" t="s">
        <v>1594</v>
      </c>
      <c r="BK62" s="189" t="s">
        <v>1617</v>
      </c>
      <c r="BL62" s="105" t="s">
        <v>1585</v>
      </c>
      <c r="BM62" s="276" t="s">
        <v>1586</v>
      </c>
      <c r="BN62" s="101">
        <v>0</v>
      </c>
      <c r="BO62" s="276" t="s">
        <v>1596</v>
      </c>
      <c r="BP62" s="77"/>
      <c r="BQ62" s="173" t="e">
        <f t="shared" si="0"/>
        <v>#VALUE!</v>
      </c>
      <c r="BR62" s="275">
        <v>5</v>
      </c>
      <c r="BS62" s="188" t="e">
        <f t="shared" si="1"/>
        <v>#VALUE!</v>
      </c>
      <c r="BT62" s="188"/>
      <c r="BU62" s="188">
        <f t="shared" si="2"/>
        <v>0</v>
      </c>
      <c r="BV62" s="188" t="e">
        <f t="shared" ref="BV62:BV93" si="26">+BU62/BQ62</f>
        <v>#VALUE!</v>
      </c>
      <c r="BW62" s="94" t="e">
        <f t="shared" ref="BW62:BW75" si="27">+BN62-(((BQ62)/5)*(-2))</f>
        <v>#VALUE!</v>
      </c>
      <c r="BX62" s="188"/>
      <c r="BY62" s="188">
        <f t="shared" si="5"/>
        <v>0</v>
      </c>
      <c r="BZ62" s="89" t="e">
        <f t="shared" si="19"/>
        <v>#VALUE!</v>
      </c>
      <c r="CA62" s="188" t="e">
        <f t="shared" si="20"/>
        <v>#VALUE!</v>
      </c>
      <c r="CB62" s="188"/>
      <c r="CC62" s="188">
        <f t="shared" si="8"/>
        <v>0</v>
      </c>
      <c r="CD62" s="188" t="e">
        <f t="shared" si="21"/>
        <v>#VALUE!</v>
      </c>
      <c r="CE62" s="188" t="e">
        <f t="shared" si="22"/>
        <v>#VALUE!</v>
      </c>
      <c r="CF62" s="188"/>
      <c r="CG62" s="188">
        <f t="shared" si="11"/>
        <v>0</v>
      </c>
      <c r="CH62" s="188" t="e">
        <f t="shared" si="23"/>
        <v>#VALUE!</v>
      </c>
      <c r="CI62" s="188" t="e">
        <f t="shared" si="24"/>
        <v>#VALUE!</v>
      </c>
      <c r="CJ62" s="188"/>
      <c r="CK62" s="188">
        <f t="shared" si="14"/>
        <v>0</v>
      </c>
      <c r="CL62" s="89" t="e">
        <f t="shared" si="25"/>
        <v>#VALUE!</v>
      </c>
      <c r="CM62" s="89" t="s">
        <v>11</v>
      </c>
      <c r="CN62" s="188" t="s">
        <v>1363</v>
      </c>
      <c r="CO62" s="188"/>
      <c r="CP62" s="188"/>
      <c r="CQ62" s="188"/>
      <c r="CR62" s="4"/>
      <c r="CS62" s="24">
        <v>62</v>
      </c>
      <c r="CT62" s="4"/>
      <c r="CU62" s="4"/>
      <c r="CV62" s="4"/>
      <c r="CW62" s="4"/>
    </row>
    <row r="63" spans="1:106" ht="171" x14ac:dyDescent="0.25">
      <c r="A63" s="276">
        <v>14</v>
      </c>
      <c r="B63" s="269" t="s">
        <v>1474</v>
      </c>
      <c r="C63" s="269" t="s">
        <v>1266</v>
      </c>
      <c r="D63" s="189" t="s">
        <v>147</v>
      </c>
      <c r="E63" s="276" t="s">
        <v>190</v>
      </c>
      <c r="F63" s="189" t="s">
        <v>186</v>
      </c>
      <c r="G63" s="172">
        <v>17</v>
      </c>
      <c r="H63" s="276" t="s">
        <v>237</v>
      </c>
      <c r="I63" s="276">
        <v>64</v>
      </c>
      <c r="J63" s="276" t="s">
        <v>238</v>
      </c>
      <c r="K63" s="276" t="s">
        <v>872</v>
      </c>
      <c r="L63" s="189" t="s">
        <v>1398</v>
      </c>
      <c r="M63" s="276" t="s">
        <v>152</v>
      </c>
      <c r="N63" s="189" t="s">
        <v>188</v>
      </c>
      <c r="O63" s="189" t="s">
        <v>137</v>
      </c>
      <c r="P63" s="276" t="s">
        <v>189</v>
      </c>
      <c r="Q63" s="276" t="s">
        <v>188</v>
      </c>
      <c r="R63" s="276"/>
      <c r="S63" s="276"/>
      <c r="T63" s="276" t="s">
        <v>138</v>
      </c>
      <c r="U63" s="276"/>
      <c r="V63" s="276"/>
      <c r="W63" s="276"/>
      <c r="X63" s="173">
        <v>4</v>
      </c>
      <c r="Y63" s="276">
        <v>1</v>
      </c>
      <c r="Z63" s="276">
        <v>0</v>
      </c>
      <c r="AA63" s="276" t="s">
        <v>1220</v>
      </c>
      <c r="AB63" s="276"/>
      <c r="AC63" s="275">
        <v>9</v>
      </c>
      <c r="AD63" s="189" t="s">
        <v>1294</v>
      </c>
      <c r="AE63" s="189"/>
      <c r="AF63" s="79" t="s">
        <v>1399</v>
      </c>
      <c r="AG63" s="276" t="s">
        <v>1235</v>
      </c>
      <c r="AH63" s="78"/>
      <c r="AI63" s="275">
        <v>1</v>
      </c>
      <c r="AJ63" s="189" t="str">
        <f t="shared" si="16"/>
        <v>02040641</v>
      </c>
      <c r="AK63" s="83" t="s">
        <v>1568</v>
      </c>
      <c r="AL63" s="189" t="s">
        <v>137</v>
      </c>
      <c r="AM63" s="189"/>
      <c r="AN63" s="83" t="s">
        <v>1400</v>
      </c>
      <c r="AO63" s="83" t="s">
        <v>1369</v>
      </c>
      <c r="AP63" s="189" t="s">
        <v>1401</v>
      </c>
      <c r="AQ63" s="189" t="s">
        <v>1402</v>
      </c>
      <c r="AR63" s="189" t="s">
        <v>1403</v>
      </c>
      <c r="AS63" s="189" t="s">
        <v>1404</v>
      </c>
      <c r="AT63" s="189" t="s">
        <v>1395</v>
      </c>
      <c r="AU63" s="189" t="s">
        <v>1395</v>
      </c>
      <c r="AV63" s="189" t="s">
        <v>1406</v>
      </c>
      <c r="AW63" s="189" t="s">
        <v>1395</v>
      </c>
      <c r="AX63" s="276">
        <v>1</v>
      </c>
      <c r="AY63" s="276" t="s">
        <v>1397</v>
      </c>
      <c r="AZ63" s="276" t="s">
        <v>1407</v>
      </c>
      <c r="BA63" s="83" t="s">
        <v>1408</v>
      </c>
      <c r="BB63" s="83" t="s">
        <v>1229</v>
      </c>
      <c r="BC63" s="83" t="s">
        <v>1358</v>
      </c>
      <c r="BD63" s="83" t="s">
        <v>1409</v>
      </c>
      <c r="BE63" s="83" t="s">
        <v>17</v>
      </c>
      <c r="BF63" s="83" t="s">
        <v>71</v>
      </c>
      <c r="BG63" s="83" t="s">
        <v>1410</v>
      </c>
      <c r="BH63" s="83" t="s">
        <v>1411</v>
      </c>
      <c r="BI63" s="83" t="s">
        <v>1412</v>
      </c>
      <c r="BJ63" s="83" t="s">
        <v>1413</v>
      </c>
      <c r="BK63" s="83" t="s">
        <v>1414</v>
      </c>
      <c r="BL63" s="105" t="s">
        <v>1415</v>
      </c>
      <c r="BM63" s="144">
        <v>41974</v>
      </c>
      <c r="BN63" s="83">
        <v>0</v>
      </c>
      <c r="BO63" s="78">
        <v>6</v>
      </c>
      <c r="BP63" s="78"/>
      <c r="BQ63" s="173">
        <f t="shared" si="0"/>
        <v>6</v>
      </c>
      <c r="BR63" s="275">
        <v>5</v>
      </c>
      <c r="BS63" s="94">
        <f t="shared" si="1"/>
        <v>1.2</v>
      </c>
      <c r="BT63" s="94">
        <v>0</v>
      </c>
      <c r="BU63" s="94">
        <f t="shared" si="2"/>
        <v>0</v>
      </c>
      <c r="BV63" s="188">
        <f t="shared" si="26"/>
        <v>0</v>
      </c>
      <c r="BW63" s="94">
        <f t="shared" si="27"/>
        <v>2.4</v>
      </c>
      <c r="BX63" s="94">
        <v>2</v>
      </c>
      <c r="BY63" s="94">
        <v>2</v>
      </c>
      <c r="BZ63" s="89">
        <f t="shared" si="19"/>
        <v>0.33333333333333331</v>
      </c>
      <c r="CA63" s="94">
        <f t="shared" si="20"/>
        <v>3.5999999999999996</v>
      </c>
      <c r="CB63" s="94"/>
      <c r="CC63" s="94">
        <f t="shared" si="8"/>
        <v>0</v>
      </c>
      <c r="CD63" s="188">
        <f t="shared" si="21"/>
        <v>0</v>
      </c>
      <c r="CE63" s="94">
        <f t="shared" si="22"/>
        <v>4.8</v>
      </c>
      <c r="CF63" s="188"/>
      <c r="CG63" s="94">
        <f t="shared" si="11"/>
        <v>0</v>
      </c>
      <c r="CH63" s="188">
        <f t="shared" si="23"/>
        <v>0</v>
      </c>
      <c r="CI63" s="94">
        <f t="shared" si="24"/>
        <v>6</v>
      </c>
      <c r="CJ63" s="188"/>
      <c r="CK63" s="94">
        <f t="shared" si="14"/>
        <v>0</v>
      </c>
      <c r="CL63" s="89">
        <f t="shared" si="25"/>
        <v>0</v>
      </c>
      <c r="CM63" s="89" t="s">
        <v>11</v>
      </c>
      <c r="CN63" s="188" t="s">
        <v>1363</v>
      </c>
      <c r="CO63" s="188"/>
      <c r="CP63" s="188"/>
      <c r="CQ63" s="188"/>
      <c r="CR63" s="4"/>
      <c r="CS63" s="2">
        <v>63</v>
      </c>
      <c r="CT63" s="4"/>
      <c r="CU63" s="4"/>
      <c r="CV63" s="4"/>
      <c r="CW63" s="4"/>
    </row>
    <row r="64" spans="1:106" ht="270.75" x14ac:dyDescent="0.25">
      <c r="A64" s="276">
        <v>14</v>
      </c>
      <c r="B64" s="269" t="s">
        <v>1474</v>
      </c>
      <c r="C64" s="269" t="s">
        <v>1266</v>
      </c>
      <c r="D64" s="189" t="s">
        <v>147</v>
      </c>
      <c r="E64" s="276" t="s">
        <v>190</v>
      </c>
      <c r="F64" s="189" t="s">
        <v>186</v>
      </c>
      <c r="G64" s="172">
        <v>17</v>
      </c>
      <c r="H64" s="276" t="s">
        <v>237</v>
      </c>
      <c r="I64" s="276">
        <v>64</v>
      </c>
      <c r="J64" s="276" t="s">
        <v>238</v>
      </c>
      <c r="K64" s="276" t="s">
        <v>872</v>
      </c>
      <c r="L64" s="189" t="s">
        <v>1398</v>
      </c>
      <c r="M64" s="276" t="s">
        <v>152</v>
      </c>
      <c r="N64" s="189" t="s">
        <v>188</v>
      </c>
      <c r="O64" s="189" t="s">
        <v>137</v>
      </c>
      <c r="P64" s="276" t="s">
        <v>189</v>
      </c>
      <c r="Q64" s="276" t="s">
        <v>188</v>
      </c>
      <c r="R64" s="276"/>
      <c r="S64" s="276"/>
      <c r="T64" s="276"/>
      <c r="U64" s="276"/>
      <c r="V64" s="276"/>
      <c r="W64" s="276"/>
      <c r="X64" s="173">
        <v>1</v>
      </c>
      <c r="Y64" s="276">
        <v>1</v>
      </c>
      <c r="Z64" s="276">
        <v>0</v>
      </c>
      <c r="AA64" s="276" t="s">
        <v>1220</v>
      </c>
      <c r="AB64" s="276"/>
      <c r="AC64" s="275">
        <v>9</v>
      </c>
      <c r="AD64" s="189" t="s">
        <v>1294</v>
      </c>
      <c r="AE64" s="189"/>
      <c r="AF64" s="79" t="s">
        <v>1399</v>
      </c>
      <c r="AG64" s="276" t="s">
        <v>1235</v>
      </c>
      <c r="AH64" s="78"/>
      <c r="AI64" s="275" t="s">
        <v>1239</v>
      </c>
      <c r="AJ64" s="189" t="str">
        <f t="shared" si="16"/>
        <v>02040641.1</v>
      </c>
      <c r="AK64" s="83" t="s">
        <v>1566</v>
      </c>
      <c r="AL64" s="189" t="s">
        <v>1259</v>
      </c>
      <c r="AM64" s="189"/>
      <c r="AN64" s="83" t="s">
        <v>1400</v>
      </c>
      <c r="AO64" s="83" t="s">
        <v>1369</v>
      </c>
      <c r="AP64" s="189" t="s">
        <v>1416</v>
      </c>
      <c r="AQ64" s="189" t="s">
        <v>1417</v>
      </c>
      <c r="AR64" s="189" t="s">
        <v>1418</v>
      </c>
      <c r="AS64" s="189" t="s">
        <v>1419</v>
      </c>
      <c r="AT64" s="189" t="s">
        <v>1395</v>
      </c>
      <c r="AU64" s="189" t="s">
        <v>1395</v>
      </c>
      <c r="AV64" s="189" t="s">
        <v>1406</v>
      </c>
      <c r="AW64" s="189" t="s">
        <v>1395</v>
      </c>
      <c r="AX64" s="276">
        <v>2</v>
      </c>
      <c r="AY64" s="276">
        <v>20406412</v>
      </c>
      <c r="AZ64" s="276" t="s">
        <v>1420</v>
      </c>
      <c r="BA64" s="83" t="s">
        <v>1421</v>
      </c>
      <c r="BB64" s="83" t="s">
        <v>1229</v>
      </c>
      <c r="BC64" s="83" t="s">
        <v>1422</v>
      </c>
      <c r="BD64" s="83" t="s">
        <v>1409</v>
      </c>
      <c r="BE64" s="83" t="s">
        <v>17</v>
      </c>
      <c r="BF64" s="83" t="s">
        <v>71</v>
      </c>
      <c r="BG64" s="83" t="s">
        <v>1423</v>
      </c>
      <c r="BH64" s="83" t="s">
        <v>1411</v>
      </c>
      <c r="BI64" s="83" t="s">
        <v>1412</v>
      </c>
      <c r="BJ64" s="83" t="s">
        <v>1413</v>
      </c>
      <c r="BK64" s="83" t="s">
        <v>1424</v>
      </c>
      <c r="BL64" s="105" t="s">
        <v>1425</v>
      </c>
      <c r="BM64" s="144">
        <v>41974</v>
      </c>
      <c r="BN64" s="83">
        <v>0</v>
      </c>
      <c r="BO64" s="78"/>
      <c r="BP64" s="78"/>
      <c r="BQ64" s="173">
        <f t="shared" si="0"/>
        <v>0</v>
      </c>
      <c r="BR64" s="275">
        <v>5</v>
      </c>
      <c r="BS64" s="94"/>
      <c r="BT64" s="94"/>
      <c r="BU64" s="94">
        <f t="shared" si="2"/>
        <v>0</v>
      </c>
      <c r="BV64" s="188" t="e">
        <f t="shared" si="26"/>
        <v>#DIV/0!</v>
      </c>
      <c r="BW64" s="94">
        <f t="shared" si="27"/>
        <v>0</v>
      </c>
      <c r="BX64" s="93">
        <v>8679216</v>
      </c>
      <c r="BY64" s="140"/>
      <c r="BZ64" s="89" t="e">
        <f t="shared" si="19"/>
        <v>#DIV/0!</v>
      </c>
      <c r="CA64" s="94">
        <f t="shared" si="20"/>
        <v>0</v>
      </c>
      <c r="CB64" s="93"/>
      <c r="CC64" s="94">
        <f t="shared" si="8"/>
        <v>0</v>
      </c>
      <c r="CD64" s="188" t="e">
        <f t="shared" si="21"/>
        <v>#DIV/0!</v>
      </c>
      <c r="CE64" s="94">
        <f t="shared" si="22"/>
        <v>0</v>
      </c>
      <c r="CF64" s="188"/>
      <c r="CG64" s="94">
        <f t="shared" si="11"/>
        <v>0</v>
      </c>
      <c r="CH64" s="188" t="e">
        <f t="shared" si="23"/>
        <v>#DIV/0!</v>
      </c>
      <c r="CI64" s="94">
        <f t="shared" si="24"/>
        <v>0</v>
      </c>
      <c r="CJ64" s="188"/>
      <c r="CK64" s="94">
        <f t="shared" si="14"/>
        <v>0</v>
      </c>
      <c r="CL64" s="89" t="e">
        <f t="shared" si="25"/>
        <v>#DIV/0!</v>
      </c>
      <c r="CM64" s="89" t="s">
        <v>11</v>
      </c>
      <c r="CN64" s="188" t="s">
        <v>1363</v>
      </c>
      <c r="CO64" s="188"/>
      <c r="CP64" s="188"/>
      <c r="CQ64" s="188"/>
      <c r="CR64" s="4"/>
      <c r="CS64" s="24">
        <v>64</v>
      </c>
      <c r="CT64" s="4"/>
      <c r="CU64" s="4"/>
      <c r="CV64" s="4"/>
      <c r="CW64" s="4"/>
    </row>
    <row r="65" spans="1:101" ht="185.25" x14ac:dyDescent="0.25">
      <c r="A65" s="276">
        <v>14</v>
      </c>
      <c r="B65" s="269" t="s">
        <v>1474</v>
      </c>
      <c r="C65" s="269" t="s">
        <v>1266</v>
      </c>
      <c r="D65" s="189" t="s">
        <v>147</v>
      </c>
      <c r="E65" s="276" t="s">
        <v>190</v>
      </c>
      <c r="F65" s="189" t="s">
        <v>186</v>
      </c>
      <c r="G65" s="172">
        <v>17</v>
      </c>
      <c r="H65" s="276" t="s">
        <v>237</v>
      </c>
      <c r="I65" s="276">
        <v>64</v>
      </c>
      <c r="J65" s="276" t="s">
        <v>238</v>
      </c>
      <c r="K65" s="276" t="s">
        <v>872</v>
      </c>
      <c r="L65" s="189" t="s">
        <v>1398</v>
      </c>
      <c r="M65" s="276" t="s">
        <v>152</v>
      </c>
      <c r="N65" s="189" t="s">
        <v>188</v>
      </c>
      <c r="O65" s="189" t="s">
        <v>137</v>
      </c>
      <c r="P65" s="276" t="s">
        <v>189</v>
      </c>
      <c r="Q65" s="276" t="s">
        <v>188</v>
      </c>
      <c r="R65" s="276"/>
      <c r="S65" s="276"/>
      <c r="T65" s="276"/>
      <c r="U65" s="276"/>
      <c r="V65" s="276"/>
      <c r="W65" s="276"/>
      <c r="X65" s="173"/>
      <c r="Y65" s="276">
        <v>1</v>
      </c>
      <c r="Z65" s="276">
        <v>0</v>
      </c>
      <c r="AA65" s="276" t="s">
        <v>1220</v>
      </c>
      <c r="AB65" s="276"/>
      <c r="AC65" s="275">
        <v>9</v>
      </c>
      <c r="AD65" s="189" t="s">
        <v>1294</v>
      </c>
      <c r="AE65" s="189"/>
      <c r="AF65" s="79" t="s">
        <v>1399</v>
      </c>
      <c r="AG65" s="276" t="s">
        <v>1235</v>
      </c>
      <c r="AH65" s="78"/>
      <c r="AI65" s="275" t="s">
        <v>1240</v>
      </c>
      <c r="AJ65" s="189" t="str">
        <f t="shared" si="16"/>
        <v>02040641.2</v>
      </c>
      <c r="AK65" s="83" t="s">
        <v>1426</v>
      </c>
      <c r="AL65" s="189" t="s">
        <v>1350</v>
      </c>
      <c r="AM65" s="189"/>
      <c r="AN65" s="83" t="s">
        <v>1400</v>
      </c>
      <c r="AO65" s="83" t="s">
        <v>1427</v>
      </c>
      <c r="AP65" s="189" t="s">
        <v>1428</v>
      </c>
      <c r="AQ65" s="189" t="s">
        <v>1429</v>
      </c>
      <c r="AR65" s="189" t="s">
        <v>1430</v>
      </c>
      <c r="AS65" s="189" t="s">
        <v>1404</v>
      </c>
      <c r="AT65" s="189" t="s">
        <v>1395</v>
      </c>
      <c r="AU65" s="189" t="s">
        <v>1395</v>
      </c>
      <c r="AV65" s="189" t="s">
        <v>1406</v>
      </c>
      <c r="AW65" s="189" t="s">
        <v>1395</v>
      </c>
      <c r="AX65" s="276">
        <v>3</v>
      </c>
      <c r="AY65" s="276">
        <v>20406413</v>
      </c>
      <c r="AZ65" s="276" t="s">
        <v>1407</v>
      </c>
      <c r="BA65" s="83" t="s">
        <v>1408</v>
      </c>
      <c r="BB65" s="83" t="s">
        <v>1229</v>
      </c>
      <c r="BC65" s="83" t="s">
        <v>1358</v>
      </c>
      <c r="BD65" s="83" t="s">
        <v>1409</v>
      </c>
      <c r="BE65" s="83" t="s">
        <v>17</v>
      </c>
      <c r="BF65" s="83" t="s">
        <v>71</v>
      </c>
      <c r="BG65" s="83" t="s">
        <v>1431</v>
      </c>
      <c r="BH65" s="83" t="s">
        <v>1411</v>
      </c>
      <c r="BI65" s="83" t="s">
        <v>1412</v>
      </c>
      <c r="BJ65" s="83" t="s">
        <v>1413</v>
      </c>
      <c r="BK65" s="83" t="s">
        <v>1414</v>
      </c>
      <c r="BL65" s="105" t="s">
        <v>1415</v>
      </c>
      <c r="BM65" s="144">
        <v>41974</v>
      </c>
      <c r="BN65" s="83">
        <v>0</v>
      </c>
      <c r="BO65" s="78"/>
      <c r="BP65" s="78"/>
      <c r="BQ65" s="173">
        <f t="shared" si="0"/>
        <v>0</v>
      </c>
      <c r="BR65" s="275">
        <v>5</v>
      </c>
      <c r="BS65" s="94"/>
      <c r="BT65" s="94"/>
      <c r="BU65" s="94">
        <f t="shared" si="2"/>
        <v>0</v>
      </c>
      <c r="BV65" s="188" t="e">
        <f t="shared" si="26"/>
        <v>#DIV/0!</v>
      </c>
      <c r="BW65" s="94">
        <f t="shared" si="27"/>
        <v>0</v>
      </c>
      <c r="BX65" s="138">
        <v>7.55</v>
      </c>
      <c r="BY65" s="140"/>
      <c r="BZ65" s="89" t="e">
        <f t="shared" si="19"/>
        <v>#DIV/0!</v>
      </c>
      <c r="CA65" s="94">
        <f t="shared" si="20"/>
        <v>0</v>
      </c>
      <c r="CB65" s="138"/>
      <c r="CC65" s="94">
        <f t="shared" si="8"/>
        <v>0</v>
      </c>
      <c r="CD65" s="188" t="e">
        <f t="shared" si="21"/>
        <v>#DIV/0!</v>
      </c>
      <c r="CE65" s="94">
        <f t="shared" si="22"/>
        <v>0</v>
      </c>
      <c r="CF65" s="188"/>
      <c r="CG65" s="94">
        <f t="shared" si="11"/>
        <v>0</v>
      </c>
      <c r="CH65" s="188" t="e">
        <f t="shared" si="23"/>
        <v>#DIV/0!</v>
      </c>
      <c r="CI65" s="94">
        <f t="shared" si="24"/>
        <v>0</v>
      </c>
      <c r="CJ65" s="188"/>
      <c r="CK65" s="94">
        <f t="shared" si="14"/>
        <v>0</v>
      </c>
      <c r="CL65" s="89" t="e">
        <f t="shared" si="25"/>
        <v>#DIV/0!</v>
      </c>
      <c r="CM65" s="89" t="s">
        <v>11</v>
      </c>
      <c r="CN65" s="188" t="s">
        <v>1363</v>
      </c>
      <c r="CO65" s="188"/>
      <c r="CP65" s="188"/>
      <c r="CQ65" s="188"/>
      <c r="CR65" s="4"/>
      <c r="CS65" s="24">
        <v>65</v>
      </c>
      <c r="CT65" s="4"/>
      <c r="CU65" s="4"/>
      <c r="CV65" s="4"/>
      <c r="CW65" s="4"/>
    </row>
    <row r="66" spans="1:101" ht="171" x14ac:dyDescent="0.25">
      <c r="A66" s="276">
        <v>14</v>
      </c>
      <c r="B66" s="269" t="s">
        <v>1474</v>
      </c>
      <c r="C66" s="269" t="s">
        <v>1266</v>
      </c>
      <c r="D66" s="189" t="s">
        <v>147</v>
      </c>
      <c r="E66" s="276" t="s">
        <v>190</v>
      </c>
      <c r="F66" s="189" t="s">
        <v>186</v>
      </c>
      <c r="G66" s="172">
        <v>17</v>
      </c>
      <c r="H66" s="276" t="s">
        <v>237</v>
      </c>
      <c r="I66" s="276">
        <v>64</v>
      </c>
      <c r="J66" s="276" t="s">
        <v>238</v>
      </c>
      <c r="K66" s="276" t="s">
        <v>872</v>
      </c>
      <c r="L66" s="189" t="s">
        <v>1398</v>
      </c>
      <c r="M66" s="276" t="s">
        <v>152</v>
      </c>
      <c r="N66" s="189" t="s">
        <v>188</v>
      </c>
      <c r="O66" s="189" t="s">
        <v>137</v>
      </c>
      <c r="P66" s="276" t="s">
        <v>189</v>
      </c>
      <c r="Q66" s="276" t="s">
        <v>188</v>
      </c>
      <c r="R66" s="276"/>
      <c r="S66" s="276"/>
      <c r="T66" s="276"/>
      <c r="U66" s="276"/>
      <c r="V66" s="276"/>
      <c r="W66" s="276"/>
      <c r="X66" s="173"/>
      <c r="Y66" s="276">
        <v>1</v>
      </c>
      <c r="Z66" s="276">
        <v>0</v>
      </c>
      <c r="AA66" s="276" t="s">
        <v>1220</v>
      </c>
      <c r="AB66" s="276"/>
      <c r="AC66" s="275">
        <v>9</v>
      </c>
      <c r="AD66" s="189" t="s">
        <v>1294</v>
      </c>
      <c r="AE66" s="189"/>
      <c r="AF66" s="79" t="s">
        <v>1399</v>
      </c>
      <c r="AG66" s="276" t="s">
        <v>1235</v>
      </c>
      <c r="AH66" s="78"/>
      <c r="AI66" s="275" t="s">
        <v>1470</v>
      </c>
      <c r="AJ66" s="189" t="str">
        <f t="shared" si="16"/>
        <v>02040641.3</v>
      </c>
      <c r="AK66" s="83" t="s">
        <v>1569</v>
      </c>
      <c r="AL66" s="189" t="s">
        <v>1350</v>
      </c>
      <c r="AM66" s="189"/>
      <c r="AN66" s="83" t="s">
        <v>1400</v>
      </c>
      <c r="AO66" s="83" t="s">
        <v>1369</v>
      </c>
      <c r="AP66" s="189" t="s">
        <v>1432</v>
      </c>
      <c r="AQ66" s="189" t="s">
        <v>1433</v>
      </c>
      <c r="AR66" s="189" t="s">
        <v>1434</v>
      </c>
      <c r="AS66" s="189" t="s">
        <v>1404</v>
      </c>
      <c r="AT66" s="189" t="s">
        <v>1395</v>
      </c>
      <c r="AU66" s="189" t="s">
        <v>1395</v>
      </c>
      <c r="AV66" s="189" t="s">
        <v>1406</v>
      </c>
      <c r="AW66" s="189" t="s">
        <v>1395</v>
      </c>
      <c r="AX66" s="276">
        <v>4</v>
      </c>
      <c r="AY66" s="276">
        <v>20406414</v>
      </c>
      <c r="AZ66" s="276" t="s">
        <v>1407</v>
      </c>
      <c r="BA66" s="83" t="s">
        <v>1408</v>
      </c>
      <c r="BB66" s="83" t="s">
        <v>1229</v>
      </c>
      <c r="BC66" s="83" t="s">
        <v>1358</v>
      </c>
      <c r="BD66" s="83" t="s">
        <v>1409</v>
      </c>
      <c r="BE66" s="83" t="s">
        <v>17</v>
      </c>
      <c r="BF66" s="83" t="s">
        <v>71</v>
      </c>
      <c r="BG66" s="189" t="s">
        <v>1395</v>
      </c>
      <c r="BH66" s="189" t="s">
        <v>1395</v>
      </c>
      <c r="BI66" s="83" t="s">
        <v>1412</v>
      </c>
      <c r="BJ66" s="83" t="s">
        <v>1413</v>
      </c>
      <c r="BK66" s="83" t="s">
        <v>1414</v>
      </c>
      <c r="BL66" s="105" t="s">
        <v>1415</v>
      </c>
      <c r="BM66" s="144">
        <v>41974</v>
      </c>
      <c r="BN66" s="83">
        <v>0</v>
      </c>
      <c r="BO66" s="78">
        <v>23</v>
      </c>
      <c r="BP66" s="78"/>
      <c r="BQ66" s="173">
        <f t="shared" si="0"/>
        <v>23</v>
      </c>
      <c r="BR66" s="275">
        <v>5</v>
      </c>
      <c r="BS66" s="94"/>
      <c r="BT66" s="94"/>
      <c r="BU66" s="94">
        <f t="shared" si="2"/>
        <v>0</v>
      </c>
      <c r="BV66" s="188">
        <f t="shared" si="26"/>
        <v>0</v>
      </c>
      <c r="BW66" s="94">
        <f t="shared" si="27"/>
        <v>9.1999999999999993</v>
      </c>
      <c r="BX66" s="140" t="s">
        <v>1618</v>
      </c>
      <c r="BY66" s="140"/>
      <c r="BZ66" s="89">
        <f t="shared" si="19"/>
        <v>0</v>
      </c>
      <c r="CA66" s="94">
        <f t="shared" si="20"/>
        <v>13.799999999999999</v>
      </c>
      <c r="CB66" s="138"/>
      <c r="CC66" s="94">
        <f t="shared" si="8"/>
        <v>0</v>
      </c>
      <c r="CD66" s="188">
        <f t="shared" si="21"/>
        <v>0</v>
      </c>
      <c r="CE66" s="94">
        <f t="shared" si="22"/>
        <v>18.399999999999999</v>
      </c>
      <c r="CF66" s="188"/>
      <c r="CG66" s="94">
        <f t="shared" si="11"/>
        <v>0</v>
      </c>
      <c r="CH66" s="188">
        <f t="shared" si="23"/>
        <v>0</v>
      </c>
      <c r="CI66" s="94">
        <f t="shared" si="24"/>
        <v>23</v>
      </c>
      <c r="CJ66" s="188"/>
      <c r="CK66" s="94">
        <f t="shared" si="14"/>
        <v>0</v>
      </c>
      <c r="CL66" s="89">
        <f t="shared" si="25"/>
        <v>0</v>
      </c>
      <c r="CM66" s="89" t="s">
        <v>11</v>
      </c>
      <c r="CN66" s="188" t="s">
        <v>1363</v>
      </c>
      <c r="CO66" s="188"/>
      <c r="CP66" s="188"/>
      <c r="CQ66" s="188"/>
      <c r="CR66" s="4"/>
      <c r="CS66" s="2">
        <v>66</v>
      </c>
      <c r="CT66" s="4"/>
      <c r="CU66" s="4"/>
      <c r="CV66" s="4"/>
      <c r="CW66" s="4"/>
    </row>
    <row r="67" spans="1:101" ht="171" x14ac:dyDescent="0.25">
      <c r="A67" s="276">
        <v>14</v>
      </c>
      <c r="B67" s="269" t="s">
        <v>1474</v>
      </c>
      <c r="C67" s="269" t="s">
        <v>1266</v>
      </c>
      <c r="D67" s="189" t="s">
        <v>147</v>
      </c>
      <c r="E67" s="276" t="s">
        <v>190</v>
      </c>
      <c r="F67" s="189" t="s">
        <v>186</v>
      </c>
      <c r="G67" s="172">
        <v>18</v>
      </c>
      <c r="H67" s="276" t="s">
        <v>239</v>
      </c>
      <c r="I67" s="276">
        <v>65</v>
      </c>
      <c r="J67" s="276" t="s">
        <v>240</v>
      </c>
      <c r="K67" s="276" t="s">
        <v>873</v>
      </c>
      <c r="L67" s="189" t="s">
        <v>241</v>
      </c>
      <c r="M67" s="276" t="s">
        <v>152</v>
      </c>
      <c r="N67" s="189" t="s">
        <v>188</v>
      </c>
      <c r="O67" s="189" t="s">
        <v>78</v>
      </c>
      <c r="P67" s="276" t="s">
        <v>189</v>
      </c>
      <c r="Q67" s="276" t="s">
        <v>188</v>
      </c>
      <c r="R67" s="276"/>
      <c r="S67" s="276"/>
      <c r="T67" s="276" t="s">
        <v>79</v>
      </c>
      <c r="U67" s="276"/>
      <c r="V67" s="276"/>
      <c r="W67" s="276"/>
      <c r="X67" s="173">
        <v>3.5714285714285716</v>
      </c>
      <c r="Y67" s="276">
        <v>1</v>
      </c>
      <c r="Z67" s="276">
        <v>0</v>
      </c>
      <c r="AA67" s="276" t="s">
        <v>1221</v>
      </c>
      <c r="AB67" s="276"/>
      <c r="AC67" s="275">
        <v>9</v>
      </c>
      <c r="AD67" s="189" t="s">
        <v>1294</v>
      </c>
      <c r="AE67" s="189"/>
      <c r="AF67" s="79"/>
      <c r="AG67" s="276" t="s">
        <v>1235</v>
      </c>
      <c r="AH67" s="78"/>
      <c r="AI67" s="275">
        <v>1</v>
      </c>
      <c r="AJ67" s="189" t="str">
        <f t="shared" si="16"/>
        <v>02040651</v>
      </c>
      <c r="AK67" s="83" t="s">
        <v>1435</v>
      </c>
      <c r="AL67" s="189" t="s">
        <v>137</v>
      </c>
      <c r="AM67" s="189"/>
      <c r="AN67" s="83" t="s">
        <v>1400</v>
      </c>
      <c r="AO67" s="83" t="s">
        <v>1369</v>
      </c>
      <c r="AP67" s="189" t="s">
        <v>1436</v>
      </c>
      <c r="AQ67" s="189" t="s">
        <v>1437</v>
      </c>
      <c r="AR67" s="189" t="s">
        <v>1403</v>
      </c>
      <c r="AS67" s="189" t="s">
        <v>1404</v>
      </c>
      <c r="AT67" s="189" t="s">
        <v>1395</v>
      </c>
      <c r="AU67" s="189" t="s">
        <v>1395</v>
      </c>
      <c r="AV67" s="145">
        <v>43132</v>
      </c>
      <c r="AW67" s="189" t="s">
        <v>1395</v>
      </c>
      <c r="AX67" s="276">
        <v>1</v>
      </c>
      <c r="AY67" s="276" t="str">
        <f t="shared" ref="AY67:AY81" si="28">CONCATENATE(AJ67,AX67)</f>
        <v>020406511</v>
      </c>
      <c r="AZ67" s="276" t="s">
        <v>1407</v>
      </c>
      <c r="BA67" s="83" t="s">
        <v>1408</v>
      </c>
      <c r="BB67" s="83" t="s">
        <v>1229</v>
      </c>
      <c r="BC67" s="83" t="s">
        <v>1358</v>
      </c>
      <c r="BD67" s="144">
        <v>43132</v>
      </c>
      <c r="BE67" s="83" t="s">
        <v>17</v>
      </c>
      <c r="BF67" s="83" t="s">
        <v>71</v>
      </c>
      <c r="BG67" s="83" t="s">
        <v>1410</v>
      </c>
      <c r="BH67" s="83" t="s">
        <v>1411</v>
      </c>
      <c r="BI67" s="83" t="s">
        <v>1412</v>
      </c>
      <c r="BJ67" s="83" t="s">
        <v>1413</v>
      </c>
      <c r="BK67" s="83" t="s">
        <v>1414</v>
      </c>
      <c r="BL67" s="105" t="s">
        <v>1415</v>
      </c>
      <c r="BM67" s="144">
        <v>41974</v>
      </c>
      <c r="BN67" s="83">
        <v>0</v>
      </c>
      <c r="BO67" s="78">
        <v>3</v>
      </c>
      <c r="BP67" s="78"/>
      <c r="BQ67" s="173">
        <f t="shared" si="0"/>
        <v>3</v>
      </c>
      <c r="BR67" s="275">
        <v>5</v>
      </c>
      <c r="BS67" s="94">
        <v>0.6</v>
      </c>
      <c r="BT67" s="94">
        <v>0</v>
      </c>
      <c r="BU67" s="94">
        <f t="shared" si="2"/>
        <v>0</v>
      </c>
      <c r="BV67" s="188">
        <f t="shared" si="26"/>
        <v>0</v>
      </c>
      <c r="BW67" s="94">
        <f t="shared" si="27"/>
        <v>1.2</v>
      </c>
      <c r="BX67" s="94">
        <v>0</v>
      </c>
      <c r="BY67" s="94">
        <v>0</v>
      </c>
      <c r="BZ67" s="89">
        <f t="shared" si="19"/>
        <v>0</v>
      </c>
      <c r="CA67" s="94">
        <f t="shared" si="20"/>
        <v>1.7999999999999998</v>
      </c>
      <c r="CB67" s="94"/>
      <c r="CC67" s="94">
        <f t="shared" si="8"/>
        <v>0</v>
      </c>
      <c r="CD67" s="188">
        <f t="shared" si="21"/>
        <v>0</v>
      </c>
      <c r="CE67" s="94">
        <f t="shared" si="22"/>
        <v>2.4</v>
      </c>
      <c r="CF67" s="188"/>
      <c r="CG67" s="94">
        <f t="shared" si="11"/>
        <v>0</v>
      </c>
      <c r="CH67" s="188">
        <f t="shared" si="23"/>
        <v>0</v>
      </c>
      <c r="CI67" s="94">
        <f t="shared" si="24"/>
        <v>3</v>
      </c>
      <c r="CJ67" s="188"/>
      <c r="CK67" s="94">
        <f t="shared" si="14"/>
        <v>0</v>
      </c>
      <c r="CL67" s="89">
        <f t="shared" si="25"/>
        <v>0</v>
      </c>
      <c r="CM67" s="89" t="s">
        <v>11</v>
      </c>
      <c r="CN67" s="188" t="s">
        <v>1363</v>
      </c>
      <c r="CO67" s="188"/>
      <c r="CP67" s="188"/>
      <c r="CQ67" s="188"/>
      <c r="CR67" s="4"/>
      <c r="CS67" s="24">
        <v>67</v>
      </c>
      <c r="CT67" s="4"/>
      <c r="CU67" s="4"/>
      <c r="CV67" s="4"/>
      <c r="CW67" s="4"/>
    </row>
    <row r="68" spans="1:101" ht="171" x14ac:dyDescent="0.25">
      <c r="A68" s="276">
        <v>14</v>
      </c>
      <c r="B68" s="269" t="s">
        <v>1474</v>
      </c>
      <c r="C68" s="269" t="s">
        <v>1266</v>
      </c>
      <c r="D68" s="189" t="s">
        <v>147</v>
      </c>
      <c r="E68" s="276" t="s">
        <v>190</v>
      </c>
      <c r="F68" s="189" t="s">
        <v>186</v>
      </c>
      <c r="G68" s="172">
        <v>18</v>
      </c>
      <c r="H68" s="276" t="s">
        <v>239</v>
      </c>
      <c r="I68" s="276">
        <v>65</v>
      </c>
      <c r="J68" s="276" t="s">
        <v>240</v>
      </c>
      <c r="K68" s="276" t="s">
        <v>873</v>
      </c>
      <c r="L68" s="189" t="s">
        <v>241</v>
      </c>
      <c r="M68" s="276" t="s">
        <v>152</v>
      </c>
      <c r="N68" s="189" t="s">
        <v>188</v>
      </c>
      <c r="O68" s="189" t="s">
        <v>78</v>
      </c>
      <c r="P68" s="276" t="s">
        <v>189</v>
      </c>
      <c r="Q68" s="276" t="s">
        <v>188</v>
      </c>
      <c r="R68" s="276"/>
      <c r="S68" s="276"/>
      <c r="T68" s="276"/>
      <c r="U68" s="276"/>
      <c r="V68" s="276"/>
      <c r="W68" s="276"/>
      <c r="X68" s="173"/>
      <c r="Y68" s="276">
        <v>1</v>
      </c>
      <c r="Z68" s="276">
        <v>0</v>
      </c>
      <c r="AA68" s="276" t="s">
        <v>1221</v>
      </c>
      <c r="AB68" s="276"/>
      <c r="AC68" s="275">
        <v>9</v>
      </c>
      <c r="AD68" s="189" t="s">
        <v>1294</v>
      </c>
      <c r="AE68" s="189"/>
      <c r="AF68" s="79"/>
      <c r="AG68" s="276" t="s">
        <v>1235</v>
      </c>
      <c r="AH68" s="78"/>
      <c r="AI68" s="275" t="s">
        <v>1239</v>
      </c>
      <c r="AJ68" s="189" t="str">
        <f t="shared" si="16"/>
        <v>02040651.1</v>
      </c>
      <c r="AK68" s="83" t="s">
        <v>1570</v>
      </c>
      <c r="AL68" s="189" t="s">
        <v>1259</v>
      </c>
      <c r="AM68" s="189"/>
      <c r="AN68" s="83" t="s">
        <v>1400</v>
      </c>
      <c r="AO68" s="83" t="s">
        <v>1369</v>
      </c>
      <c r="AP68" s="189" t="s">
        <v>1416</v>
      </c>
      <c r="AQ68" s="189" t="s">
        <v>1438</v>
      </c>
      <c r="AR68" s="189" t="s">
        <v>1439</v>
      </c>
      <c r="AS68" s="189" t="s">
        <v>1419</v>
      </c>
      <c r="AT68" s="189" t="s">
        <v>1395</v>
      </c>
      <c r="AU68" s="189" t="s">
        <v>1395</v>
      </c>
      <c r="AV68" s="145">
        <v>43132</v>
      </c>
      <c r="AW68" s="189" t="s">
        <v>1395</v>
      </c>
      <c r="AX68" s="276">
        <v>1</v>
      </c>
      <c r="AY68" s="276" t="str">
        <f t="shared" si="28"/>
        <v>02040651.11</v>
      </c>
      <c r="AZ68" s="276" t="s">
        <v>1420</v>
      </c>
      <c r="BA68" s="83" t="s">
        <v>1421</v>
      </c>
      <c r="BB68" s="83" t="s">
        <v>1229</v>
      </c>
      <c r="BC68" s="83" t="s">
        <v>1357</v>
      </c>
      <c r="BD68" s="144">
        <v>43132</v>
      </c>
      <c r="BE68" s="83" t="s">
        <v>17</v>
      </c>
      <c r="BF68" s="83" t="s">
        <v>71</v>
      </c>
      <c r="BG68" s="83" t="s">
        <v>1440</v>
      </c>
      <c r="BH68" s="83" t="s">
        <v>1411</v>
      </c>
      <c r="BI68" s="83" t="s">
        <v>1412</v>
      </c>
      <c r="BJ68" s="83" t="s">
        <v>1413</v>
      </c>
      <c r="BK68" s="83" t="s">
        <v>1424</v>
      </c>
      <c r="BL68" s="105" t="s">
        <v>1425</v>
      </c>
      <c r="BM68" s="144">
        <v>41974</v>
      </c>
      <c r="BN68" s="83">
        <v>0</v>
      </c>
      <c r="BO68" s="78"/>
      <c r="BP68" s="78"/>
      <c r="BQ68" s="173">
        <f t="shared" si="0"/>
        <v>0</v>
      </c>
      <c r="BR68" s="275"/>
      <c r="BS68" s="188"/>
      <c r="BT68" s="188"/>
      <c r="BU68" s="94">
        <f t="shared" si="2"/>
        <v>0</v>
      </c>
      <c r="BV68" s="188" t="e">
        <f t="shared" si="26"/>
        <v>#DIV/0!</v>
      </c>
      <c r="BW68" s="94">
        <f t="shared" si="27"/>
        <v>0</v>
      </c>
      <c r="BX68" s="188"/>
      <c r="BY68" s="188"/>
      <c r="BZ68" s="89" t="e">
        <f t="shared" si="19"/>
        <v>#DIV/0!</v>
      </c>
      <c r="CA68" s="94">
        <f t="shared" si="20"/>
        <v>0</v>
      </c>
      <c r="CB68" s="94"/>
      <c r="CC68" s="94">
        <f t="shared" si="8"/>
        <v>0</v>
      </c>
      <c r="CD68" s="188" t="e">
        <f t="shared" si="21"/>
        <v>#DIV/0!</v>
      </c>
      <c r="CE68" s="94">
        <f t="shared" si="22"/>
        <v>0</v>
      </c>
      <c r="CF68" s="188"/>
      <c r="CG68" s="94">
        <f t="shared" si="11"/>
        <v>0</v>
      </c>
      <c r="CH68" s="188" t="e">
        <f t="shared" si="23"/>
        <v>#DIV/0!</v>
      </c>
      <c r="CI68" s="94">
        <f t="shared" si="24"/>
        <v>0</v>
      </c>
      <c r="CJ68" s="188"/>
      <c r="CK68" s="94">
        <f t="shared" si="14"/>
        <v>0</v>
      </c>
      <c r="CL68" s="89" t="e">
        <f t="shared" si="25"/>
        <v>#DIV/0!</v>
      </c>
      <c r="CM68" s="89" t="s">
        <v>11</v>
      </c>
      <c r="CN68" s="188" t="s">
        <v>1363</v>
      </c>
      <c r="CO68" s="188"/>
      <c r="CP68" s="188"/>
      <c r="CQ68" s="188"/>
      <c r="CR68" s="4"/>
      <c r="CS68" s="24">
        <v>68</v>
      </c>
      <c r="CT68" s="4"/>
      <c r="CU68" s="4"/>
      <c r="CV68" s="4"/>
      <c r="CW68" s="4"/>
    </row>
    <row r="69" spans="1:101" ht="185.25" x14ac:dyDescent="0.25">
      <c r="A69" s="276">
        <v>14</v>
      </c>
      <c r="B69" s="269" t="s">
        <v>1474</v>
      </c>
      <c r="C69" s="269" t="s">
        <v>1266</v>
      </c>
      <c r="D69" s="189" t="s">
        <v>147</v>
      </c>
      <c r="E69" s="276" t="s">
        <v>190</v>
      </c>
      <c r="F69" s="189" t="s">
        <v>186</v>
      </c>
      <c r="G69" s="172">
        <v>18</v>
      </c>
      <c r="H69" s="276" t="s">
        <v>239</v>
      </c>
      <c r="I69" s="276">
        <v>65</v>
      </c>
      <c r="J69" s="276" t="s">
        <v>240</v>
      </c>
      <c r="K69" s="276" t="s">
        <v>873</v>
      </c>
      <c r="L69" s="189" t="s">
        <v>241</v>
      </c>
      <c r="M69" s="276" t="s">
        <v>152</v>
      </c>
      <c r="N69" s="189" t="s">
        <v>188</v>
      </c>
      <c r="O69" s="189" t="s">
        <v>78</v>
      </c>
      <c r="P69" s="276" t="s">
        <v>189</v>
      </c>
      <c r="Q69" s="276" t="s">
        <v>188</v>
      </c>
      <c r="R69" s="276"/>
      <c r="S69" s="276"/>
      <c r="T69" s="276"/>
      <c r="U69" s="276"/>
      <c r="V69" s="276"/>
      <c r="W69" s="276"/>
      <c r="X69" s="173"/>
      <c r="Y69" s="276">
        <v>1</v>
      </c>
      <c r="Z69" s="276">
        <v>0</v>
      </c>
      <c r="AA69" s="276" t="s">
        <v>1221</v>
      </c>
      <c r="AB69" s="276"/>
      <c r="AC69" s="275">
        <v>9</v>
      </c>
      <c r="AD69" s="189" t="s">
        <v>1294</v>
      </c>
      <c r="AE69" s="189"/>
      <c r="AF69" s="79"/>
      <c r="AG69" s="276" t="s">
        <v>1235</v>
      </c>
      <c r="AH69" s="78"/>
      <c r="AI69" s="275" t="s">
        <v>1240</v>
      </c>
      <c r="AJ69" s="189" t="str">
        <f t="shared" si="16"/>
        <v>02040651.2</v>
      </c>
      <c r="AK69" s="83" t="s">
        <v>1426</v>
      </c>
      <c r="AL69" s="189" t="s">
        <v>1350</v>
      </c>
      <c r="AM69" s="189"/>
      <c r="AN69" s="83" t="s">
        <v>1400</v>
      </c>
      <c r="AO69" s="83" t="s">
        <v>1427</v>
      </c>
      <c r="AP69" s="189" t="s">
        <v>1441</v>
      </c>
      <c r="AQ69" s="189" t="s">
        <v>1442</v>
      </c>
      <c r="AR69" s="189" t="s">
        <v>1443</v>
      </c>
      <c r="AS69" s="189" t="s">
        <v>1404</v>
      </c>
      <c r="AT69" s="189" t="s">
        <v>1395</v>
      </c>
      <c r="AU69" s="189" t="s">
        <v>1395</v>
      </c>
      <c r="AV69" s="145">
        <v>43132</v>
      </c>
      <c r="AW69" s="189" t="s">
        <v>1395</v>
      </c>
      <c r="AX69" s="276">
        <v>1</v>
      </c>
      <c r="AY69" s="276" t="str">
        <f t="shared" si="28"/>
        <v>02040651.21</v>
      </c>
      <c r="AZ69" s="276" t="s">
        <v>1407</v>
      </c>
      <c r="BA69" s="83" t="s">
        <v>1408</v>
      </c>
      <c r="BB69" s="83" t="s">
        <v>1229</v>
      </c>
      <c r="BC69" s="83" t="s">
        <v>1358</v>
      </c>
      <c r="BD69" s="144">
        <v>43132</v>
      </c>
      <c r="BE69" s="83" t="s">
        <v>17</v>
      </c>
      <c r="BF69" s="83" t="s">
        <v>71</v>
      </c>
      <c r="BG69" s="83" t="s">
        <v>1431</v>
      </c>
      <c r="BH69" s="83" t="s">
        <v>1411</v>
      </c>
      <c r="BI69" s="83" t="s">
        <v>1412</v>
      </c>
      <c r="BJ69" s="83" t="s">
        <v>1413</v>
      </c>
      <c r="BK69" s="83" t="s">
        <v>1414</v>
      </c>
      <c r="BL69" s="105" t="s">
        <v>1415</v>
      </c>
      <c r="BM69" s="144">
        <v>41974</v>
      </c>
      <c r="BN69" s="83">
        <v>0</v>
      </c>
      <c r="BO69" s="78"/>
      <c r="BP69" s="78"/>
      <c r="BQ69" s="173">
        <f t="shared" si="0"/>
        <v>0</v>
      </c>
      <c r="BR69" s="275">
        <v>5</v>
      </c>
      <c r="BS69" s="188"/>
      <c r="BT69" s="188"/>
      <c r="BU69" s="94">
        <f t="shared" si="2"/>
        <v>0</v>
      </c>
      <c r="BV69" s="188" t="e">
        <f t="shared" si="26"/>
        <v>#DIV/0!</v>
      </c>
      <c r="BW69" s="94">
        <f t="shared" si="27"/>
        <v>0</v>
      </c>
      <c r="BX69" s="188"/>
      <c r="BY69" s="188"/>
      <c r="BZ69" s="89" t="e">
        <f t="shared" si="19"/>
        <v>#DIV/0!</v>
      </c>
      <c r="CA69" s="94">
        <f t="shared" si="20"/>
        <v>0</v>
      </c>
      <c r="CB69" s="94"/>
      <c r="CC69" s="94">
        <f t="shared" si="8"/>
        <v>0</v>
      </c>
      <c r="CD69" s="188" t="e">
        <f t="shared" si="21"/>
        <v>#DIV/0!</v>
      </c>
      <c r="CE69" s="94">
        <f t="shared" si="22"/>
        <v>0</v>
      </c>
      <c r="CF69" s="188"/>
      <c r="CG69" s="94">
        <f t="shared" si="11"/>
        <v>0</v>
      </c>
      <c r="CH69" s="188" t="e">
        <f t="shared" si="23"/>
        <v>#DIV/0!</v>
      </c>
      <c r="CI69" s="94">
        <f t="shared" si="24"/>
        <v>0</v>
      </c>
      <c r="CJ69" s="188"/>
      <c r="CK69" s="94">
        <f t="shared" si="14"/>
        <v>0</v>
      </c>
      <c r="CL69" s="89" t="e">
        <f t="shared" si="25"/>
        <v>#DIV/0!</v>
      </c>
      <c r="CM69" s="89" t="s">
        <v>11</v>
      </c>
      <c r="CN69" s="188" t="s">
        <v>1363</v>
      </c>
      <c r="CO69" s="188"/>
      <c r="CP69" s="188"/>
      <c r="CQ69" s="188"/>
      <c r="CR69" s="1"/>
      <c r="CS69" s="2">
        <v>69</v>
      </c>
      <c r="CT69" s="1"/>
      <c r="CU69" s="1"/>
    </row>
    <row r="70" spans="1:101" ht="171" x14ac:dyDescent="0.25">
      <c r="A70" s="276">
        <v>14</v>
      </c>
      <c r="B70" s="269" t="s">
        <v>1474</v>
      </c>
      <c r="C70" s="269" t="s">
        <v>1266</v>
      </c>
      <c r="D70" s="189" t="s">
        <v>147</v>
      </c>
      <c r="E70" s="276" t="s">
        <v>190</v>
      </c>
      <c r="F70" s="189" t="s">
        <v>186</v>
      </c>
      <c r="G70" s="172">
        <v>18</v>
      </c>
      <c r="H70" s="276" t="s">
        <v>239</v>
      </c>
      <c r="I70" s="276">
        <v>65</v>
      </c>
      <c r="J70" s="276" t="s">
        <v>240</v>
      </c>
      <c r="K70" s="276" t="s">
        <v>873</v>
      </c>
      <c r="L70" s="189" t="s">
        <v>241</v>
      </c>
      <c r="M70" s="276" t="s">
        <v>152</v>
      </c>
      <c r="N70" s="189" t="s">
        <v>188</v>
      </c>
      <c r="O70" s="189" t="s">
        <v>78</v>
      </c>
      <c r="P70" s="276" t="s">
        <v>189</v>
      </c>
      <c r="Q70" s="276" t="s">
        <v>188</v>
      </c>
      <c r="R70" s="276"/>
      <c r="S70" s="276"/>
      <c r="T70" s="276"/>
      <c r="U70" s="276"/>
      <c r="V70" s="276"/>
      <c r="W70" s="276"/>
      <c r="X70" s="173"/>
      <c r="Y70" s="276">
        <v>1</v>
      </c>
      <c r="Z70" s="276">
        <v>0</v>
      </c>
      <c r="AA70" s="276" t="s">
        <v>1221</v>
      </c>
      <c r="AB70" s="276"/>
      <c r="AC70" s="275">
        <v>9</v>
      </c>
      <c r="AD70" s="189" t="s">
        <v>1294</v>
      </c>
      <c r="AE70" s="189"/>
      <c r="AF70" s="79"/>
      <c r="AG70" s="276" t="s">
        <v>1235</v>
      </c>
      <c r="AH70" s="78"/>
      <c r="AI70" s="275" t="s">
        <v>1470</v>
      </c>
      <c r="AJ70" s="189" t="str">
        <f t="shared" si="16"/>
        <v>02040651.3</v>
      </c>
      <c r="AK70" s="83" t="s">
        <v>1567</v>
      </c>
      <c r="AL70" s="189" t="s">
        <v>1350</v>
      </c>
      <c r="AM70" s="189"/>
      <c r="AN70" s="83" t="s">
        <v>1400</v>
      </c>
      <c r="AO70" s="83" t="s">
        <v>1369</v>
      </c>
      <c r="AP70" s="189" t="s">
        <v>1444</v>
      </c>
      <c r="AQ70" s="189" t="s">
        <v>1445</v>
      </c>
      <c r="AR70" s="189" t="s">
        <v>1446</v>
      </c>
      <c r="AS70" s="189" t="s">
        <v>1404</v>
      </c>
      <c r="AT70" s="189" t="s">
        <v>1395</v>
      </c>
      <c r="AU70" s="189" t="s">
        <v>1395</v>
      </c>
      <c r="AV70" s="145">
        <v>43132</v>
      </c>
      <c r="AW70" s="189" t="s">
        <v>1395</v>
      </c>
      <c r="AX70" s="276">
        <v>1</v>
      </c>
      <c r="AY70" s="276" t="str">
        <f t="shared" si="28"/>
        <v>02040651.31</v>
      </c>
      <c r="AZ70" s="276" t="s">
        <v>1407</v>
      </c>
      <c r="BA70" s="83" t="s">
        <v>1408</v>
      </c>
      <c r="BB70" s="83" t="s">
        <v>1229</v>
      </c>
      <c r="BC70" s="83" t="s">
        <v>1358</v>
      </c>
      <c r="BD70" s="144">
        <v>43132</v>
      </c>
      <c r="BE70" s="83" t="s">
        <v>17</v>
      </c>
      <c r="BF70" s="83" t="s">
        <v>71</v>
      </c>
      <c r="BG70" s="189" t="s">
        <v>1395</v>
      </c>
      <c r="BH70" s="189" t="s">
        <v>1395</v>
      </c>
      <c r="BI70" s="83" t="s">
        <v>1412</v>
      </c>
      <c r="BJ70" s="83" t="s">
        <v>1413</v>
      </c>
      <c r="BK70" s="83" t="s">
        <v>1414</v>
      </c>
      <c r="BL70" s="105" t="s">
        <v>1415</v>
      </c>
      <c r="BM70" s="144">
        <v>41974</v>
      </c>
      <c r="BN70" s="276">
        <v>0</v>
      </c>
      <c r="BO70" s="78"/>
      <c r="BP70" s="78"/>
      <c r="BQ70" s="173">
        <f t="shared" si="0"/>
        <v>0</v>
      </c>
      <c r="BR70" s="275"/>
      <c r="BS70" s="188"/>
      <c r="BT70" s="188"/>
      <c r="BU70" s="94">
        <f t="shared" si="2"/>
        <v>0</v>
      </c>
      <c r="BV70" s="188" t="e">
        <f t="shared" si="26"/>
        <v>#DIV/0!</v>
      </c>
      <c r="BW70" s="94">
        <f t="shared" si="27"/>
        <v>0</v>
      </c>
      <c r="BX70" s="188"/>
      <c r="BY70" s="188"/>
      <c r="BZ70" s="89" t="e">
        <f t="shared" si="19"/>
        <v>#DIV/0!</v>
      </c>
      <c r="CA70" s="94">
        <f t="shared" si="20"/>
        <v>0</v>
      </c>
      <c r="CB70" s="94"/>
      <c r="CC70" s="94">
        <f t="shared" si="8"/>
        <v>0</v>
      </c>
      <c r="CD70" s="188" t="e">
        <f t="shared" si="21"/>
        <v>#DIV/0!</v>
      </c>
      <c r="CE70" s="94">
        <f t="shared" si="22"/>
        <v>0</v>
      </c>
      <c r="CF70" s="188"/>
      <c r="CG70" s="94">
        <f t="shared" si="11"/>
        <v>0</v>
      </c>
      <c r="CH70" s="188" t="e">
        <f t="shared" si="23"/>
        <v>#DIV/0!</v>
      </c>
      <c r="CI70" s="94">
        <f t="shared" si="24"/>
        <v>0</v>
      </c>
      <c r="CJ70" s="188"/>
      <c r="CK70" s="94">
        <f t="shared" si="14"/>
        <v>0</v>
      </c>
      <c r="CL70" s="89" t="e">
        <f t="shared" si="25"/>
        <v>#DIV/0!</v>
      </c>
      <c r="CM70" s="89" t="s">
        <v>11</v>
      </c>
      <c r="CN70" s="188" t="s">
        <v>1363</v>
      </c>
      <c r="CO70" s="188"/>
      <c r="CP70" s="188"/>
      <c r="CQ70" s="188"/>
      <c r="CR70" s="1"/>
      <c r="CS70" s="24">
        <v>70</v>
      </c>
      <c r="CT70" s="1"/>
      <c r="CU70" s="1"/>
    </row>
    <row r="71" spans="1:101" ht="171" x14ac:dyDescent="0.25">
      <c r="A71" s="276">
        <v>14</v>
      </c>
      <c r="B71" s="269" t="s">
        <v>1475</v>
      </c>
      <c r="C71" s="269" t="s">
        <v>1266</v>
      </c>
      <c r="D71" s="189" t="s">
        <v>147</v>
      </c>
      <c r="E71" s="276" t="s">
        <v>190</v>
      </c>
      <c r="F71" s="189" t="s">
        <v>186</v>
      </c>
      <c r="G71" s="172">
        <v>19</v>
      </c>
      <c r="H71" s="276" t="s">
        <v>242</v>
      </c>
      <c r="I71" s="276">
        <v>66</v>
      </c>
      <c r="J71" s="276" t="s">
        <v>243</v>
      </c>
      <c r="K71" s="276" t="s">
        <v>874</v>
      </c>
      <c r="L71" s="189" t="s">
        <v>244</v>
      </c>
      <c r="M71" s="276" t="s">
        <v>152</v>
      </c>
      <c r="N71" s="189" t="s">
        <v>188</v>
      </c>
      <c r="O71" s="189" t="s">
        <v>137</v>
      </c>
      <c r="P71" s="276" t="s">
        <v>189</v>
      </c>
      <c r="Q71" s="276" t="s">
        <v>188</v>
      </c>
      <c r="R71" s="276"/>
      <c r="S71" s="276"/>
      <c r="T71" s="276" t="s">
        <v>138</v>
      </c>
      <c r="U71" s="276"/>
      <c r="V71" s="276"/>
      <c r="W71" s="276"/>
      <c r="X71" s="173">
        <f>100/COUNTIFS(($C$4:$C$42),C71,($E$4:$E$42),E71)</f>
        <v>50</v>
      </c>
      <c r="Y71" s="276">
        <f t="shared" ref="Y71:Y79" si="29">COUNTIF(T71,"RS")</f>
        <v>0</v>
      </c>
      <c r="Z71" s="276">
        <v>1</v>
      </c>
      <c r="AA71" s="276" t="s">
        <v>1221</v>
      </c>
      <c r="AB71" s="276"/>
      <c r="AC71" s="275">
        <v>9</v>
      </c>
      <c r="AD71" s="189" t="s">
        <v>1294</v>
      </c>
      <c r="AE71" s="189"/>
      <c r="AF71" s="189"/>
      <c r="AG71" s="276" t="s">
        <v>1236</v>
      </c>
      <c r="AH71" s="78"/>
      <c r="AI71" s="276">
        <v>1</v>
      </c>
      <c r="AJ71" s="189" t="str">
        <f t="shared" si="16"/>
        <v>02040661</v>
      </c>
      <c r="AK71" s="189" t="s">
        <v>1376</v>
      </c>
      <c r="AL71" s="189" t="s">
        <v>137</v>
      </c>
      <c r="AM71" s="189"/>
      <c r="AN71" s="189" t="s">
        <v>9</v>
      </c>
      <c r="AO71" s="189" t="s">
        <v>1369</v>
      </c>
      <c r="AP71" s="189" t="s">
        <v>1377</v>
      </c>
      <c r="AQ71" s="189" t="s">
        <v>1377</v>
      </c>
      <c r="AR71" s="189" t="s">
        <v>1395</v>
      </c>
      <c r="AS71" s="189" t="s">
        <v>1395</v>
      </c>
      <c r="AT71" s="189" t="s">
        <v>1395</v>
      </c>
      <c r="AU71" s="189" t="s">
        <v>1395</v>
      </c>
      <c r="AV71" s="189">
        <v>2015</v>
      </c>
      <c r="AW71" s="189" t="s">
        <v>1378</v>
      </c>
      <c r="AX71" s="276">
        <v>1</v>
      </c>
      <c r="AY71" s="276" t="str">
        <f t="shared" si="28"/>
        <v>020406611</v>
      </c>
      <c r="AZ71" s="276" t="s">
        <v>1373</v>
      </c>
      <c r="BA71" s="276" t="s">
        <v>1379</v>
      </c>
      <c r="BB71" s="276" t="s">
        <v>1229</v>
      </c>
      <c r="BC71" s="276" t="s">
        <v>11</v>
      </c>
      <c r="BD71" s="276">
        <v>2015</v>
      </c>
      <c r="BE71" s="276" t="s">
        <v>17</v>
      </c>
      <c r="BF71" s="276" t="s">
        <v>17</v>
      </c>
      <c r="BG71" s="83" t="s">
        <v>1380</v>
      </c>
      <c r="BH71" s="276" t="s">
        <v>1389</v>
      </c>
      <c r="BI71" s="189" t="s">
        <v>1471</v>
      </c>
      <c r="BJ71" s="276" t="s">
        <v>1374</v>
      </c>
      <c r="BK71" s="276" t="s">
        <v>1472</v>
      </c>
      <c r="BL71" s="105">
        <v>2119999</v>
      </c>
      <c r="BM71" s="276">
        <v>2015</v>
      </c>
      <c r="BN71" s="146">
        <v>3</v>
      </c>
      <c r="BO71" s="146">
        <v>3</v>
      </c>
      <c r="BP71" s="83"/>
      <c r="BQ71" s="173">
        <f t="shared" si="0"/>
        <v>0</v>
      </c>
      <c r="BR71" s="275">
        <v>5</v>
      </c>
      <c r="BS71" s="87">
        <v>1</v>
      </c>
      <c r="BT71" s="87">
        <v>1</v>
      </c>
      <c r="BU71" s="94">
        <f t="shared" si="2"/>
        <v>-2</v>
      </c>
      <c r="BV71" s="188" t="e">
        <f t="shared" si="26"/>
        <v>#DIV/0!</v>
      </c>
      <c r="BW71" s="94">
        <f t="shared" si="27"/>
        <v>3</v>
      </c>
      <c r="BX71" s="87">
        <v>2</v>
      </c>
      <c r="BY71" s="87">
        <f>BX71</f>
        <v>2</v>
      </c>
      <c r="BZ71" s="89" t="e">
        <f t="shared" si="19"/>
        <v>#DIV/0!</v>
      </c>
      <c r="CA71" s="94">
        <f t="shared" si="20"/>
        <v>3</v>
      </c>
      <c r="CB71" s="147"/>
      <c r="CC71" s="94">
        <f t="shared" si="8"/>
        <v>-3</v>
      </c>
      <c r="CD71" s="188" t="e">
        <f t="shared" si="21"/>
        <v>#DIV/0!</v>
      </c>
      <c r="CE71" s="94">
        <f t="shared" si="22"/>
        <v>3</v>
      </c>
      <c r="CF71" s="87"/>
      <c r="CG71" s="94">
        <f t="shared" si="11"/>
        <v>-3</v>
      </c>
      <c r="CH71" s="188" t="e">
        <f t="shared" si="23"/>
        <v>#DIV/0!</v>
      </c>
      <c r="CI71" s="94">
        <f t="shared" si="24"/>
        <v>3</v>
      </c>
      <c r="CJ71" s="87"/>
      <c r="CK71" s="94">
        <f t="shared" si="14"/>
        <v>-3</v>
      </c>
      <c r="CL71" s="89" t="e">
        <f t="shared" si="25"/>
        <v>#DIV/0!</v>
      </c>
      <c r="CM71" s="89" t="s">
        <v>11</v>
      </c>
      <c r="CN71" s="188" t="s">
        <v>1363</v>
      </c>
      <c r="CO71" s="140"/>
      <c r="CP71" s="140"/>
      <c r="CQ71" s="140"/>
      <c r="CR71" s="1"/>
      <c r="CS71" s="24">
        <v>71</v>
      </c>
      <c r="CT71" s="1"/>
      <c r="CU71" s="1"/>
    </row>
    <row r="72" spans="1:101" ht="171" x14ac:dyDescent="0.25">
      <c r="A72" s="276">
        <v>14</v>
      </c>
      <c r="B72" s="269" t="s">
        <v>1475</v>
      </c>
      <c r="C72" s="269" t="s">
        <v>1266</v>
      </c>
      <c r="D72" s="189" t="s">
        <v>147</v>
      </c>
      <c r="E72" s="276" t="s">
        <v>190</v>
      </c>
      <c r="F72" s="189" t="s">
        <v>186</v>
      </c>
      <c r="G72" s="172">
        <v>19</v>
      </c>
      <c r="H72" s="276" t="s">
        <v>242</v>
      </c>
      <c r="I72" s="276">
        <v>66</v>
      </c>
      <c r="J72" s="276" t="s">
        <v>243</v>
      </c>
      <c r="K72" s="276" t="s">
        <v>874</v>
      </c>
      <c r="L72" s="189" t="s">
        <v>244</v>
      </c>
      <c r="M72" s="276" t="s">
        <v>152</v>
      </c>
      <c r="N72" s="189" t="s">
        <v>188</v>
      </c>
      <c r="O72" s="189" t="s">
        <v>137</v>
      </c>
      <c r="P72" s="276" t="s">
        <v>189</v>
      </c>
      <c r="Q72" s="276" t="s">
        <v>188</v>
      </c>
      <c r="R72" s="276"/>
      <c r="S72" s="276"/>
      <c r="T72" s="276" t="s">
        <v>138</v>
      </c>
      <c r="U72" s="276"/>
      <c r="V72" s="276"/>
      <c r="W72" s="276"/>
      <c r="X72" s="173">
        <f>100/COUNTIFS(($C$4:$C$42),C72,($E$4:$E$42),E72)</f>
        <v>50</v>
      </c>
      <c r="Y72" s="276">
        <f t="shared" si="29"/>
        <v>0</v>
      </c>
      <c r="Z72" s="276">
        <v>1</v>
      </c>
      <c r="AA72" s="276" t="s">
        <v>1221</v>
      </c>
      <c r="AB72" s="276"/>
      <c r="AC72" s="275">
        <v>9</v>
      </c>
      <c r="AD72" s="189" t="s">
        <v>1294</v>
      </c>
      <c r="AE72" s="189"/>
      <c r="AF72" s="189"/>
      <c r="AG72" s="276" t="s">
        <v>1236</v>
      </c>
      <c r="AH72" s="78"/>
      <c r="AI72" s="276">
        <v>2</v>
      </c>
      <c r="AJ72" s="189" t="str">
        <f t="shared" si="16"/>
        <v>02040662</v>
      </c>
      <c r="AK72" s="189" t="s">
        <v>1388</v>
      </c>
      <c r="AL72" s="189" t="s">
        <v>137</v>
      </c>
      <c r="AM72" s="189"/>
      <c r="AN72" s="189" t="s">
        <v>9</v>
      </c>
      <c r="AO72" s="189" t="s">
        <v>1369</v>
      </c>
      <c r="AP72" s="189" t="s">
        <v>1387</v>
      </c>
      <c r="AQ72" s="189" t="s">
        <v>1387</v>
      </c>
      <c r="AR72" s="189" t="s">
        <v>1395</v>
      </c>
      <c r="AS72" s="189" t="s">
        <v>1395</v>
      </c>
      <c r="AT72" s="189" t="s">
        <v>1395</v>
      </c>
      <c r="AU72" s="189" t="s">
        <v>1395</v>
      </c>
      <c r="AV72" s="189">
        <v>2015</v>
      </c>
      <c r="AW72" s="189" t="s">
        <v>1372</v>
      </c>
      <c r="AX72" s="276">
        <v>1</v>
      </c>
      <c r="AY72" s="276" t="str">
        <f t="shared" si="28"/>
        <v>020406621</v>
      </c>
      <c r="AZ72" s="276" t="s">
        <v>1373</v>
      </c>
      <c r="BA72" s="276" t="s">
        <v>1379</v>
      </c>
      <c r="BB72" s="276" t="s">
        <v>1229</v>
      </c>
      <c r="BC72" s="276" t="s">
        <v>11</v>
      </c>
      <c r="BD72" s="276">
        <v>2015</v>
      </c>
      <c r="BE72" s="276" t="s">
        <v>17</v>
      </c>
      <c r="BF72" s="276" t="s">
        <v>17</v>
      </c>
      <c r="BG72" s="83" t="s">
        <v>1380</v>
      </c>
      <c r="BH72" s="276" t="s">
        <v>1389</v>
      </c>
      <c r="BI72" s="189" t="s">
        <v>1471</v>
      </c>
      <c r="BJ72" s="276" t="s">
        <v>1374</v>
      </c>
      <c r="BK72" s="276" t="s">
        <v>1472</v>
      </c>
      <c r="BL72" s="105">
        <v>2119999</v>
      </c>
      <c r="BM72" s="276">
        <v>2015</v>
      </c>
      <c r="BN72" s="146">
        <v>1</v>
      </c>
      <c r="BO72" s="146">
        <v>3</v>
      </c>
      <c r="BP72" s="83"/>
      <c r="BQ72" s="173">
        <f t="shared" si="0"/>
        <v>2</v>
      </c>
      <c r="BR72" s="275">
        <v>5</v>
      </c>
      <c r="BS72" s="87">
        <v>1</v>
      </c>
      <c r="BT72" s="87"/>
      <c r="BU72" s="94">
        <f t="shared" si="2"/>
        <v>-1</v>
      </c>
      <c r="BV72" s="188">
        <f t="shared" si="26"/>
        <v>-0.5</v>
      </c>
      <c r="BW72" s="94">
        <f t="shared" si="27"/>
        <v>1.8</v>
      </c>
      <c r="BX72" s="87">
        <v>1</v>
      </c>
      <c r="BY72" s="87">
        <f>BX72</f>
        <v>1</v>
      </c>
      <c r="BZ72" s="89">
        <f t="shared" si="19"/>
        <v>0.5</v>
      </c>
      <c r="CA72" s="94">
        <f t="shared" si="20"/>
        <v>2.2000000000000002</v>
      </c>
      <c r="CB72" s="147"/>
      <c r="CC72" s="94">
        <f t="shared" si="8"/>
        <v>-1</v>
      </c>
      <c r="CD72" s="188">
        <f t="shared" si="21"/>
        <v>-0.5</v>
      </c>
      <c r="CE72" s="94">
        <f t="shared" si="22"/>
        <v>2.6</v>
      </c>
      <c r="CF72" s="87"/>
      <c r="CG72" s="94">
        <f t="shared" si="11"/>
        <v>-1</v>
      </c>
      <c r="CH72" s="188">
        <f t="shared" si="23"/>
        <v>-0.5</v>
      </c>
      <c r="CI72" s="94">
        <f t="shared" si="24"/>
        <v>3</v>
      </c>
      <c r="CJ72" s="87"/>
      <c r="CK72" s="94">
        <f t="shared" si="14"/>
        <v>-1</v>
      </c>
      <c r="CL72" s="89">
        <f t="shared" si="25"/>
        <v>-0.5</v>
      </c>
      <c r="CM72" s="89" t="s">
        <v>11</v>
      </c>
      <c r="CN72" s="188" t="s">
        <v>1363</v>
      </c>
      <c r="CO72" s="140"/>
      <c r="CP72" s="140"/>
      <c r="CQ72" s="140"/>
      <c r="CR72" s="1"/>
      <c r="CS72" s="2">
        <v>72</v>
      </c>
      <c r="CT72" s="1"/>
      <c r="CU72" s="1"/>
    </row>
    <row r="73" spans="1:101" ht="213.75" customHeight="1" x14ac:dyDescent="0.25">
      <c r="A73" s="276">
        <v>14</v>
      </c>
      <c r="B73" s="269" t="s">
        <v>1475</v>
      </c>
      <c r="C73" s="269" t="s">
        <v>1266</v>
      </c>
      <c r="D73" s="189" t="s">
        <v>147</v>
      </c>
      <c r="E73" s="276" t="s">
        <v>190</v>
      </c>
      <c r="F73" s="189" t="s">
        <v>186</v>
      </c>
      <c r="G73" s="172">
        <v>20</v>
      </c>
      <c r="H73" s="276" t="s">
        <v>245</v>
      </c>
      <c r="I73" s="276">
        <v>67</v>
      </c>
      <c r="J73" s="276" t="s">
        <v>246</v>
      </c>
      <c r="K73" s="276" t="s">
        <v>875</v>
      </c>
      <c r="L73" s="189" t="s">
        <v>247</v>
      </c>
      <c r="M73" s="276" t="s">
        <v>152</v>
      </c>
      <c r="N73" s="189" t="s">
        <v>188</v>
      </c>
      <c r="O73" s="189" t="s">
        <v>137</v>
      </c>
      <c r="P73" s="276" t="s">
        <v>189</v>
      </c>
      <c r="Q73" s="276" t="s">
        <v>188</v>
      </c>
      <c r="R73" s="276"/>
      <c r="S73" s="276"/>
      <c r="T73" s="276" t="s">
        <v>138</v>
      </c>
      <c r="U73" s="276"/>
      <c r="V73" s="276"/>
      <c r="W73" s="276"/>
      <c r="X73" s="173">
        <f>100/COUNTIFS(($C$4:$C$42),C73,($E$4:$E$42),E73)</f>
        <v>50</v>
      </c>
      <c r="Y73" s="276">
        <f t="shared" si="29"/>
        <v>0</v>
      </c>
      <c r="Z73" s="276">
        <v>1</v>
      </c>
      <c r="AA73" s="276" t="s">
        <v>1221</v>
      </c>
      <c r="AB73" s="276"/>
      <c r="AC73" s="276">
        <v>9</v>
      </c>
      <c r="AD73" s="189" t="s">
        <v>1294</v>
      </c>
      <c r="AE73" s="189"/>
      <c r="AF73" s="189"/>
      <c r="AG73" s="276" t="s">
        <v>1236</v>
      </c>
      <c r="AH73" s="78"/>
      <c r="AI73" s="276">
        <v>1</v>
      </c>
      <c r="AJ73" s="189" t="str">
        <f t="shared" si="16"/>
        <v>02040671</v>
      </c>
      <c r="AK73" s="189" t="s">
        <v>1383</v>
      </c>
      <c r="AL73" s="189" t="s">
        <v>137</v>
      </c>
      <c r="AM73" s="189" t="s">
        <v>17</v>
      </c>
      <c r="AN73" s="189" t="s">
        <v>17</v>
      </c>
      <c r="AO73" s="189" t="s">
        <v>1369</v>
      </c>
      <c r="AP73" s="189" t="s">
        <v>1385</v>
      </c>
      <c r="AQ73" s="189" t="s">
        <v>1385</v>
      </c>
      <c r="AR73" s="189" t="s">
        <v>1395</v>
      </c>
      <c r="AS73" s="189" t="s">
        <v>1395</v>
      </c>
      <c r="AT73" s="189" t="s">
        <v>1395</v>
      </c>
      <c r="AU73" s="189" t="s">
        <v>1395</v>
      </c>
      <c r="AV73" s="189">
        <v>2015</v>
      </c>
      <c r="AW73" s="189" t="s">
        <v>1372</v>
      </c>
      <c r="AX73" s="276">
        <v>1</v>
      </c>
      <c r="AY73" s="276" t="str">
        <f t="shared" si="28"/>
        <v>020406711</v>
      </c>
      <c r="AZ73" s="276" t="s">
        <v>1373</v>
      </c>
      <c r="BA73" s="276" t="s">
        <v>1382</v>
      </c>
      <c r="BB73" s="276" t="s">
        <v>1229</v>
      </c>
      <c r="BC73" s="276" t="s">
        <v>11</v>
      </c>
      <c r="BD73" s="276">
        <v>2015</v>
      </c>
      <c r="BE73" s="276" t="s">
        <v>71</v>
      </c>
      <c r="BF73" s="276" t="s">
        <v>71</v>
      </c>
      <c r="BG73" s="83" t="s">
        <v>1381</v>
      </c>
      <c r="BH73" s="276" t="s">
        <v>1389</v>
      </c>
      <c r="BI73" s="189" t="s">
        <v>1471</v>
      </c>
      <c r="BJ73" s="276" t="s">
        <v>1374</v>
      </c>
      <c r="BK73" s="276" t="s">
        <v>1472</v>
      </c>
      <c r="BL73" s="105">
        <v>2119999</v>
      </c>
      <c r="BM73" s="276">
        <v>2015</v>
      </c>
      <c r="BN73" s="276">
        <v>1</v>
      </c>
      <c r="BO73" s="276">
        <v>5</v>
      </c>
      <c r="BP73" s="83"/>
      <c r="BQ73" s="173">
        <f t="shared" si="0"/>
        <v>4</v>
      </c>
      <c r="BR73" s="275">
        <v>5</v>
      </c>
      <c r="BS73" s="87">
        <v>0</v>
      </c>
      <c r="BT73" s="87"/>
      <c r="BU73" s="94">
        <f t="shared" si="2"/>
        <v>-1</v>
      </c>
      <c r="BV73" s="188">
        <f t="shared" si="26"/>
        <v>-0.25</v>
      </c>
      <c r="BW73" s="94">
        <f t="shared" si="27"/>
        <v>2.6</v>
      </c>
      <c r="BX73" s="87"/>
      <c r="BY73" s="87">
        <f>BX73</f>
        <v>0</v>
      </c>
      <c r="BZ73" s="89">
        <f t="shared" si="19"/>
        <v>0</v>
      </c>
      <c r="CA73" s="94">
        <f t="shared" si="20"/>
        <v>3.4000000000000004</v>
      </c>
      <c r="CB73" s="147"/>
      <c r="CC73" s="94">
        <f t="shared" si="8"/>
        <v>-1</v>
      </c>
      <c r="CD73" s="188">
        <f t="shared" si="21"/>
        <v>-0.25</v>
      </c>
      <c r="CE73" s="94">
        <f t="shared" si="22"/>
        <v>4.2</v>
      </c>
      <c r="CF73" s="87"/>
      <c r="CG73" s="94">
        <f t="shared" si="11"/>
        <v>-1</v>
      </c>
      <c r="CH73" s="188">
        <f t="shared" si="23"/>
        <v>-0.25</v>
      </c>
      <c r="CI73" s="94">
        <f t="shared" si="24"/>
        <v>5</v>
      </c>
      <c r="CJ73" s="87"/>
      <c r="CK73" s="94">
        <f t="shared" si="14"/>
        <v>-1</v>
      </c>
      <c r="CL73" s="89">
        <f t="shared" si="25"/>
        <v>-0.25</v>
      </c>
      <c r="CM73" s="89" t="s">
        <v>11</v>
      </c>
      <c r="CN73" s="188" t="s">
        <v>1363</v>
      </c>
      <c r="CO73" s="140"/>
      <c r="CP73" s="140"/>
      <c r="CQ73" s="140"/>
      <c r="CR73" s="1"/>
      <c r="CS73" s="24">
        <v>73</v>
      </c>
      <c r="CT73" s="1"/>
      <c r="CU73" s="1"/>
    </row>
    <row r="74" spans="1:101" ht="213.75" customHeight="1" x14ac:dyDescent="0.25">
      <c r="A74" s="276">
        <v>14</v>
      </c>
      <c r="B74" s="269" t="s">
        <v>1475</v>
      </c>
      <c r="C74" s="269" t="s">
        <v>1266</v>
      </c>
      <c r="D74" s="189" t="s">
        <v>147</v>
      </c>
      <c r="E74" s="276" t="s">
        <v>190</v>
      </c>
      <c r="F74" s="189" t="s">
        <v>186</v>
      </c>
      <c r="G74" s="172">
        <v>20</v>
      </c>
      <c r="H74" s="276" t="s">
        <v>245</v>
      </c>
      <c r="I74" s="276">
        <v>67</v>
      </c>
      <c r="J74" s="276" t="s">
        <v>246</v>
      </c>
      <c r="K74" s="276" t="s">
        <v>875</v>
      </c>
      <c r="L74" s="189" t="s">
        <v>247</v>
      </c>
      <c r="M74" s="276" t="s">
        <v>152</v>
      </c>
      <c r="N74" s="189" t="s">
        <v>188</v>
      </c>
      <c r="O74" s="189" t="s">
        <v>137</v>
      </c>
      <c r="P74" s="276" t="s">
        <v>189</v>
      </c>
      <c r="Q74" s="276" t="s">
        <v>188</v>
      </c>
      <c r="R74" s="276"/>
      <c r="S74" s="276"/>
      <c r="T74" s="276" t="s">
        <v>138</v>
      </c>
      <c r="U74" s="276"/>
      <c r="V74" s="276"/>
      <c r="W74" s="276"/>
      <c r="X74" s="173">
        <f>100/COUNTIFS(($C$4:$C$42),C74,($E$4:$E$42),E74)</f>
        <v>50</v>
      </c>
      <c r="Y74" s="276">
        <f t="shared" si="29"/>
        <v>0</v>
      </c>
      <c r="Z74" s="276">
        <v>1</v>
      </c>
      <c r="AA74" s="276" t="s">
        <v>1221</v>
      </c>
      <c r="AB74" s="276"/>
      <c r="AC74" s="276">
        <v>9</v>
      </c>
      <c r="AD74" s="189" t="s">
        <v>1294</v>
      </c>
      <c r="AE74" s="189"/>
      <c r="AF74" s="189"/>
      <c r="AG74" s="276" t="s">
        <v>1236</v>
      </c>
      <c r="AH74" s="78"/>
      <c r="AI74" s="276">
        <v>2</v>
      </c>
      <c r="AJ74" s="189" t="str">
        <f t="shared" si="16"/>
        <v>02040672</v>
      </c>
      <c r="AK74" s="189" t="s">
        <v>1384</v>
      </c>
      <c r="AL74" s="189" t="s">
        <v>137</v>
      </c>
      <c r="AM74" s="189" t="s">
        <v>17</v>
      </c>
      <c r="AN74" s="189" t="s">
        <v>17</v>
      </c>
      <c r="AO74" s="189" t="s">
        <v>1369</v>
      </c>
      <c r="AP74" s="189" t="s">
        <v>1386</v>
      </c>
      <c r="AQ74" s="189" t="s">
        <v>1386</v>
      </c>
      <c r="AR74" s="189" t="s">
        <v>1395</v>
      </c>
      <c r="AS74" s="189" t="s">
        <v>1395</v>
      </c>
      <c r="AT74" s="189" t="s">
        <v>1395</v>
      </c>
      <c r="AU74" s="189" t="s">
        <v>1395</v>
      </c>
      <c r="AV74" s="189">
        <v>2015</v>
      </c>
      <c r="AW74" s="189" t="s">
        <v>1372</v>
      </c>
      <c r="AX74" s="276">
        <v>1</v>
      </c>
      <c r="AY74" s="276" t="str">
        <f t="shared" si="28"/>
        <v>020406721</v>
      </c>
      <c r="AZ74" s="276" t="s">
        <v>1373</v>
      </c>
      <c r="BA74" s="276" t="s">
        <v>1382</v>
      </c>
      <c r="BB74" s="276" t="s">
        <v>1229</v>
      </c>
      <c r="BC74" s="276" t="s">
        <v>11</v>
      </c>
      <c r="BD74" s="276">
        <v>2015</v>
      </c>
      <c r="BE74" s="276" t="s">
        <v>71</v>
      </c>
      <c r="BF74" s="276" t="s">
        <v>71</v>
      </c>
      <c r="BG74" s="83" t="s">
        <v>1381</v>
      </c>
      <c r="BH74" s="276" t="s">
        <v>1389</v>
      </c>
      <c r="BI74" s="189" t="s">
        <v>1471</v>
      </c>
      <c r="BJ74" s="276" t="s">
        <v>1374</v>
      </c>
      <c r="BK74" s="276" t="s">
        <v>1472</v>
      </c>
      <c r="BL74" s="105">
        <v>2119999</v>
      </c>
      <c r="BM74" s="276">
        <v>2015</v>
      </c>
      <c r="BN74" s="276">
        <v>1</v>
      </c>
      <c r="BO74" s="276">
        <v>7</v>
      </c>
      <c r="BP74" s="83"/>
      <c r="BQ74" s="173">
        <f t="shared" si="0"/>
        <v>6</v>
      </c>
      <c r="BR74" s="275">
        <v>5</v>
      </c>
      <c r="BS74" s="87">
        <v>0</v>
      </c>
      <c r="BT74" s="87"/>
      <c r="BU74" s="94">
        <f t="shared" si="2"/>
        <v>-1</v>
      </c>
      <c r="BV74" s="188">
        <f t="shared" si="26"/>
        <v>-0.16666666666666666</v>
      </c>
      <c r="BW74" s="94">
        <f t="shared" si="27"/>
        <v>3.4</v>
      </c>
      <c r="BX74" s="87"/>
      <c r="BY74" s="87">
        <f>BX74</f>
        <v>0</v>
      </c>
      <c r="BZ74" s="89">
        <f t="shared" si="19"/>
        <v>0</v>
      </c>
      <c r="CA74" s="94">
        <f t="shared" si="20"/>
        <v>4.5999999999999996</v>
      </c>
      <c r="CB74" s="147"/>
      <c r="CC74" s="94">
        <f t="shared" si="8"/>
        <v>-1</v>
      </c>
      <c r="CD74" s="188">
        <f t="shared" si="21"/>
        <v>-0.16666666666666666</v>
      </c>
      <c r="CE74" s="94">
        <f t="shared" si="22"/>
        <v>5.8</v>
      </c>
      <c r="CF74" s="87"/>
      <c r="CG74" s="94">
        <f t="shared" si="11"/>
        <v>-1</v>
      </c>
      <c r="CH74" s="188">
        <f t="shared" si="23"/>
        <v>-0.16666666666666666</v>
      </c>
      <c r="CI74" s="94">
        <f t="shared" si="24"/>
        <v>7</v>
      </c>
      <c r="CJ74" s="87"/>
      <c r="CK74" s="94">
        <f t="shared" si="14"/>
        <v>-1</v>
      </c>
      <c r="CL74" s="89">
        <f t="shared" si="25"/>
        <v>-0.16666666666666666</v>
      </c>
      <c r="CM74" s="89" t="s">
        <v>11</v>
      </c>
      <c r="CN74" s="188" t="s">
        <v>1363</v>
      </c>
      <c r="CO74" s="140"/>
      <c r="CP74" s="140"/>
      <c r="CQ74" s="140"/>
      <c r="CR74" s="1"/>
      <c r="CS74" s="24">
        <v>74</v>
      </c>
      <c r="CT74" s="1"/>
      <c r="CU74" s="1"/>
    </row>
    <row r="75" spans="1:101" ht="171" x14ac:dyDescent="0.25">
      <c r="A75" s="276">
        <v>14</v>
      </c>
      <c r="B75" s="269" t="s">
        <v>1475</v>
      </c>
      <c r="C75" s="269" t="s">
        <v>1266</v>
      </c>
      <c r="D75" s="189" t="s">
        <v>147</v>
      </c>
      <c r="E75" s="276" t="s">
        <v>190</v>
      </c>
      <c r="F75" s="189" t="s">
        <v>186</v>
      </c>
      <c r="G75" s="172">
        <v>21</v>
      </c>
      <c r="H75" s="276" t="s">
        <v>248</v>
      </c>
      <c r="I75" s="276">
        <v>68</v>
      </c>
      <c r="J75" s="276" t="s">
        <v>249</v>
      </c>
      <c r="K75" s="276" t="s">
        <v>876</v>
      </c>
      <c r="L75" s="189" t="s">
        <v>250</v>
      </c>
      <c r="M75" s="276" t="s">
        <v>152</v>
      </c>
      <c r="N75" s="189" t="s">
        <v>188</v>
      </c>
      <c r="O75" s="189" t="s">
        <v>137</v>
      </c>
      <c r="P75" s="276" t="s">
        <v>189</v>
      </c>
      <c r="Q75" s="276" t="s">
        <v>188</v>
      </c>
      <c r="R75" s="276"/>
      <c r="S75" s="276"/>
      <c r="T75" s="276" t="s">
        <v>138</v>
      </c>
      <c r="U75" s="276"/>
      <c r="V75" s="276"/>
      <c r="W75" s="276"/>
      <c r="X75" s="173">
        <f>100/COUNTIFS(($C$4:$C$42),C75,($E$4:$E$42),E75)</f>
        <v>50</v>
      </c>
      <c r="Y75" s="276">
        <f t="shared" si="29"/>
        <v>0</v>
      </c>
      <c r="Z75" s="276">
        <v>1</v>
      </c>
      <c r="AA75" s="276" t="s">
        <v>1221</v>
      </c>
      <c r="AB75" s="276"/>
      <c r="AC75" s="276">
        <v>9</v>
      </c>
      <c r="AD75" s="189" t="s">
        <v>1294</v>
      </c>
      <c r="AE75" s="189"/>
      <c r="AF75" s="189"/>
      <c r="AG75" s="276" t="s">
        <v>1236</v>
      </c>
      <c r="AH75" s="78"/>
      <c r="AI75" s="276">
        <v>1</v>
      </c>
      <c r="AJ75" s="83" t="str">
        <f t="shared" si="16"/>
        <v>02040681</v>
      </c>
      <c r="AK75" s="189" t="s">
        <v>1370</v>
      </c>
      <c r="AL75" s="189" t="s">
        <v>137</v>
      </c>
      <c r="AM75" s="189" t="s">
        <v>1369</v>
      </c>
      <c r="AN75" s="189" t="s">
        <v>17</v>
      </c>
      <c r="AO75" s="189" t="s">
        <v>1369</v>
      </c>
      <c r="AP75" s="189" t="s">
        <v>1371</v>
      </c>
      <c r="AQ75" s="189" t="s">
        <v>1371</v>
      </c>
      <c r="AR75" s="189" t="s">
        <v>1395</v>
      </c>
      <c r="AS75" s="189" t="s">
        <v>1395</v>
      </c>
      <c r="AT75" s="189" t="s">
        <v>1395</v>
      </c>
      <c r="AU75" s="189" t="s">
        <v>1395</v>
      </c>
      <c r="AV75" s="189" t="s">
        <v>1395</v>
      </c>
      <c r="AW75" s="189" t="s">
        <v>1372</v>
      </c>
      <c r="AX75" s="276">
        <v>1</v>
      </c>
      <c r="AY75" s="276" t="str">
        <f t="shared" si="28"/>
        <v>020406811</v>
      </c>
      <c r="AZ75" s="276" t="s">
        <v>1373</v>
      </c>
      <c r="BA75" s="276" t="s">
        <v>1382</v>
      </c>
      <c r="BB75" s="276" t="s">
        <v>1229</v>
      </c>
      <c r="BC75" s="276" t="s">
        <v>11</v>
      </c>
      <c r="BD75" s="189" t="s">
        <v>1395</v>
      </c>
      <c r="BE75" s="276" t="s">
        <v>9</v>
      </c>
      <c r="BF75" s="276" t="s">
        <v>9</v>
      </c>
      <c r="BG75" s="83" t="s">
        <v>1381</v>
      </c>
      <c r="BH75" s="276" t="s">
        <v>1375</v>
      </c>
      <c r="BI75" s="189" t="s">
        <v>1471</v>
      </c>
      <c r="BJ75" s="276" t="s">
        <v>1374</v>
      </c>
      <c r="BK75" s="276" t="s">
        <v>1473</v>
      </c>
      <c r="BL75" s="105">
        <v>2119999</v>
      </c>
      <c r="BM75" s="276">
        <v>2015</v>
      </c>
      <c r="BN75" s="276">
        <v>0</v>
      </c>
      <c r="BO75" s="276">
        <v>1</v>
      </c>
      <c r="BP75" s="83"/>
      <c r="BQ75" s="173">
        <f t="shared" si="0"/>
        <v>1</v>
      </c>
      <c r="BR75" s="275">
        <v>5</v>
      </c>
      <c r="BS75" s="87">
        <v>0</v>
      </c>
      <c r="BT75" s="87"/>
      <c r="BU75" s="94">
        <f t="shared" si="2"/>
        <v>0</v>
      </c>
      <c r="BV75" s="188">
        <f t="shared" si="26"/>
        <v>0</v>
      </c>
      <c r="BW75" s="94">
        <f t="shared" si="27"/>
        <v>0.4</v>
      </c>
      <c r="BX75" s="87"/>
      <c r="BY75" s="87">
        <f>BX75</f>
        <v>0</v>
      </c>
      <c r="BZ75" s="89">
        <f t="shared" si="19"/>
        <v>0</v>
      </c>
      <c r="CA75" s="94">
        <f t="shared" si="20"/>
        <v>0.60000000000000009</v>
      </c>
      <c r="CB75" s="147"/>
      <c r="CC75" s="94">
        <f t="shared" si="8"/>
        <v>0</v>
      </c>
      <c r="CD75" s="188">
        <f t="shared" si="21"/>
        <v>0</v>
      </c>
      <c r="CE75" s="94">
        <f t="shared" si="22"/>
        <v>0.8</v>
      </c>
      <c r="CF75" s="87"/>
      <c r="CG75" s="94">
        <f t="shared" si="11"/>
        <v>0</v>
      </c>
      <c r="CH75" s="188">
        <f t="shared" si="23"/>
        <v>0</v>
      </c>
      <c r="CI75" s="94">
        <f t="shared" si="24"/>
        <v>1</v>
      </c>
      <c r="CJ75" s="87"/>
      <c r="CK75" s="94">
        <f t="shared" si="14"/>
        <v>0</v>
      </c>
      <c r="CL75" s="89">
        <f t="shared" si="25"/>
        <v>0</v>
      </c>
      <c r="CM75" s="89" t="s">
        <v>11</v>
      </c>
      <c r="CN75" s="188" t="s">
        <v>1363</v>
      </c>
      <c r="CO75" s="140"/>
      <c r="CP75" s="140"/>
      <c r="CQ75" s="140"/>
      <c r="CR75" s="1"/>
      <c r="CS75" s="2">
        <v>75</v>
      </c>
      <c r="CT75" s="1"/>
      <c r="CU75" s="1"/>
    </row>
    <row r="76" spans="1:101" ht="356.25" x14ac:dyDescent="0.25">
      <c r="A76" s="276">
        <v>10</v>
      </c>
      <c r="B76" s="269" t="s">
        <v>4575</v>
      </c>
      <c r="C76" s="269" t="s">
        <v>1266</v>
      </c>
      <c r="D76" s="189" t="s">
        <v>147</v>
      </c>
      <c r="E76" s="276" t="s">
        <v>4267</v>
      </c>
      <c r="F76" s="189" t="s">
        <v>4268</v>
      </c>
      <c r="G76" s="172">
        <v>1</v>
      </c>
      <c r="H76" s="276" t="s">
        <v>4269</v>
      </c>
      <c r="I76" s="276">
        <v>70</v>
      </c>
      <c r="J76" s="276" t="s">
        <v>4270</v>
      </c>
      <c r="K76" s="276" t="s">
        <v>878</v>
      </c>
      <c r="L76" s="189" t="s">
        <v>252</v>
      </c>
      <c r="M76" s="276" t="s">
        <v>152</v>
      </c>
      <c r="N76" s="189" t="s">
        <v>4271</v>
      </c>
      <c r="O76" s="189" t="s">
        <v>62</v>
      </c>
      <c r="P76" s="276" t="s">
        <v>63</v>
      </c>
      <c r="Q76" s="276" t="s">
        <v>4271</v>
      </c>
      <c r="R76" s="276">
        <v>1</v>
      </c>
      <c r="S76" s="276"/>
      <c r="T76" s="276" t="s">
        <v>65</v>
      </c>
      <c r="U76" s="276"/>
      <c r="V76" s="276"/>
      <c r="W76" s="78" t="s">
        <v>170</v>
      </c>
      <c r="X76" s="173" t="e">
        <f>100/COUNTIFS(($B$4:$B$8),C76,($D$4:$D$8),E76)</f>
        <v>#DIV/0!</v>
      </c>
      <c r="Y76" s="276">
        <f t="shared" si="29"/>
        <v>1</v>
      </c>
      <c r="Z76" s="276">
        <v>0</v>
      </c>
      <c r="AA76" s="276" t="s">
        <v>1220</v>
      </c>
      <c r="AB76" s="276">
        <v>1</v>
      </c>
      <c r="AC76" s="275">
        <v>11</v>
      </c>
      <c r="AD76" s="189" t="s">
        <v>4272</v>
      </c>
      <c r="AE76" s="189" t="s">
        <v>4273</v>
      </c>
      <c r="AF76" s="189" t="s">
        <v>4274</v>
      </c>
      <c r="AG76" s="276" t="s">
        <v>1583</v>
      </c>
      <c r="AH76" s="77"/>
      <c r="AI76" s="275">
        <v>1</v>
      </c>
      <c r="AJ76" s="83" t="str">
        <f t="shared" si="16"/>
        <v>02050701</v>
      </c>
      <c r="AK76" s="83" t="s">
        <v>4275</v>
      </c>
      <c r="AL76" s="189" t="s">
        <v>1259</v>
      </c>
      <c r="AM76" s="189"/>
      <c r="AN76" s="276" t="s">
        <v>1767</v>
      </c>
      <c r="AO76" s="276" t="s">
        <v>4276</v>
      </c>
      <c r="AP76" s="189" t="s">
        <v>4277</v>
      </c>
      <c r="AQ76" s="189" t="s">
        <v>4278</v>
      </c>
      <c r="AR76" s="189" t="s">
        <v>4279</v>
      </c>
      <c r="AS76" s="189" t="s">
        <v>2502</v>
      </c>
      <c r="AT76" s="189" t="s">
        <v>4280</v>
      </c>
      <c r="AU76" s="276" t="s">
        <v>2100</v>
      </c>
      <c r="AV76" s="79" t="s">
        <v>2673</v>
      </c>
      <c r="AW76" s="189" t="s">
        <v>4281</v>
      </c>
      <c r="AX76" s="275">
        <v>1</v>
      </c>
      <c r="AY76" s="276" t="str">
        <f t="shared" si="28"/>
        <v>020507011</v>
      </c>
      <c r="AZ76" s="276" t="s">
        <v>2501</v>
      </c>
      <c r="BA76" s="83" t="s">
        <v>16</v>
      </c>
      <c r="BB76" s="276" t="s">
        <v>4282</v>
      </c>
      <c r="BC76" s="275" t="s">
        <v>11</v>
      </c>
      <c r="BD76" s="79" t="s">
        <v>2673</v>
      </c>
      <c r="BE76" s="83" t="s">
        <v>9</v>
      </c>
      <c r="BF76" s="276" t="s">
        <v>1257</v>
      </c>
      <c r="BG76" s="83" t="s">
        <v>4283</v>
      </c>
      <c r="BH76" s="83" t="s">
        <v>3438</v>
      </c>
      <c r="BI76" s="276" t="s">
        <v>4284</v>
      </c>
      <c r="BJ76" s="77"/>
      <c r="BK76" s="189" t="s">
        <v>4285</v>
      </c>
      <c r="BL76" s="276" t="s">
        <v>4286</v>
      </c>
      <c r="BM76" s="176">
        <v>2015</v>
      </c>
      <c r="BN76" s="188">
        <v>0.48980000000000001</v>
      </c>
      <c r="BO76" s="89">
        <v>0.38979999999999998</v>
      </c>
      <c r="BP76" s="186"/>
      <c r="BQ76" s="87">
        <f>(BO76-BN76)*100</f>
        <v>-10.000000000000004</v>
      </c>
      <c r="BR76" s="275">
        <v>5</v>
      </c>
      <c r="BS76" s="188">
        <f>+BN76-(((BQ76)/100/5)*(-1))</f>
        <v>0.4698</v>
      </c>
      <c r="BT76" s="170">
        <v>0.49440000000000001</v>
      </c>
      <c r="BU76" s="88">
        <f>(BT76-BN76)*100</f>
        <v>0.4599999999999993</v>
      </c>
      <c r="BV76" s="188">
        <f t="shared" si="26"/>
        <v>-4.5999999999999916E-2</v>
      </c>
      <c r="BW76" s="188">
        <f>+BN76-(((BQ76)/100/5)*(-2))</f>
        <v>0.44979999999999998</v>
      </c>
      <c r="BX76" s="188">
        <v>0.45739999999999997</v>
      </c>
      <c r="BY76" s="88">
        <f>(BX76-BN76)*100</f>
        <v>-3.2400000000000038</v>
      </c>
      <c r="BZ76" s="89">
        <f t="shared" si="19"/>
        <v>0.32400000000000029</v>
      </c>
      <c r="CA76" s="188">
        <f>+BN76-(((BQ76)/100/5)*(-3))</f>
        <v>0.42979999999999996</v>
      </c>
      <c r="CB76" s="188"/>
      <c r="CC76" s="254">
        <f>(CB76-BN76)*100</f>
        <v>-48.980000000000004</v>
      </c>
      <c r="CD76" s="188">
        <f t="shared" si="21"/>
        <v>4.8979999999999988</v>
      </c>
      <c r="CE76" s="188">
        <f>+BN76-(((BQ76)/100/5)*(-4))</f>
        <v>0.4098</v>
      </c>
      <c r="CF76" s="188"/>
      <c r="CG76" s="88">
        <f>(CF76-BN76)*100</f>
        <v>-48.980000000000004</v>
      </c>
      <c r="CH76" s="188">
        <f t="shared" si="23"/>
        <v>4.8979999999999988</v>
      </c>
      <c r="CI76" s="188">
        <f>+BN76-(((BQ76)/5/100)*(-5))</f>
        <v>0.38979999999999998</v>
      </c>
      <c r="CJ76" s="188"/>
      <c r="CK76" s="88">
        <f>(CJ76-BN76)*100</f>
        <v>-48.980000000000004</v>
      </c>
      <c r="CL76" s="89">
        <f t="shared" si="25"/>
        <v>4.8979999999999988</v>
      </c>
      <c r="CM76" s="89"/>
      <c r="CN76" s="188"/>
      <c r="CO76" s="188"/>
      <c r="CP76" s="188"/>
      <c r="CQ76" s="188"/>
      <c r="CR76" s="1"/>
      <c r="CS76" s="24">
        <v>76</v>
      </c>
      <c r="CT76" s="1"/>
      <c r="CU76" s="1"/>
    </row>
    <row r="77" spans="1:101" ht="409.5" x14ac:dyDescent="0.25">
      <c r="A77" s="276">
        <v>10</v>
      </c>
      <c r="B77" s="269" t="s">
        <v>4575</v>
      </c>
      <c r="C77" s="269" t="s">
        <v>1266</v>
      </c>
      <c r="D77" s="189" t="s">
        <v>147</v>
      </c>
      <c r="E77" s="276" t="s">
        <v>4267</v>
      </c>
      <c r="F77" s="189" t="s">
        <v>4268</v>
      </c>
      <c r="G77" s="172">
        <v>2</v>
      </c>
      <c r="H77" s="276" t="s">
        <v>4287</v>
      </c>
      <c r="I77" s="276">
        <v>71</v>
      </c>
      <c r="J77" s="276" t="s">
        <v>4288</v>
      </c>
      <c r="K77" s="276" t="s">
        <v>879</v>
      </c>
      <c r="L77" s="189" t="s">
        <v>253</v>
      </c>
      <c r="M77" s="276" t="s">
        <v>152</v>
      </c>
      <c r="N77" s="189" t="s">
        <v>4271</v>
      </c>
      <c r="O77" s="189" t="s">
        <v>137</v>
      </c>
      <c r="P77" s="276" t="s">
        <v>63</v>
      </c>
      <c r="Q77" s="276" t="s">
        <v>4271</v>
      </c>
      <c r="R77" s="276">
        <v>1</v>
      </c>
      <c r="S77" s="276"/>
      <c r="T77" s="276" t="s">
        <v>138</v>
      </c>
      <c r="U77" s="276"/>
      <c r="V77" s="276"/>
      <c r="W77" s="276"/>
      <c r="X77" s="173" t="e">
        <f>100/COUNTIFS(($B$4:$B$8),C77,($D$4:$D$8),E77)</f>
        <v>#DIV/0!</v>
      </c>
      <c r="Y77" s="276">
        <f t="shared" si="29"/>
        <v>0</v>
      </c>
      <c r="Z77" s="276">
        <v>1</v>
      </c>
      <c r="AA77" s="276" t="s">
        <v>1220</v>
      </c>
      <c r="AB77" s="276"/>
      <c r="AC77" s="275">
        <v>11</v>
      </c>
      <c r="AD77" s="189" t="s">
        <v>4272</v>
      </c>
      <c r="AE77" s="189" t="s">
        <v>4273</v>
      </c>
      <c r="AF77" s="79"/>
      <c r="AG77" s="276" t="s">
        <v>4289</v>
      </c>
      <c r="AH77" s="77"/>
      <c r="AI77" s="275">
        <v>1</v>
      </c>
      <c r="AJ77" s="83" t="str">
        <f t="shared" si="16"/>
        <v>02050711</v>
      </c>
      <c r="AK77" s="189" t="s">
        <v>4290</v>
      </c>
      <c r="AL77" s="189" t="s">
        <v>137</v>
      </c>
      <c r="AM77" s="189"/>
      <c r="AN77" s="276" t="s">
        <v>1767</v>
      </c>
      <c r="AO77" s="276" t="s">
        <v>4291</v>
      </c>
      <c r="AP77" s="189" t="s">
        <v>4292</v>
      </c>
      <c r="AQ77" s="189" t="s">
        <v>4293</v>
      </c>
      <c r="AR77" s="189" t="s">
        <v>4294</v>
      </c>
      <c r="AS77" s="79" t="s">
        <v>4295</v>
      </c>
      <c r="AT77" s="189"/>
      <c r="AU77" s="275"/>
      <c r="AV77" s="79" t="s">
        <v>2453</v>
      </c>
      <c r="AW77" s="189" t="s">
        <v>4296</v>
      </c>
      <c r="AX77" s="275">
        <v>1</v>
      </c>
      <c r="AY77" s="276" t="str">
        <f t="shared" si="28"/>
        <v>020507111</v>
      </c>
      <c r="AZ77" s="276" t="s">
        <v>4295</v>
      </c>
      <c r="BA77" s="83" t="s">
        <v>4297</v>
      </c>
      <c r="BB77" s="276" t="s">
        <v>1229</v>
      </c>
      <c r="BC77" s="275" t="s">
        <v>11</v>
      </c>
      <c r="BD77" s="275" t="s">
        <v>2453</v>
      </c>
      <c r="BE77" s="83" t="s">
        <v>4298</v>
      </c>
      <c r="BF77" s="276" t="s">
        <v>4299</v>
      </c>
      <c r="BG77" s="83" t="s">
        <v>4300</v>
      </c>
      <c r="BH77" s="83" t="s">
        <v>4301</v>
      </c>
      <c r="BI77" s="276" t="s">
        <v>4302</v>
      </c>
      <c r="BJ77" s="276" t="s">
        <v>4303</v>
      </c>
      <c r="BK77" s="276" t="s">
        <v>4304</v>
      </c>
      <c r="BL77" s="276" t="s">
        <v>4305</v>
      </c>
      <c r="BM77" s="122">
        <v>42369</v>
      </c>
      <c r="BN77" s="175">
        <v>0</v>
      </c>
      <c r="BO77" s="175">
        <v>51290</v>
      </c>
      <c r="BP77" s="186"/>
      <c r="BQ77" s="175">
        <f t="shared" ref="BQ77:BQ89" si="30">+BO77-BN77</f>
        <v>51290</v>
      </c>
      <c r="BR77" s="275">
        <v>5</v>
      </c>
      <c r="BS77" s="175">
        <f>+BN77-(((BQ77)/5)*(-1))</f>
        <v>10258</v>
      </c>
      <c r="BT77" s="175">
        <v>3138</v>
      </c>
      <c r="BU77" s="175">
        <f>+BT77-BN77</f>
        <v>3138</v>
      </c>
      <c r="BV77" s="176">
        <f t="shared" si="26"/>
        <v>6.1181516864885946E-2</v>
      </c>
      <c r="BW77" s="175">
        <f>+BN77-(((BQ77)/5)*(-2))</f>
        <v>20516</v>
      </c>
      <c r="BX77" s="175">
        <f>1313+180+1440</f>
        <v>2933</v>
      </c>
      <c r="BY77" s="176">
        <f>+BX77-BN77</f>
        <v>2933</v>
      </c>
      <c r="BZ77" s="89">
        <f t="shared" si="19"/>
        <v>5.7184636381360891E-2</v>
      </c>
      <c r="CA77" s="175">
        <f>+BN77-(((BQ77)/5)*(-3))</f>
        <v>30774</v>
      </c>
      <c r="CB77" s="188"/>
      <c r="CC77" s="176">
        <f>+CB77-BN77</f>
        <v>0</v>
      </c>
      <c r="CD77" s="188">
        <f t="shared" si="21"/>
        <v>0</v>
      </c>
      <c r="CE77" s="175">
        <f>+BN77-(((BQ77)/5)*(-4))</f>
        <v>41032</v>
      </c>
      <c r="CF77" s="188"/>
      <c r="CG77" s="176">
        <f>+CF77-BN77</f>
        <v>0</v>
      </c>
      <c r="CH77" s="188">
        <f t="shared" si="23"/>
        <v>0</v>
      </c>
      <c r="CI77" s="175">
        <f>+BN77-(((BQ77)/5)*(-5))</f>
        <v>51290</v>
      </c>
      <c r="CJ77" s="188"/>
      <c r="CK77" s="94">
        <f>+CJ77-BN77</f>
        <v>0</v>
      </c>
      <c r="CL77" s="89">
        <f t="shared" si="25"/>
        <v>0</v>
      </c>
      <c r="CM77" s="89"/>
      <c r="CN77" s="188"/>
      <c r="CO77" s="188"/>
      <c r="CP77" s="188"/>
      <c r="CQ77" s="188"/>
      <c r="CR77" s="40"/>
      <c r="CS77" s="24">
        <v>77</v>
      </c>
    </row>
    <row r="78" spans="1:101" ht="409.5" x14ac:dyDescent="0.25">
      <c r="A78" s="276">
        <v>10</v>
      </c>
      <c r="B78" s="269" t="s">
        <v>4575</v>
      </c>
      <c r="C78" s="269" t="s">
        <v>1266</v>
      </c>
      <c r="D78" s="189" t="s">
        <v>147</v>
      </c>
      <c r="E78" s="276" t="s">
        <v>4267</v>
      </c>
      <c r="F78" s="189" t="s">
        <v>4268</v>
      </c>
      <c r="G78" s="172">
        <v>3</v>
      </c>
      <c r="H78" s="276" t="s">
        <v>4306</v>
      </c>
      <c r="I78" s="276">
        <v>72</v>
      </c>
      <c r="J78" s="276" t="s">
        <v>4307</v>
      </c>
      <c r="K78" s="276" t="s">
        <v>880</v>
      </c>
      <c r="L78" s="189" t="s">
        <v>254</v>
      </c>
      <c r="M78" s="276" t="s">
        <v>152</v>
      </c>
      <c r="N78" s="189" t="s">
        <v>4271</v>
      </c>
      <c r="O78" s="189" t="s">
        <v>137</v>
      </c>
      <c r="P78" s="276" t="s">
        <v>63</v>
      </c>
      <c r="Q78" s="276" t="s">
        <v>4271</v>
      </c>
      <c r="R78" s="276">
        <v>1</v>
      </c>
      <c r="S78" s="276"/>
      <c r="T78" s="276" t="s">
        <v>138</v>
      </c>
      <c r="U78" s="276"/>
      <c r="V78" s="276"/>
      <c r="W78" s="276"/>
      <c r="X78" s="173" t="e">
        <f>100/COUNTIFS(($B$4:$B$8),C78,($D$4:$D$8),E78)</f>
        <v>#DIV/0!</v>
      </c>
      <c r="Y78" s="276">
        <f t="shared" si="29"/>
        <v>0</v>
      </c>
      <c r="Z78" s="276">
        <v>1</v>
      </c>
      <c r="AA78" s="276" t="s">
        <v>1220</v>
      </c>
      <c r="AB78" s="276"/>
      <c r="AC78" s="275">
        <v>11</v>
      </c>
      <c r="AD78" s="189" t="s">
        <v>4272</v>
      </c>
      <c r="AE78" s="189" t="s">
        <v>4273</v>
      </c>
      <c r="AF78" s="79"/>
      <c r="AG78" s="276" t="s">
        <v>4289</v>
      </c>
      <c r="AH78" s="77"/>
      <c r="AI78" s="275">
        <v>1</v>
      </c>
      <c r="AJ78" s="83" t="str">
        <f t="shared" si="16"/>
        <v>02050721</v>
      </c>
      <c r="AK78" s="189" t="s">
        <v>4308</v>
      </c>
      <c r="AL78" s="189" t="s">
        <v>137</v>
      </c>
      <c r="AM78" s="189"/>
      <c r="AN78" s="276" t="s">
        <v>1767</v>
      </c>
      <c r="AO78" s="276" t="s">
        <v>4291</v>
      </c>
      <c r="AP78" s="189" t="s">
        <v>4309</v>
      </c>
      <c r="AQ78" s="189" t="s">
        <v>4310</v>
      </c>
      <c r="AR78" s="189" t="s">
        <v>4311</v>
      </c>
      <c r="AS78" s="79" t="s">
        <v>4295</v>
      </c>
      <c r="AT78" s="189"/>
      <c r="AU78" s="275"/>
      <c r="AV78" s="79" t="s">
        <v>2453</v>
      </c>
      <c r="AW78" s="189" t="s">
        <v>4296</v>
      </c>
      <c r="AX78" s="275">
        <v>1</v>
      </c>
      <c r="AY78" s="276" t="str">
        <f t="shared" si="28"/>
        <v>020507211</v>
      </c>
      <c r="AZ78" s="276" t="s">
        <v>4295</v>
      </c>
      <c r="BA78" s="83" t="s">
        <v>4297</v>
      </c>
      <c r="BB78" s="276" t="s">
        <v>1229</v>
      </c>
      <c r="BC78" s="275" t="s">
        <v>11</v>
      </c>
      <c r="BD78" s="275" t="s">
        <v>2453</v>
      </c>
      <c r="BE78" s="83" t="s">
        <v>9</v>
      </c>
      <c r="BF78" s="276" t="s">
        <v>4299</v>
      </c>
      <c r="BG78" s="83" t="s">
        <v>4312</v>
      </c>
      <c r="BH78" s="83" t="s">
        <v>4313</v>
      </c>
      <c r="BI78" s="276" t="s">
        <v>4302</v>
      </c>
      <c r="BJ78" s="276" t="s">
        <v>4303</v>
      </c>
      <c r="BK78" s="276" t="s">
        <v>4304</v>
      </c>
      <c r="BL78" s="276" t="s">
        <v>4305</v>
      </c>
      <c r="BM78" s="122">
        <v>42369</v>
      </c>
      <c r="BN78" s="175">
        <v>0</v>
      </c>
      <c r="BO78" s="175">
        <v>63710</v>
      </c>
      <c r="BP78" s="186"/>
      <c r="BQ78" s="175">
        <f t="shared" si="30"/>
        <v>63710</v>
      </c>
      <c r="BR78" s="275">
        <v>5</v>
      </c>
      <c r="BS78" s="175">
        <f>+BN78-(((BQ78)/5)*(-1))</f>
        <v>12742</v>
      </c>
      <c r="BT78" s="175">
        <v>11622</v>
      </c>
      <c r="BU78" s="175">
        <f>+BT78-BN78</f>
        <v>11622</v>
      </c>
      <c r="BV78" s="176">
        <f t="shared" si="26"/>
        <v>0.18242034217548267</v>
      </c>
      <c r="BW78" s="175">
        <f>+BN78-(((BQ78)/5)*(-2))</f>
        <v>25484</v>
      </c>
      <c r="BX78" s="175">
        <v>23878</v>
      </c>
      <c r="BY78" s="176">
        <f>+BX78-BN78</f>
        <v>23878</v>
      </c>
      <c r="BZ78" s="89">
        <f t="shared" si="19"/>
        <v>0.37479202636948672</v>
      </c>
      <c r="CA78" s="175">
        <f>+BN78-(((BQ78)/5)*(-3))</f>
        <v>38226</v>
      </c>
      <c r="CB78" s="188"/>
      <c r="CC78" s="176">
        <f>+CB78-BN78</f>
        <v>0</v>
      </c>
      <c r="CD78" s="188">
        <f t="shared" si="21"/>
        <v>0</v>
      </c>
      <c r="CE78" s="175">
        <f>+BN78-(((BQ78)/5)*(-4))</f>
        <v>50968</v>
      </c>
      <c r="CF78" s="188"/>
      <c r="CG78" s="176">
        <f>+CF78-BN78</f>
        <v>0</v>
      </c>
      <c r="CH78" s="188">
        <f t="shared" si="23"/>
        <v>0</v>
      </c>
      <c r="CI78" s="175">
        <f>+BN78-(((BQ78)/5)*(-5))</f>
        <v>63710</v>
      </c>
      <c r="CJ78" s="188"/>
      <c r="CK78" s="94">
        <f>+CJ78-BN78</f>
        <v>0</v>
      </c>
      <c r="CL78" s="89">
        <f t="shared" si="25"/>
        <v>0</v>
      </c>
      <c r="CM78" s="89"/>
      <c r="CN78" s="188"/>
      <c r="CO78" s="188"/>
      <c r="CP78" s="188"/>
      <c r="CQ78" s="188"/>
      <c r="CR78" s="40"/>
      <c r="CS78" s="2">
        <v>78</v>
      </c>
    </row>
    <row r="79" spans="1:101" ht="299.25" x14ac:dyDescent="0.25">
      <c r="A79" s="276">
        <v>16</v>
      </c>
      <c r="B79" s="269" t="s">
        <v>4575</v>
      </c>
      <c r="C79" s="269" t="s">
        <v>1266</v>
      </c>
      <c r="D79" s="189" t="s">
        <v>147</v>
      </c>
      <c r="E79" s="276" t="s">
        <v>260</v>
      </c>
      <c r="F79" s="189" t="s">
        <v>255</v>
      </c>
      <c r="G79" s="172">
        <v>1</v>
      </c>
      <c r="H79" s="276" t="s">
        <v>256</v>
      </c>
      <c r="I79" s="276">
        <v>73</v>
      </c>
      <c r="J79" s="276" t="s">
        <v>257</v>
      </c>
      <c r="K79" s="276" t="s">
        <v>881</v>
      </c>
      <c r="L79" s="189" t="s">
        <v>258</v>
      </c>
      <c r="M79" s="276" t="s">
        <v>152</v>
      </c>
      <c r="N79" s="189" t="s">
        <v>259</v>
      </c>
      <c r="O79" s="189" t="s">
        <v>62</v>
      </c>
      <c r="P79" s="276" t="s">
        <v>63</v>
      </c>
      <c r="Q79" s="276" t="s">
        <v>152</v>
      </c>
      <c r="R79" s="276">
        <v>1</v>
      </c>
      <c r="S79" s="276"/>
      <c r="T79" s="276" t="s">
        <v>65</v>
      </c>
      <c r="U79" s="276"/>
      <c r="V79" s="276"/>
      <c r="W79" s="78" t="s">
        <v>170</v>
      </c>
      <c r="X79" s="173" t="e">
        <f>100/COUNTIFS(($B$4:$B$11),C79,($D$4:$D$11),E79)</f>
        <v>#DIV/0!</v>
      </c>
      <c r="Y79" s="276">
        <f t="shared" si="29"/>
        <v>1</v>
      </c>
      <c r="Z79" s="276">
        <v>0</v>
      </c>
      <c r="AA79" s="276" t="s">
        <v>1220</v>
      </c>
      <c r="AB79" s="276"/>
      <c r="AC79" s="276">
        <v>1</v>
      </c>
      <c r="AD79" s="189" t="s">
        <v>1763</v>
      </c>
      <c r="AE79" s="189" t="s">
        <v>1764</v>
      </c>
      <c r="AF79" s="189" t="s">
        <v>1765</v>
      </c>
      <c r="AG79" s="276" t="s">
        <v>1236</v>
      </c>
      <c r="AH79" s="77"/>
      <c r="AI79" s="276">
        <v>1</v>
      </c>
      <c r="AJ79" s="83" t="str">
        <f t="shared" si="16"/>
        <v>02060731</v>
      </c>
      <c r="AK79" s="83" t="s">
        <v>1766</v>
      </c>
      <c r="AL79" s="189" t="s">
        <v>1259</v>
      </c>
      <c r="AM79" s="189"/>
      <c r="AN79" s="276" t="s">
        <v>1767</v>
      </c>
      <c r="AO79" s="83" t="s">
        <v>10</v>
      </c>
      <c r="AP79" s="189" t="s">
        <v>1768</v>
      </c>
      <c r="AQ79" s="189" t="s">
        <v>1769</v>
      </c>
      <c r="AR79" s="276" t="s">
        <v>1770</v>
      </c>
      <c r="AS79" s="114" t="s">
        <v>1771</v>
      </c>
      <c r="AT79" s="276" t="s">
        <v>1772</v>
      </c>
      <c r="AU79" s="276" t="s">
        <v>1773</v>
      </c>
      <c r="AV79" s="276" t="s">
        <v>1529</v>
      </c>
      <c r="AW79" s="276" t="s">
        <v>1774</v>
      </c>
      <c r="AX79" s="276">
        <v>1</v>
      </c>
      <c r="AY79" s="276" t="str">
        <f t="shared" si="28"/>
        <v>020607311</v>
      </c>
      <c r="AZ79" s="276" t="s">
        <v>1775</v>
      </c>
      <c r="BA79" s="276" t="s">
        <v>1776</v>
      </c>
      <c r="BB79" s="276" t="s">
        <v>1229</v>
      </c>
      <c r="BC79" s="276" t="s">
        <v>11</v>
      </c>
      <c r="BD79" s="276" t="s">
        <v>1777</v>
      </c>
      <c r="BE79" s="276" t="s">
        <v>1778</v>
      </c>
      <c r="BF79" s="276" t="s">
        <v>1779</v>
      </c>
      <c r="BG79" s="276" t="s">
        <v>1780</v>
      </c>
      <c r="BH79" s="276"/>
      <c r="BI79" s="276" t="s">
        <v>1775</v>
      </c>
      <c r="BJ79" s="276" t="s">
        <v>1781</v>
      </c>
      <c r="BK79" s="276" t="s">
        <v>1782</v>
      </c>
      <c r="BL79" s="276" t="s">
        <v>1783</v>
      </c>
      <c r="BM79" s="144">
        <v>42339</v>
      </c>
      <c r="BN79" s="80">
        <v>0</v>
      </c>
      <c r="BO79" s="80">
        <v>1</v>
      </c>
      <c r="BP79" s="276"/>
      <c r="BQ79" s="187">
        <f t="shared" si="30"/>
        <v>1</v>
      </c>
      <c r="BR79" s="276">
        <v>5</v>
      </c>
      <c r="BS79" s="140">
        <f>+BN79-(((BQ79)/5)*(-1))</f>
        <v>0.2</v>
      </c>
      <c r="BT79" s="140">
        <v>0.21788199999999999</v>
      </c>
      <c r="BU79" s="140">
        <f>+BT79-BN79</f>
        <v>0.21788199999999999</v>
      </c>
      <c r="BV79" s="140">
        <f t="shared" si="26"/>
        <v>0.21788199999999999</v>
      </c>
      <c r="BW79" s="140">
        <f>+BN79-(((BQ79)/5)*(-2))</f>
        <v>0.4</v>
      </c>
      <c r="BX79" s="140">
        <f>21.6986%+BT79</f>
        <v>0.43486799999999998</v>
      </c>
      <c r="BY79" s="140">
        <f>+BX79-BN79</f>
        <v>0.43486799999999998</v>
      </c>
      <c r="BZ79" s="187">
        <f t="shared" si="19"/>
        <v>0.43486799999999998</v>
      </c>
      <c r="CA79" s="140">
        <f>+BN79-(((BQ79)/5)*(-3))</f>
        <v>0.60000000000000009</v>
      </c>
      <c r="CB79" s="140"/>
      <c r="CC79" s="140">
        <f>+CB79-BN79</f>
        <v>0</v>
      </c>
      <c r="CD79" s="140">
        <f t="shared" si="21"/>
        <v>0</v>
      </c>
      <c r="CE79" s="140">
        <f>+BN79-(((BQ79)/5)*(-4))</f>
        <v>0.8</v>
      </c>
      <c r="CF79" s="140"/>
      <c r="CG79" s="140">
        <f>+CF79-BN79</f>
        <v>0</v>
      </c>
      <c r="CH79" s="140">
        <f t="shared" si="23"/>
        <v>0</v>
      </c>
      <c r="CI79" s="140">
        <f>+BN79-(((BQ79)/5)*(-5))</f>
        <v>1</v>
      </c>
      <c r="CJ79" s="140"/>
      <c r="CK79" s="140">
        <f>+CJ79-BN79</f>
        <v>0</v>
      </c>
      <c r="CL79" s="187">
        <f t="shared" si="25"/>
        <v>0</v>
      </c>
      <c r="CM79" s="187" t="s">
        <v>11</v>
      </c>
      <c r="CN79" s="140"/>
      <c r="CO79" s="140"/>
      <c r="CP79" s="140"/>
      <c r="CQ79" s="140"/>
      <c r="CR79" s="40"/>
      <c r="CS79" s="24">
        <v>79</v>
      </c>
    </row>
    <row r="80" spans="1:101" ht="299.25" x14ac:dyDescent="0.25">
      <c r="A80" s="276">
        <v>16</v>
      </c>
      <c r="B80" s="269" t="s">
        <v>4575</v>
      </c>
      <c r="C80" s="269" t="s">
        <v>1266</v>
      </c>
      <c r="D80" s="189" t="s">
        <v>147</v>
      </c>
      <c r="E80" s="276" t="s">
        <v>260</v>
      </c>
      <c r="F80" s="189" t="s">
        <v>255</v>
      </c>
      <c r="G80" s="172">
        <v>2</v>
      </c>
      <c r="H80" s="276" t="s">
        <v>261</v>
      </c>
      <c r="I80" s="276">
        <v>74</v>
      </c>
      <c r="J80" s="276" t="s">
        <v>262</v>
      </c>
      <c r="K80" s="276" t="s">
        <v>882</v>
      </c>
      <c r="L80" s="189" t="s">
        <v>1784</v>
      </c>
      <c r="M80" s="276" t="s">
        <v>152</v>
      </c>
      <c r="N80" s="189" t="s">
        <v>259</v>
      </c>
      <c r="O80" s="189" t="s">
        <v>137</v>
      </c>
      <c r="P80" s="276" t="s">
        <v>63</v>
      </c>
      <c r="Q80" s="276" t="s">
        <v>152</v>
      </c>
      <c r="R80" s="276"/>
      <c r="S80" s="276"/>
      <c r="T80" s="276" t="s">
        <v>138</v>
      </c>
      <c r="U80" s="276"/>
      <c r="V80" s="276"/>
      <c r="W80" s="276"/>
      <c r="X80" s="173" t="e">
        <f>100/COUNTIFS(($B$4:$B$11),C80,($D$4:$D$11),E80)</f>
        <v>#DIV/0!</v>
      </c>
      <c r="Y80" s="276">
        <v>1</v>
      </c>
      <c r="Z80" s="276">
        <v>0</v>
      </c>
      <c r="AA80" s="276" t="s">
        <v>1220</v>
      </c>
      <c r="AB80" s="276"/>
      <c r="AC80" s="275">
        <v>1</v>
      </c>
      <c r="AD80" s="189" t="s">
        <v>1763</v>
      </c>
      <c r="AE80" s="189" t="s">
        <v>1764</v>
      </c>
      <c r="AF80" s="189" t="s">
        <v>1765</v>
      </c>
      <c r="AG80" s="276" t="s">
        <v>1236</v>
      </c>
      <c r="AH80" s="77"/>
      <c r="AI80" s="275">
        <v>1</v>
      </c>
      <c r="AJ80" s="83" t="str">
        <f t="shared" si="16"/>
        <v>02060741</v>
      </c>
      <c r="AK80" s="276" t="s">
        <v>1785</v>
      </c>
      <c r="AL80" s="189" t="s">
        <v>1259</v>
      </c>
      <c r="AM80" s="189"/>
      <c r="AN80" s="275" t="s">
        <v>9</v>
      </c>
      <c r="AO80" s="83" t="s">
        <v>10</v>
      </c>
      <c r="AP80" s="276" t="s">
        <v>1786</v>
      </c>
      <c r="AQ80" s="189" t="s">
        <v>1787</v>
      </c>
      <c r="AR80" s="276" t="s">
        <v>1788</v>
      </c>
      <c r="AS80" s="114" t="s">
        <v>1789</v>
      </c>
      <c r="AT80" s="276" t="s">
        <v>1790</v>
      </c>
      <c r="AU80" s="276" t="s">
        <v>1773</v>
      </c>
      <c r="AV80" s="276" t="s">
        <v>1529</v>
      </c>
      <c r="AW80" s="276" t="s">
        <v>1791</v>
      </c>
      <c r="AX80" s="276">
        <v>1</v>
      </c>
      <c r="AY80" s="276" t="str">
        <f t="shared" si="28"/>
        <v>020607411</v>
      </c>
      <c r="AZ80" s="276" t="s">
        <v>1775</v>
      </c>
      <c r="BA80" s="276" t="s">
        <v>1776</v>
      </c>
      <c r="BB80" s="276" t="s">
        <v>1229</v>
      </c>
      <c r="BC80" s="276" t="s">
        <v>11</v>
      </c>
      <c r="BD80" s="276" t="s">
        <v>1777</v>
      </c>
      <c r="BE80" s="276" t="s">
        <v>1792</v>
      </c>
      <c r="BF80" s="276" t="s">
        <v>1792</v>
      </c>
      <c r="BG80" s="276" t="s">
        <v>1793</v>
      </c>
      <c r="BH80" s="77"/>
      <c r="BI80" s="276" t="s">
        <v>1794</v>
      </c>
      <c r="BJ80" s="276" t="s">
        <v>1781</v>
      </c>
      <c r="BK80" s="276" t="s">
        <v>1782</v>
      </c>
      <c r="BL80" s="276" t="s">
        <v>1783</v>
      </c>
      <c r="BM80" s="144">
        <v>42339</v>
      </c>
      <c r="BN80" s="80">
        <v>0</v>
      </c>
      <c r="BO80" s="80">
        <v>1</v>
      </c>
      <c r="BP80" s="77"/>
      <c r="BQ80" s="187">
        <f t="shared" si="30"/>
        <v>1</v>
      </c>
      <c r="BR80" s="275">
        <v>5</v>
      </c>
      <c r="BS80" s="188">
        <f>+BN80-(((BQ80)/5)*(-1))</f>
        <v>0.2</v>
      </c>
      <c r="BT80" s="140">
        <v>0.25560749999999999</v>
      </c>
      <c r="BU80" s="188">
        <f>+BT80-BN80</f>
        <v>0.25560749999999999</v>
      </c>
      <c r="BV80" s="188">
        <f t="shared" si="26"/>
        <v>0.25560749999999999</v>
      </c>
      <c r="BW80" s="188">
        <f>+BN80-(((BQ80)/5)*(-2))</f>
        <v>0.4</v>
      </c>
      <c r="BX80" s="140">
        <f>21.911%+BT80</f>
        <v>0.47471750000000001</v>
      </c>
      <c r="BY80" s="188">
        <f>+BX80-BN80</f>
        <v>0.47471750000000001</v>
      </c>
      <c r="BZ80" s="89">
        <f t="shared" si="19"/>
        <v>0.47471750000000001</v>
      </c>
      <c r="CA80" s="188">
        <f>+BN80-(((BQ80)/5)*(-3))</f>
        <v>0.60000000000000009</v>
      </c>
      <c r="CB80" s="188"/>
      <c r="CC80" s="188">
        <f>+CB80-BN80</f>
        <v>0</v>
      </c>
      <c r="CD80" s="188">
        <f t="shared" si="21"/>
        <v>0</v>
      </c>
      <c r="CE80" s="188">
        <f>+BN80-(((BQ80)/5)*(-4))</f>
        <v>0.8</v>
      </c>
      <c r="CF80" s="188"/>
      <c r="CG80" s="188">
        <f>+CF80-BN80</f>
        <v>0</v>
      </c>
      <c r="CH80" s="188">
        <f t="shared" si="23"/>
        <v>0</v>
      </c>
      <c r="CI80" s="188">
        <f>+BN80-(((BQ80)/5)*(-5))</f>
        <v>1</v>
      </c>
      <c r="CJ80" s="188"/>
      <c r="CK80" s="188">
        <f>+CJ80-BN80</f>
        <v>0</v>
      </c>
      <c r="CL80" s="89">
        <f t="shared" si="25"/>
        <v>0</v>
      </c>
      <c r="CM80" s="187" t="s">
        <v>11</v>
      </c>
      <c r="CN80" s="140"/>
      <c r="CO80" s="188"/>
      <c r="CP80" s="188"/>
      <c r="CQ80" s="188"/>
      <c r="CR80" s="40"/>
      <c r="CS80" s="24">
        <v>80</v>
      </c>
    </row>
    <row r="81" spans="1:97" ht="299.25" x14ac:dyDescent="0.25">
      <c r="A81" s="276">
        <v>16</v>
      </c>
      <c r="B81" s="269" t="s">
        <v>4575</v>
      </c>
      <c r="C81" s="269" t="s">
        <v>1266</v>
      </c>
      <c r="D81" s="189" t="s">
        <v>147</v>
      </c>
      <c r="E81" s="276" t="s">
        <v>260</v>
      </c>
      <c r="F81" s="189" t="s">
        <v>255</v>
      </c>
      <c r="G81" s="172">
        <v>3</v>
      </c>
      <c r="H81" s="276" t="s">
        <v>264</v>
      </c>
      <c r="I81" s="276">
        <v>75</v>
      </c>
      <c r="J81" s="276" t="s">
        <v>265</v>
      </c>
      <c r="K81" s="276" t="s">
        <v>883</v>
      </c>
      <c r="L81" s="189" t="s">
        <v>1795</v>
      </c>
      <c r="M81" s="276" t="s">
        <v>152</v>
      </c>
      <c r="N81" s="189" t="s">
        <v>259</v>
      </c>
      <c r="O81" s="189" t="s">
        <v>137</v>
      </c>
      <c r="P81" s="276" t="s">
        <v>63</v>
      </c>
      <c r="Q81" s="276" t="s">
        <v>152</v>
      </c>
      <c r="R81" s="276"/>
      <c r="S81" s="276"/>
      <c r="T81" s="276" t="s">
        <v>138</v>
      </c>
      <c r="U81" s="276"/>
      <c r="V81" s="276"/>
      <c r="W81" s="276"/>
      <c r="X81" s="173" t="e">
        <f>100/COUNTIFS(($B$4:$B$11),C81,($D$4:$D$11),E81)</f>
        <v>#DIV/0!</v>
      </c>
      <c r="Y81" s="276">
        <v>1</v>
      </c>
      <c r="Z81" s="276">
        <v>0</v>
      </c>
      <c r="AA81" s="276" t="s">
        <v>1220</v>
      </c>
      <c r="AB81" s="276"/>
      <c r="AC81" s="275">
        <v>1</v>
      </c>
      <c r="AD81" s="189" t="s">
        <v>1763</v>
      </c>
      <c r="AE81" s="189" t="s">
        <v>1764</v>
      </c>
      <c r="AF81" s="189" t="s">
        <v>1765</v>
      </c>
      <c r="AG81" s="276" t="s">
        <v>1236</v>
      </c>
      <c r="AH81" s="77"/>
      <c r="AI81" s="275">
        <v>1</v>
      </c>
      <c r="AJ81" s="83" t="str">
        <f t="shared" si="16"/>
        <v>02060751</v>
      </c>
      <c r="AK81" s="276" t="s">
        <v>1796</v>
      </c>
      <c r="AL81" s="276" t="s">
        <v>1259</v>
      </c>
      <c r="AM81" s="189"/>
      <c r="AN81" s="275" t="s">
        <v>9</v>
      </c>
      <c r="AO81" s="83" t="s">
        <v>10</v>
      </c>
      <c r="AP81" s="276" t="s">
        <v>1797</v>
      </c>
      <c r="AQ81" s="189" t="s">
        <v>1798</v>
      </c>
      <c r="AR81" s="276" t="s">
        <v>1799</v>
      </c>
      <c r="AS81" s="114" t="s">
        <v>1789</v>
      </c>
      <c r="AT81" s="276" t="s">
        <v>1800</v>
      </c>
      <c r="AU81" s="276" t="s">
        <v>1773</v>
      </c>
      <c r="AV81" s="276" t="s">
        <v>1529</v>
      </c>
      <c r="AW81" s="276" t="s">
        <v>1801</v>
      </c>
      <c r="AX81" s="275">
        <v>1</v>
      </c>
      <c r="AY81" s="276" t="str">
        <f t="shared" si="28"/>
        <v>020607511</v>
      </c>
      <c r="AZ81" s="276" t="s">
        <v>1775</v>
      </c>
      <c r="BA81" s="276" t="s">
        <v>1776</v>
      </c>
      <c r="BB81" s="276" t="s">
        <v>1229</v>
      </c>
      <c r="BC81" s="276" t="s">
        <v>11</v>
      </c>
      <c r="BD81" s="276" t="s">
        <v>1802</v>
      </c>
      <c r="BE81" s="276" t="s">
        <v>1803</v>
      </c>
      <c r="BF81" s="276" t="s">
        <v>1803</v>
      </c>
      <c r="BG81" s="276" t="s">
        <v>1804</v>
      </c>
      <c r="BH81" s="77"/>
      <c r="BI81" s="276" t="s">
        <v>1794</v>
      </c>
      <c r="BJ81" s="276" t="s">
        <v>1781</v>
      </c>
      <c r="BK81" s="276" t="s">
        <v>1782</v>
      </c>
      <c r="BL81" s="276" t="s">
        <v>1783</v>
      </c>
      <c r="BM81" s="144">
        <v>42339</v>
      </c>
      <c r="BN81" s="80">
        <v>0</v>
      </c>
      <c r="BO81" s="80">
        <v>1</v>
      </c>
      <c r="BP81" s="77"/>
      <c r="BQ81" s="187">
        <f t="shared" si="30"/>
        <v>1</v>
      </c>
      <c r="BR81" s="275">
        <v>5</v>
      </c>
      <c r="BS81" s="188">
        <f>+BN81-(((BQ81)/5)*(-1))</f>
        <v>0.2</v>
      </c>
      <c r="BT81" s="140">
        <v>6.6979999999999998E-2</v>
      </c>
      <c r="BU81" s="188">
        <f>+BT81-BN81</f>
        <v>6.6979999999999998E-2</v>
      </c>
      <c r="BV81" s="188">
        <f t="shared" si="26"/>
        <v>6.6979999999999998E-2</v>
      </c>
      <c r="BW81" s="188">
        <f>+BN81-(((BQ81)/5)*(-2))</f>
        <v>0.4</v>
      </c>
      <c r="BX81" s="140">
        <f>20.849%+BT81</f>
        <v>0.27546999999999999</v>
      </c>
      <c r="BY81" s="188">
        <f>+BX81-BN81</f>
        <v>0.27546999999999999</v>
      </c>
      <c r="BZ81" s="89">
        <f t="shared" si="19"/>
        <v>0.27546999999999999</v>
      </c>
      <c r="CA81" s="188">
        <f>+BN81-(((BQ81)/5)*(-3))</f>
        <v>0.60000000000000009</v>
      </c>
      <c r="CB81" s="188"/>
      <c r="CC81" s="188">
        <f>+CB81-BN81</f>
        <v>0</v>
      </c>
      <c r="CD81" s="188">
        <f t="shared" si="21"/>
        <v>0</v>
      </c>
      <c r="CE81" s="188">
        <f>+BN81-(((BQ81)/5)*(-4))</f>
        <v>0.8</v>
      </c>
      <c r="CF81" s="188"/>
      <c r="CG81" s="188">
        <f>+CF81-BN81</f>
        <v>0</v>
      </c>
      <c r="CH81" s="188">
        <f t="shared" si="23"/>
        <v>0</v>
      </c>
      <c r="CI81" s="188">
        <f>+BN81-(((BQ81)/5)*(-5))</f>
        <v>1</v>
      </c>
      <c r="CJ81" s="188"/>
      <c r="CK81" s="188">
        <f>+CJ81-BN81</f>
        <v>0</v>
      </c>
      <c r="CL81" s="89">
        <f t="shared" si="25"/>
        <v>0</v>
      </c>
      <c r="CM81" s="187" t="s">
        <v>11</v>
      </c>
      <c r="CN81" s="140"/>
      <c r="CO81" s="188"/>
      <c r="CP81" s="188"/>
      <c r="CQ81" s="188"/>
      <c r="CR81" s="40"/>
      <c r="CS81" s="2">
        <v>81</v>
      </c>
    </row>
    <row r="82" spans="1:97" ht="270.75" customHeight="1" x14ac:dyDescent="0.25">
      <c r="A82" s="276">
        <v>10</v>
      </c>
      <c r="B82" s="269" t="s">
        <v>4575</v>
      </c>
      <c r="C82" s="269" t="s">
        <v>1266</v>
      </c>
      <c r="D82" s="189"/>
      <c r="E82" s="276"/>
      <c r="F82" s="189"/>
      <c r="G82" s="172"/>
      <c r="H82" s="276"/>
      <c r="I82" s="276"/>
      <c r="J82" s="276"/>
      <c r="K82" s="276"/>
      <c r="L82" s="189"/>
      <c r="M82" s="276"/>
      <c r="N82" s="189"/>
      <c r="O82" s="189"/>
      <c r="P82" s="276"/>
      <c r="Q82" s="276"/>
      <c r="R82" s="276"/>
      <c r="S82" s="276"/>
      <c r="T82" s="276"/>
      <c r="U82" s="276"/>
      <c r="V82" s="276"/>
      <c r="W82" s="276"/>
      <c r="X82" s="173"/>
      <c r="Y82" s="276"/>
      <c r="Z82" s="276"/>
      <c r="AA82" s="276" t="s">
        <v>1220</v>
      </c>
      <c r="AB82" s="276"/>
      <c r="AC82" s="275">
        <v>11</v>
      </c>
      <c r="AD82" s="189" t="s">
        <v>4272</v>
      </c>
      <c r="AE82" s="189" t="s">
        <v>4273</v>
      </c>
      <c r="AF82" s="189"/>
      <c r="AG82" s="276" t="s">
        <v>3166</v>
      </c>
      <c r="AH82" s="77"/>
      <c r="AI82" s="275"/>
      <c r="AJ82" s="83"/>
      <c r="AK82" s="189" t="s">
        <v>4314</v>
      </c>
      <c r="AL82" s="189" t="s">
        <v>1259</v>
      </c>
      <c r="AM82" s="189"/>
      <c r="AN82" s="249" t="s">
        <v>4315</v>
      </c>
      <c r="AO82" s="275" t="s">
        <v>10</v>
      </c>
      <c r="AP82" s="249" t="s">
        <v>4316</v>
      </c>
      <c r="AQ82" s="189"/>
      <c r="AR82" s="90" t="s">
        <v>4317</v>
      </c>
      <c r="AS82" s="249" t="s">
        <v>2502</v>
      </c>
      <c r="AT82" s="249" t="s">
        <v>4318</v>
      </c>
      <c r="AU82" s="249" t="s">
        <v>2502</v>
      </c>
      <c r="AV82" s="249" t="s">
        <v>3158</v>
      </c>
      <c r="AW82" s="189" t="s">
        <v>4319</v>
      </c>
      <c r="AX82" s="275"/>
      <c r="AY82" s="276"/>
      <c r="AZ82" s="276" t="s">
        <v>2501</v>
      </c>
      <c r="BA82" s="249" t="s">
        <v>16</v>
      </c>
      <c r="BB82" s="275" t="s">
        <v>4282</v>
      </c>
      <c r="BC82" s="275" t="s">
        <v>11</v>
      </c>
      <c r="BD82" s="249" t="s">
        <v>3158</v>
      </c>
      <c r="BE82" s="249" t="s">
        <v>9</v>
      </c>
      <c r="BF82" s="249" t="s">
        <v>1257</v>
      </c>
      <c r="BG82" s="249" t="s">
        <v>4283</v>
      </c>
      <c r="BH82" s="90" t="s">
        <v>3438</v>
      </c>
      <c r="BI82" s="276" t="s">
        <v>12</v>
      </c>
      <c r="BJ82" s="276"/>
      <c r="BK82" s="189" t="s">
        <v>4285</v>
      </c>
      <c r="BL82" s="276" t="s">
        <v>4286</v>
      </c>
      <c r="BM82" s="276">
        <v>2016</v>
      </c>
      <c r="BN82" s="115">
        <v>0.63177845290955803</v>
      </c>
      <c r="BO82" s="186"/>
      <c r="BP82" s="186"/>
      <c r="BQ82" s="173">
        <f t="shared" si="30"/>
        <v>-0.63177845290955803</v>
      </c>
      <c r="BR82" s="275">
        <v>5</v>
      </c>
      <c r="BS82" s="94"/>
      <c r="BT82" s="89">
        <v>0.63177845290955803</v>
      </c>
      <c r="BU82" s="94">
        <f>(BT82-BN82)*100</f>
        <v>0</v>
      </c>
      <c r="BV82" s="188"/>
      <c r="BW82" s="176"/>
      <c r="BX82" s="89">
        <v>0.63846412623711601</v>
      </c>
      <c r="BY82" s="88">
        <f>(BX82-BN82)*100</f>
        <v>0.66856733275579838</v>
      </c>
      <c r="BZ82" s="89"/>
      <c r="CA82" s="176"/>
      <c r="CB82" s="176"/>
      <c r="CC82" s="255">
        <f>(CB82-BN82)*100</f>
        <v>-63.177845290955801</v>
      </c>
      <c r="CD82" s="188"/>
      <c r="CE82" s="176"/>
      <c r="CF82" s="176"/>
      <c r="CG82" s="88">
        <f>(CF82-BN82)*100</f>
        <v>-63.177845290955801</v>
      </c>
      <c r="CH82" s="188"/>
      <c r="CI82" s="176"/>
      <c r="CJ82" s="176"/>
      <c r="CK82" s="94">
        <f>(CJ82-BN82)*100</f>
        <v>-63.177845290955801</v>
      </c>
      <c r="CL82" s="89"/>
      <c r="CM82" s="89"/>
      <c r="CN82" s="188"/>
      <c r="CO82" s="188"/>
      <c r="CP82" s="188"/>
      <c r="CQ82" s="188"/>
      <c r="CR82" s="40"/>
      <c r="CS82" s="24">
        <v>82</v>
      </c>
    </row>
    <row r="83" spans="1:97" ht="356.25" x14ac:dyDescent="0.25">
      <c r="A83" s="276">
        <v>10</v>
      </c>
      <c r="B83" s="269" t="s">
        <v>4575</v>
      </c>
      <c r="C83" s="269" t="s">
        <v>1266</v>
      </c>
      <c r="D83" s="189"/>
      <c r="E83" s="276"/>
      <c r="F83" s="189"/>
      <c r="G83" s="172"/>
      <c r="H83" s="276"/>
      <c r="I83" s="276"/>
      <c r="J83" s="276"/>
      <c r="K83" s="276"/>
      <c r="L83" s="189"/>
      <c r="M83" s="276"/>
      <c r="N83" s="189"/>
      <c r="O83" s="189"/>
      <c r="P83" s="276"/>
      <c r="Q83" s="276"/>
      <c r="R83" s="276"/>
      <c r="S83" s="276"/>
      <c r="T83" s="276"/>
      <c r="U83" s="276"/>
      <c r="V83" s="276"/>
      <c r="W83" s="276"/>
      <c r="X83" s="173"/>
      <c r="Y83" s="276"/>
      <c r="Z83" s="276"/>
      <c r="AA83" s="276" t="s">
        <v>1220</v>
      </c>
      <c r="AB83" s="276"/>
      <c r="AC83" s="275">
        <v>11</v>
      </c>
      <c r="AD83" s="189" t="s">
        <v>4272</v>
      </c>
      <c r="AE83" s="189" t="s">
        <v>4273</v>
      </c>
      <c r="AF83" s="189"/>
      <c r="AG83" s="276" t="s">
        <v>3166</v>
      </c>
      <c r="AH83" s="77"/>
      <c r="AI83" s="275"/>
      <c r="AJ83" s="83"/>
      <c r="AK83" s="189" t="s">
        <v>4320</v>
      </c>
      <c r="AL83" s="189" t="s">
        <v>1259</v>
      </c>
      <c r="AM83" s="189"/>
      <c r="AN83" s="249" t="s">
        <v>4315</v>
      </c>
      <c r="AO83" s="275" t="str">
        <f>+AO82</f>
        <v>Porcentaje</v>
      </c>
      <c r="AP83" s="90" t="s">
        <v>4321</v>
      </c>
      <c r="AQ83" s="189"/>
      <c r="AR83" s="90" t="s">
        <v>4322</v>
      </c>
      <c r="AS83" s="249" t="s">
        <v>2502</v>
      </c>
      <c r="AT83" s="249" t="s">
        <v>4318</v>
      </c>
      <c r="AU83" s="249" t="s">
        <v>2502</v>
      </c>
      <c r="AV83" s="249" t="s">
        <v>3158</v>
      </c>
      <c r="AW83" s="189" t="s">
        <v>4281</v>
      </c>
      <c r="AX83" s="275"/>
      <c r="AY83" s="276"/>
      <c r="AZ83" s="276" t="s">
        <v>2501</v>
      </c>
      <c r="BA83" s="249" t="s">
        <v>16</v>
      </c>
      <c r="BB83" s="275" t="s">
        <v>4282</v>
      </c>
      <c r="BC83" s="275" t="s">
        <v>11</v>
      </c>
      <c r="BD83" s="249" t="s">
        <v>3158</v>
      </c>
      <c r="BE83" s="249" t="s">
        <v>9</v>
      </c>
      <c r="BF83" s="249" t="s">
        <v>1257</v>
      </c>
      <c r="BG83" s="249" t="s">
        <v>4283</v>
      </c>
      <c r="BH83" s="249" t="s">
        <v>3160</v>
      </c>
      <c r="BI83" s="276" t="s">
        <v>4323</v>
      </c>
      <c r="BJ83" s="276"/>
      <c r="BK83" s="189" t="s">
        <v>4285</v>
      </c>
      <c r="BL83" s="276" t="s">
        <v>4286</v>
      </c>
      <c r="BM83" s="276">
        <v>2015</v>
      </c>
      <c r="BN83" s="150">
        <v>0.172226443605037</v>
      </c>
      <c r="BO83" s="186"/>
      <c r="BP83" s="186"/>
      <c r="BQ83" s="173">
        <f t="shared" si="30"/>
        <v>-0.172226443605037</v>
      </c>
      <c r="BR83" s="275">
        <v>5</v>
      </c>
      <c r="BS83" s="94"/>
      <c r="BT83" s="170">
        <v>0.19492467087325699</v>
      </c>
      <c r="BU83" s="94">
        <f>(BT83-BN83)*100</f>
        <v>2.269822726821999</v>
      </c>
      <c r="BV83" s="188"/>
      <c r="BW83" s="176"/>
      <c r="BX83" s="170">
        <v>0.15654874760165399</v>
      </c>
      <c r="BY83" s="88">
        <f>(BX83-BN83)*100</f>
        <v>-1.5677696003383006</v>
      </c>
      <c r="BZ83" s="89"/>
      <c r="CA83" s="176"/>
      <c r="CB83" s="176"/>
      <c r="CC83" s="88">
        <f>(CB83-BN83)*100</f>
        <v>-17.222644360503701</v>
      </c>
      <c r="CD83" s="188"/>
      <c r="CE83" s="176"/>
      <c r="CF83" s="176"/>
      <c r="CG83" s="88">
        <f>(CF83-BN83)*100</f>
        <v>-17.222644360503701</v>
      </c>
      <c r="CH83" s="188"/>
      <c r="CI83" s="176"/>
      <c r="CJ83" s="176"/>
      <c r="CK83" s="88">
        <f>(CJ83-BN83)*100</f>
        <v>-17.222644360503701</v>
      </c>
      <c r="CL83" s="89"/>
      <c r="CM83" s="89"/>
      <c r="CN83" s="188"/>
      <c r="CO83" s="188"/>
      <c r="CP83" s="188"/>
      <c r="CQ83" s="188"/>
      <c r="CR83" s="40"/>
      <c r="CS83" s="24">
        <v>83</v>
      </c>
    </row>
    <row r="84" spans="1:97" ht="409.5" x14ac:dyDescent="0.25">
      <c r="A84" s="276">
        <v>5</v>
      </c>
      <c r="B84" s="216" t="s">
        <v>4579</v>
      </c>
      <c r="C84" s="269" t="s">
        <v>1267</v>
      </c>
      <c r="D84" s="189" t="s">
        <v>267</v>
      </c>
      <c r="E84" s="276" t="s">
        <v>273</v>
      </c>
      <c r="F84" s="189" t="s">
        <v>268</v>
      </c>
      <c r="G84" s="172">
        <v>78</v>
      </c>
      <c r="H84" s="276" t="s">
        <v>278</v>
      </c>
      <c r="I84" s="276">
        <v>78</v>
      </c>
      <c r="J84" s="276" t="s">
        <v>279</v>
      </c>
      <c r="K84" s="114" t="s">
        <v>886</v>
      </c>
      <c r="L84" s="189" t="s">
        <v>280</v>
      </c>
      <c r="M84" s="276" t="s">
        <v>271</v>
      </c>
      <c r="N84" s="189" t="s">
        <v>272</v>
      </c>
      <c r="O84" s="276" t="s">
        <v>78</v>
      </c>
      <c r="P84" s="276" t="s">
        <v>63</v>
      </c>
      <c r="Q84" s="276" t="s">
        <v>272</v>
      </c>
      <c r="R84" s="276"/>
      <c r="S84" s="276"/>
      <c r="T84" s="276" t="s">
        <v>79</v>
      </c>
      <c r="U84" s="276"/>
      <c r="V84" s="276"/>
      <c r="W84" s="276"/>
      <c r="X84" s="173" t="e">
        <f>100/COUNTIFS(($B$4:$B$6),C84,($D$4:$D$6),E84)</f>
        <v>#DIV/0!</v>
      </c>
      <c r="Y84" s="276">
        <v>1</v>
      </c>
      <c r="Z84" s="276">
        <v>0</v>
      </c>
      <c r="AA84" s="276" t="s">
        <v>1220</v>
      </c>
      <c r="AB84" s="276"/>
      <c r="AC84" s="275" t="s">
        <v>2170</v>
      </c>
      <c r="AD84" s="189" t="s">
        <v>1295</v>
      </c>
      <c r="AE84" s="189" t="s">
        <v>2171</v>
      </c>
      <c r="AF84" s="275" t="s">
        <v>2172</v>
      </c>
      <c r="AG84" s="276" t="s">
        <v>1236</v>
      </c>
      <c r="AH84" s="77"/>
      <c r="AI84" s="275">
        <v>1</v>
      </c>
      <c r="AJ84" s="83" t="str">
        <f t="shared" ref="AJ84:AJ115" si="31">CONCATENATE(K84,AI84)</f>
        <v>03010781</v>
      </c>
      <c r="AK84" s="276" t="s">
        <v>2173</v>
      </c>
      <c r="AL84" s="276" t="s">
        <v>78</v>
      </c>
      <c r="AM84" s="189"/>
      <c r="AN84" s="276" t="s">
        <v>2174</v>
      </c>
      <c r="AO84" s="78" t="s">
        <v>10</v>
      </c>
      <c r="AP84" s="189" t="s">
        <v>2175</v>
      </c>
      <c r="AQ84" s="76"/>
      <c r="AR84" s="189" t="s">
        <v>2176</v>
      </c>
      <c r="AS84" s="276" t="s">
        <v>2177</v>
      </c>
      <c r="AT84" s="276" t="s">
        <v>2178</v>
      </c>
      <c r="AU84" s="276" t="s">
        <v>2177</v>
      </c>
      <c r="AV84" s="276" t="s">
        <v>2179</v>
      </c>
      <c r="AW84" s="76"/>
      <c r="AX84" s="275">
        <v>1</v>
      </c>
      <c r="AY84" s="276" t="str">
        <f t="shared" ref="AY84:AY115" si="32">CONCATENATE(AJ84,AX84)</f>
        <v>030107811</v>
      </c>
      <c r="AZ84" s="276" t="s">
        <v>2180</v>
      </c>
      <c r="BA84" s="78" t="s">
        <v>2181</v>
      </c>
      <c r="BB84" s="83" t="s">
        <v>1229</v>
      </c>
      <c r="BC84" s="275" t="s">
        <v>11</v>
      </c>
      <c r="BD84" s="276" t="s">
        <v>2179</v>
      </c>
      <c r="BE84" s="83" t="s">
        <v>9</v>
      </c>
      <c r="BF84" s="83" t="s">
        <v>2182</v>
      </c>
      <c r="BG84" s="189" t="s">
        <v>2183</v>
      </c>
      <c r="BH84" s="77"/>
      <c r="BI84" s="276" t="s">
        <v>2184</v>
      </c>
      <c r="BJ84" s="276" t="s">
        <v>2185</v>
      </c>
      <c r="BK84" s="276" t="s">
        <v>2186</v>
      </c>
      <c r="BL84" s="275">
        <v>2319904</v>
      </c>
      <c r="BM84" s="275">
        <v>2015</v>
      </c>
      <c r="BN84" s="115">
        <v>0.48599999999999999</v>
      </c>
      <c r="BO84" s="186">
        <v>0.9</v>
      </c>
      <c r="BP84" s="186">
        <v>0.96</v>
      </c>
      <c r="BQ84" s="187">
        <f t="shared" si="30"/>
        <v>0.41400000000000003</v>
      </c>
      <c r="BR84" s="275">
        <v>5</v>
      </c>
      <c r="BS84" s="188">
        <f>+BN84-(((BQ84)/5)*(-1))</f>
        <v>0.56879999999999997</v>
      </c>
      <c r="BT84" s="188">
        <v>0.72860000000000003</v>
      </c>
      <c r="BU84" s="188">
        <f t="shared" ref="BU84:BU93" si="33">+BT84-BN84</f>
        <v>0.24260000000000004</v>
      </c>
      <c r="BV84" s="188">
        <f t="shared" ref="BV84:BV93" si="34">+BU84/BQ84</f>
        <v>0.58599033816425128</v>
      </c>
      <c r="BW84" s="188">
        <f>+BN84-(((BQ84)/5)*(-2))</f>
        <v>0.65159999999999996</v>
      </c>
      <c r="BX84" s="188">
        <v>0.83479999999999999</v>
      </c>
      <c r="BY84" s="188">
        <f t="shared" ref="BY84:BY93" si="35">+BX84-BN84</f>
        <v>0.3488</v>
      </c>
      <c r="BZ84" s="89">
        <f t="shared" ref="BZ84:BZ93" si="36">+BY84/BQ84</f>
        <v>0.84251207729468591</v>
      </c>
      <c r="CA84" s="188">
        <f>+BN84-(((BQ84)/5)*(-3))</f>
        <v>0.73440000000000005</v>
      </c>
      <c r="CB84" s="188"/>
      <c r="CC84" s="188">
        <f t="shared" ref="CC84:CC93" si="37">+CB84-BN84</f>
        <v>-0.48599999999999999</v>
      </c>
      <c r="CD84" s="188">
        <f t="shared" ref="CD84:CD93" si="38">+CC84/BQ84</f>
        <v>-1.1739130434782608</v>
      </c>
      <c r="CE84" s="188">
        <f>+BN84-(((BQ84)/5)*(-4))</f>
        <v>0.81720000000000004</v>
      </c>
      <c r="CF84" s="188"/>
      <c r="CG84" s="188">
        <f t="shared" ref="CG84:CG93" si="39">+CF84-BN84</f>
        <v>-0.48599999999999999</v>
      </c>
      <c r="CH84" s="188">
        <f t="shared" ref="CH84:CH93" si="40">+CG84/BQ84</f>
        <v>-1.1739130434782608</v>
      </c>
      <c r="CI84" s="188">
        <f>+BN84-(((BQ84)/5)*(-5))</f>
        <v>0.9</v>
      </c>
      <c r="CJ84" s="188"/>
      <c r="CK84" s="188">
        <f t="shared" ref="CK84:CK93" si="41">+CJ84-BN84</f>
        <v>-0.48599999999999999</v>
      </c>
      <c r="CL84" s="89">
        <f t="shared" ref="CL84:CL93" si="42">+CK84/BQ84</f>
        <v>-1.1739130434782608</v>
      </c>
      <c r="CM84" s="89"/>
      <c r="CN84" s="188"/>
      <c r="CO84" s="188"/>
      <c r="CP84" s="188"/>
      <c r="CQ84" s="188"/>
      <c r="CR84" s="40"/>
      <c r="CS84" s="2">
        <v>84</v>
      </c>
    </row>
    <row r="85" spans="1:97" ht="399" customHeight="1" x14ac:dyDescent="0.25">
      <c r="A85" s="276">
        <v>5</v>
      </c>
      <c r="B85" s="216" t="s">
        <v>4579</v>
      </c>
      <c r="C85" s="269" t="s">
        <v>1267</v>
      </c>
      <c r="D85" s="189" t="s">
        <v>267</v>
      </c>
      <c r="E85" s="276" t="s">
        <v>273</v>
      </c>
      <c r="F85" s="189" t="s">
        <v>268</v>
      </c>
      <c r="G85" s="172">
        <v>79</v>
      </c>
      <c r="H85" s="276" t="s">
        <v>281</v>
      </c>
      <c r="I85" s="276">
        <v>79</v>
      </c>
      <c r="J85" s="276" t="s">
        <v>282</v>
      </c>
      <c r="K85" s="276" t="s">
        <v>887</v>
      </c>
      <c r="L85" s="189" t="s">
        <v>283</v>
      </c>
      <c r="M85" s="276" t="s">
        <v>271</v>
      </c>
      <c r="N85" s="189" t="s">
        <v>272</v>
      </c>
      <c r="O85" s="276" t="s">
        <v>78</v>
      </c>
      <c r="P85" s="276" t="s">
        <v>63</v>
      </c>
      <c r="Q85" s="276" t="s">
        <v>272</v>
      </c>
      <c r="R85" s="276"/>
      <c r="S85" s="276"/>
      <c r="T85" s="276" t="s">
        <v>79</v>
      </c>
      <c r="U85" s="276"/>
      <c r="V85" s="276"/>
      <c r="W85" s="276"/>
      <c r="X85" s="173" t="e">
        <f>100/COUNTIFS(($B$4:$B$6),C85,($D$4:$D$6),E85)</f>
        <v>#DIV/0!</v>
      </c>
      <c r="Y85" s="276">
        <v>1</v>
      </c>
      <c r="Z85" s="276">
        <v>0</v>
      </c>
      <c r="AA85" s="276" t="s">
        <v>1220</v>
      </c>
      <c r="AB85" s="276"/>
      <c r="AC85" s="275" t="s">
        <v>2170</v>
      </c>
      <c r="AD85" s="189" t="s">
        <v>1295</v>
      </c>
      <c r="AE85" s="189" t="s">
        <v>2171</v>
      </c>
      <c r="AF85" s="275" t="s">
        <v>2172</v>
      </c>
      <c r="AG85" s="276" t="s">
        <v>1236</v>
      </c>
      <c r="AH85" s="77"/>
      <c r="AI85" s="275">
        <v>1</v>
      </c>
      <c r="AJ85" s="83" t="str">
        <f t="shared" si="31"/>
        <v>03010791</v>
      </c>
      <c r="AK85" s="276" t="s">
        <v>2187</v>
      </c>
      <c r="AL85" s="276" t="s">
        <v>78</v>
      </c>
      <c r="AM85" s="189"/>
      <c r="AN85" s="276" t="s">
        <v>2174</v>
      </c>
      <c r="AO85" s="78" t="s">
        <v>10</v>
      </c>
      <c r="AP85" s="189" t="s">
        <v>2188</v>
      </c>
      <c r="AQ85" s="76"/>
      <c r="AR85" s="189" t="s">
        <v>2189</v>
      </c>
      <c r="AS85" s="276" t="s">
        <v>2190</v>
      </c>
      <c r="AT85" s="276" t="s">
        <v>2178</v>
      </c>
      <c r="AU85" s="276" t="s">
        <v>2190</v>
      </c>
      <c r="AV85" s="276" t="s">
        <v>1529</v>
      </c>
      <c r="AW85" s="76"/>
      <c r="AX85" s="275">
        <v>1</v>
      </c>
      <c r="AY85" s="276" t="str">
        <f t="shared" si="32"/>
        <v>030107911</v>
      </c>
      <c r="AZ85" s="276" t="s">
        <v>2191</v>
      </c>
      <c r="BA85" s="78" t="s">
        <v>2192</v>
      </c>
      <c r="BB85" s="83" t="s">
        <v>1229</v>
      </c>
      <c r="BC85" s="78" t="s">
        <v>1359</v>
      </c>
      <c r="BD85" s="276" t="s">
        <v>1529</v>
      </c>
      <c r="BE85" s="83" t="s">
        <v>9</v>
      </c>
      <c r="BF85" s="83" t="s">
        <v>2182</v>
      </c>
      <c r="BG85" s="189" t="s">
        <v>2193</v>
      </c>
      <c r="BH85" s="77"/>
      <c r="BI85" s="276" t="s">
        <v>2184</v>
      </c>
      <c r="BJ85" s="276" t="s">
        <v>2185</v>
      </c>
      <c r="BK85" s="276" t="s">
        <v>2194</v>
      </c>
      <c r="BL85" s="275">
        <v>2125013</v>
      </c>
      <c r="BM85" s="275">
        <v>2015</v>
      </c>
      <c r="BN85" s="89">
        <v>0.27400000000000002</v>
      </c>
      <c r="BO85" s="186">
        <v>0.9</v>
      </c>
      <c r="BP85" s="186">
        <v>1</v>
      </c>
      <c r="BQ85" s="187">
        <f t="shared" si="30"/>
        <v>0.626</v>
      </c>
      <c r="BR85" s="275">
        <v>5</v>
      </c>
      <c r="BS85" s="188">
        <f>+BN85-(((BQ85)/5)*(-1))</f>
        <v>0.3992</v>
      </c>
      <c r="BT85" s="188">
        <v>0.39800000000000002</v>
      </c>
      <c r="BU85" s="188">
        <f t="shared" si="33"/>
        <v>0.124</v>
      </c>
      <c r="BV85" s="188">
        <f t="shared" si="34"/>
        <v>0.19808306709265175</v>
      </c>
      <c r="BW85" s="188">
        <f>+BN85-(((BQ85)/5)*(-2))</f>
        <v>0.52439999999999998</v>
      </c>
      <c r="BX85" s="188">
        <v>0.40100000000000002</v>
      </c>
      <c r="BY85" s="188">
        <f t="shared" si="35"/>
        <v>0.127</v>
      </c>
      <c r="BZ85" s="89">
        <f t="shared" si="36"/>
        <v>0.20287539936102236</v>
      </c>
      <c r="CA85" s="188">
        <f>+BN85-(((BQ85)/5)*(-3))</f>
        <v>0.64960000000000007</v>
      </c>
      <c r="CB85" s="188"/>
      <c r="CC85" s="188">
        <f t="shared" si="37"/>
        <v>-0.27400000000000002</v>
      </c>
      <c r="CD85" s="188">
        <f t="shared" si="38"/>
        <v>-0.43769968051118213</v>
      </c>
      <c r="CE85" s="188">
        <f>+BN85-(((BQ85)/5)*(-4))</f>
        <v>0.77480000000000004</v>
      </c>
      <c r="CF85" s="188"/>
      <c r="CG85" s="188">
        <f t="shared" si="39"/>
        <v>-0.27400000000000002</v>
      </c>
      <c r="CH85" s="188">
        <f t="shared" si="40"/>
        <v>-0.43769968051118213</v>
      </c>
      <c r="CI85" s="188">
        <f>+BN85-(((BQ85)/5)*(-5))</f>
        <v>0.9</v>
      </c>
      <c r="CJ85" s="188"/>
      <c r="CK85" s="188">
        <f t="shared" si="41"/>
        <v>-0.27400000000000002</v>
      </c>
      <c r="CL85" s="89">
        <f t="shared" si="42"/>
        <v>-0.43769968051118213</v>
      </c>
      <c r="CM85" s="89"/>
      <c r="CN85" s="188"/>
      <c r="CO85" s="188"/>
      <c r="CP85" s="188"/>
      <c r="CQ85" s="188"/>
      <c r="CR85" s="40"/>
      <c r="CS85" s="24">
        <v>85</v>
      </c>
    </row>
    <row r="86" spans="1:97" ht="185.25" x14ac:dyDescent="0.25">
      <c r="A86" s="276">
        <v>5</v>
      </c>
      <c r="B86" s="216" t="s">
        <v>4579</v>
      </c>
      <c r="C86" s="269" t="s">
        <v>1267</v>
      </c>
      <c r="D86" s="189" t="s">
        <v>267</v>
      </c>
      <c r="E86" s="276" t="s">
        <v>273</v>
      </c>
      <c r="F86" s="189" t="s">
        <v>268</v>
      </c>
      <c r="G86" s="172">
        <v>80</v>
      </c>
      <c r="H86" s="276" t="s">
        <v>284</v>
      </c>
      <c r="I86" s="276">
        <v>80</v>
      </c>
      <c r="J86" s="276" t="s">
        <v>285</v>
      </c>
      <c r="K86" s="276" t="s">
        <v>888</v>
      </c>
      <c r="L86" s="189" t="s">
        <v>286</v>
      </c>
      <c r="M86" s="276" t="s">
        <v>271</v>
      </c>
      <c r="N86" s="189" t="s">
        <v>272</v>
      </c>
      <c r="O86" s="189" t="s">
        <v>1259</v>
      </c>
      <c r="P86" s="276" t="s">
        <v>63</v>
      </c>
      <c r="Q86" s="276" t="s">
        <v>272</v>
      </c>
      <c r="R86" s="276">
        <v>1</v>
      </c>
      <c r="S86" s="276"/>
      <c r="T86" s="276" t="s">
        <v>65</v>
      </c>
      <c r="U86" s="276"/>
      <c r="V86" s="276"/>
      <c r="W86" s="78" t="s">
        <v>277</v>
      </c>
      <c r="X86" s="173" t="e">
        <f>100/COUNTIFS(($B$4:$B$6),C86,($D$4:$D$6),E86)</f>
        <v>#DIV/0!</v>
      </c>
      <c r="Y86" s="276">
        <f>COUNTIF(T86,"RS")</f>
        <v>1</v>
      </c>
      <c r="Z86" s="276">
        <v>0</v>
      </c>
      <c r="AA86" s="276" t="s">
        <v>1220</v>
      </c>
      <c r="AB86" s="276">
        <v>1</v>
      </c>
      <c r="AC86" s="275" t="s">
        <v>2195</v>
      </c>
      <c r="AD86" s="189" t="s">
        <v>1297</v>
      </c>
      <c r="AE86" s="189" t="s">
        <v>2196</v>
      </c>
      <c r="AF86" s="189"/>
      <c r="AG86" s="276" t="s">
        <v>1235</v>
      </c>
      <c r="AH86" s="77"/>
      <c r="AI86" s="275">
        <v>1</v>
      </c>
      <c r="AJ86" s="83" t="str">
        <f t="shared" si="31"/>
        <v>03010801</v>
      </c>
      <c r="AK86" s="83" t="s">
        <v>2197</v>
      </c>
      <c r="AL86" s="276" t="s">
        <v>1259</v>
      </c>
      <c r="AM86" s="189"/>
      <c r="AN86" s="83" t="s">
        <v>2198</v>
      </c>
      <c r="AO86" s="78" t="s">
        <v>2199</v>
      </c>
      <c r="AP86" s="189" t="s">
        <v>2200</v>
      </c>
      <c r="AQ86" s="189" t="s">
        <v>2201</v>
      </c>
      <c r="AR86" s="189" t="s">
        <v>2202</v>
      </c>
      <c r="AS86" s="276" t="s">
        <v>2203</v>
      </c>
      <c r="AT86" s="189" t="s">
        <v>2204</v>
      </c>
      <c r="AU86" s="276" t="s">
        <v>2203</v>
      </c>
      <c r="AV86" s="276" t="s">
        <v>2205</v>
      </c>
      <c r="AW86" s="189" t="s">
        <v>2206</v>
      </c>
      <c r="AX86" s="275">
        <v>1</v>
      </c>
      <c r="AY86" s="276" t="str">
        <f t="shared" si="32"/>
        <v>030108011</v>
      </c>
      <c r="AZ86" s="276" t="s">
        <v>2207</v>
      </c>
      <c r="BA86" s="83" t="s">
        <v>2208</v>
      </c>
      <c r="BB86" s="78" t="s">
        <v>1514</v>
      </c>
      <c r="BC86" s="78" t="s">
        <v>2209</v>
      </c>
      <c r="BD86" s="276" t="s">
        <v>2205</v>
      </c>
      <c r="BE86" s="83" t="s">
        <v>9</v>
      </c>
      <c r="BF86" s="276" t="s">
        <v>1712</v>
      </c>
      <c r="BG86" s="95" t="s">
        <v>2210</v>
      </c>
      <c r="BH86" s="276"/>
      <c r="BI86" s="83" t="s">
        <v>2211</v>
      </c>
      <c r="BJ86" s="95" t="s">
        <v>2212</v>
      </c>
      <c r="BK86" s="96" t="s">
        <v>2213</v>
      </c>
      <c r="BL86" s="276" t="s">
        <v>2214</v>
      </c>
      <c r="BM86" s="275">
        <v>2008</v>
      </c>
      <c r="BN86" s="175">
        <v>50</v>
      </c>
      <c r="BO86" s="175">
        <v>35</v>
      </c>
      <c r="BP86" s="78"/>
      <c r="BQ86" s="175">
        <f t="shared" si="30"/>
        <v>-15</v>
      </c>
      <c r="BR86" s="175">
        <v>5</v>
      </c>
      <c r="BS86" s="174">
        <v>47</v>
      </c>
      <c r="BT86" s="174">
        <v>24</v>
      </c>
      <c r="BU86" s="174">
        <f t="shared" si="33"/>
        <v>-26</v>
      </c>
      <c r="BV86" s="174">
        <f t="shared" si="34"/>
        <v>1.7333333333333334</v>
      </c>
      <c r="BW86" s="174"/>
      <c r="BX86" s="174"/>
      <c r="BY86" s="174">
        <f t="shared" si="35"/>
        <v>-50</v>
      </c>
      <c r="BZ86" s="89">
        <f t="shared" si="36"/>
        <v>3.3333333333333335</v>
      </c>
      <c r="CA86" s="174"/>
      <c r="CB86" s="174"/>
      <c r="CC86" s="174">
        <f t="shared" si="37"/>
        <v>-50</v>
      </c>
      <c r="CD86" s="174">
        <f t="shared" si="38"/>
        <v>3.3333333333333335</v>
      </c>
      <c r="CE86" s="174"/>
      <c r="CF86" s="174"/>
      <c r="CG86" s="174">
        <f t="shared" si="39"/>
        <v>-50</v>
      </c>
      <c r="CH86" s="174">
        <f t="shared" si="40"/>
        <v>3.3333333333333335</v>
      </c>
      <c r="CI86" s="174"/>
      <c r="CJ86" s="174"/>
      <c r="CK86" s="174">
        <f t="shared" si="41"/>
        <v>-50</v>
      </c>
      <c r="CL86" s="175">
        <f t="shared" si="42"/>
        <v>3.3333333333333335</v>
      </c>
      <c r="CM86" s="89"/>
      <c r="CN86" s="188"/>
      <c r="CO86" s="188"/>
      <c r="CP86" s="188"/>
      <c r="CQ86" s="188"/>
      <c r="CR86" s="40"/>
      <c r="CS86" s="24">
        <v>86</v>
      </c>
    </row>
    <row r="87" spans="1:97" ht="185.25" x14ac:dyDescent="0.25">
      <c r="A87" s="276">
        <v>5</v>
      </c>
      <c r="B87" s="216" t="s">
        <v>4579</v>
      </c>
      <c r="C87" s="269" t="s">
        <v>1267</v>
      </c>
      <c r="D87" s="189" t="s">
        <v>267</v>
      </c>
      <c r="E87" s="276" t="s">
        <v>273</v>
      </c>
      <c r="F87" s="189" t="s">
        <v>268</v>
      </c>
      <c r="G87" s="172">
        <v>80</v>
      </c>
      <c r="H87" s="276" t="s">
        <v>284</v>
      </c>
      <c r="I87" s="276">
        <v>80</v>
      </c>
      <c r="J87" s="276" t="s">
        <v>285</v>
      </c>
      <c r="K87" s="276" t="s">
        <v>888</v>
      </c>
      <c r="L87" s="189" t="s">
        <v>286</v>
      </c>
      <c r="M87" s="276" t="s">
        <v>271</v>
      </c>
      <c r="N87" s="189" t="s">
        <v>272</v>
      </c>
      <c r="O87" s="189" t="s">
        <v>1259</v>
      </c>
      <c r="P87" s="276" t="s">
        <v>63</v>
      </c>
      <c r="Q87" s="276" t="s">
        <v>272</v>
      </c>
      <c r="R87" s="276">
        <v>1</v>
      </c>
      <c r="S87" s="276"/>
      <c r="T87" s="276" t="s">
        <v>65</v>
      </c>
      <c r="U87" s="276"/>
      <c r="V87" s="276"/>
      <c r="W87" s="78" t="s">
        <v>277</v>
      </c>
      <c r="X87" s="173" t="e">
        <f>100/COUNTIFS(($B$4:$B$6),C87,($D$4:$D$6),E87)</f>
        <v>#DIV/0!</v>
      </c>
      <c r="Y87" s="276">
        <f>COUNTIF(T87,"RS")</f>
        <v>1</v>
      </c>
      <c r="Z87" s="276">
        <v>0</v>
      </c>
      <c r="AA87" s="276" t="s">
        <v>1220</v>
      </c>
      <c r="AB87" s="276">
        <v>1</v>
      </c>
      <c r="AC87" s="275" t="s">
        <v>2195</v>
      </c>
      <c r="AD87" s="189" t="s">
        <v>1297</v>
      </c>
      <c r="AE87" s="189" t="s">
        <v>2196</v>
      </c>
      <c r="AF87" s="189"/>
      <c r="AG87" s="276" t="s">
        <v>1235</v>
      </c>
      <c r="AH87" s="77"/>
      <c r="AI87" s="275">
        <v>2</v>
      </c>
      <c r="AJ87" s="83" t="str">
        <f t="shared" si="31"/>
        <v>03010802</v>
      </c>
      <c r="AK87" s="83" t="s">
        <v>2215</v>
      </c>
      <c r="AL87" s="276" t="s">
        <v>1259</v>
      </c>
      <c r="AM87" s="189"/>
      <c r="AN87" s="83" t="s">
        <v>2198</v>
      </c>
      <c r="AO87" s="78" t="s">
        <v>2199</v>
      </c>
      <c r="AP87" s="189" t="s">
        <v>2216</v>
      </c>
      <c r="AQ87" s="189" t="s">
        <v>2201</v>
      </c>
      <c r="AR87" s="189" t="s">
        <v>2217</v>
      </c>
      <c r="AS87" s="276" t="s">
        <v>2203</v>
      </c>
      <c r="AT87" s="189" t="s">
        <v>2204</v>
      </c>
      <c r="AU87" s="276" t="s">
        <v>2203</v>
      </c>
      <c r="AV87" s="276" t="s">
        <v>2205</v>
      </c>
      <c r="AW87" s="189" t="s">
        <v>2206</v>
      </c>
      <c r="AX87" s="275">
        <v>1</v>
      </c>
      <c r="AY87" s="276" t="str">
        <f t="shared" si="32"/>
        <v>030108021</v>
      </c>
      <c r="AZ87" s="276" t="s">
        <v>2207</v>
      </c>
      <c r="BA87" s="83" t="s">
        <v>2208</v>
      </c>
      <c r="BB87" s="78" t="s">
        <v>1514</v>
      </c>
      <c r="BC87" s="78" t="s">
        <v>2218</v>
      </c>
      <c r="BD87" s="276" t="s">
        <v>2205</v>
      </c>
      <c r="BE87" s="83" t="s">
        <v>9</v>
      </c>
      <c r="BF87" s="276" t="s">
        <v>1712</v>
      </c>
      <c r="BG87" s="95" t="s">
        <v>2210</v>
      </c>
      <c r="BH87" s="276"/>
      <c r="BI87" s="83" t="s">
        <v>2211</v>
      </c>
      <c r="BJ87" s="95" t="s">
        <v>2212</v>
      </c>
      <c r="BK87" s="96" t="s">
        <v>2213</v>
      </c>
      <c r="BL87" s="276" t="s">
        <v>2214</v>
      </c>
      <c r="BM87" s="275">
        <v>2008</v>
      </c>
      <c r="BN87" s="175">
        <v>63</v>
      </c>
      <c r="BO87" s="175">
        <v>44</v>
      </c>
      <c r="BP87" s="162">
        <v>25</v>
      </c>
      <c r="BQ87" s="113">
        <f t="shared" si="30"/>
        <v>-19</v>
      </c>
      <c r="BR87" s="175">
        <v>5</v>
      </c>
      <c r="BS87" s="174">
        <v>59</v>
      </c>
      <c r="BT87" s="174">
        <v>29</v>
      </c>
      <c r="BU87" s="174">
        <f t="shared" si="33"/>
        <v>-34</v>
      </c>
      <c r="BV87" s="174">
        <f t="shared" si="34"/>
        <v>1.7894736842105263</v>
      </c>
      <c r="BW87" s="174"/>
      <c r="BX87" s="174"/>
      <c r="BY87" s="174">
        <f t="shared" si="35"/>
        <v>-63</v>
      </c>
      <c r="BZ87" s="175">
        <f t="shared" si="36"/>
        <v>3.3157894736842106</v>
      </c>
      <c r="CA87" s="174"/>
      <c r="CB87" s="174"/>
      <c r="CC87" s="174">
        <f t="shared" si="37"/>
        <v>-63</v>
      </c>
      <c r="CD87" s="174">
        <f t="shared" si="38"/>
        <v>3.3157894736842106</v>
      </c>
      <c r="CE87" s="174"/>
      <c r="CF87" s="174"/>
      <c r="CG87" s="174">
        <f t="shared" si="39"/>
        <v>-63</v>
      </c>
      <c r="CH87" s="174">
        <f t="shared" si="40"/>
        <v>3.3157894736842106</v>
      </c>
      <c r="CI87" s="174"/>
      <c r="CJ87" s="174"/>
      <c r="CK87" s="174">
        <f t="shared" si="41"/>
        <v>-63</v>
      </c>
      <c r="CL87" s="175">
        <f t="shared" si="42"/>
        <v>3.3157894736842106</v>
      </c>
      <c r="CM87" s="175"/>
      <c r="CN87" s="174"/>
      <c r="CO87" s="174"/>
      <c r="CP87" s="174"/>
      <c r="CQ87" s="174"/>
      <c r="CR87" s="40"/>
      <c r="CS87" s="2">
        <v>87</v>
      </c>
    </row>
    <row r="88" spans="1:97" ht="370.5" customHeight="1" x14ac:dyDescent="0.25">
      <c r="A88" s="276">
        <v>5</v>
      </c>
      <c r="B88" s="216" t="s">
        <v>4579</v>
      </c>
      <c r="C88" s="269" t="s">
        <v>1267</v>
      </c>
      <c r="D88" s="189" t="s">
        <v>267</v>
      </c>
      <c r="E88" s="276" t="s">
        <v>273</v>
      </c>
      <c r="F88" s="189" t="s">
        <v>268</v>
      </c>
      <c r="G88" s="172">
        <v>80</v>
      </c>
      <c r="H88" s="276" t="s">
        <v>284</v>
      </c>
      <c r="I88" s="276">
        <v>80</v>
      </c>
      <c r="J88" s="276" t="s">
        <v>285</v>
      </c>
      <c r="K88" s="276" t="s">
        <v>888</v>
      </c>
      <c r="L88" s="189" t="s">
        <v>286</v>
      </c>
      <c r="M88" s="276" t="s">
        <v>271</v>
      </c>
      <c r="N88" s="189" t="s">
        <v>272</v>
      </c>
      <c r="O88" s="189" t="s">
        <v>1259</v>
      </c>
      <c r="P88" s="276" t="s">
        <v>63</v>
      </c>
      <c r="Q88" s="276" t="s">
        <v>272</v>
      </c>
      <c r="R88" s="276">
        <v>1</v>
      </c>
      <c r="S88" s="276"/>
      <c r="T88" s="276" t="s">
        <v>65</v>
      </c>
      <c r="U88" s="276"/>
      <c r="V88" s="276"/>
      <c r="W88" s="78" t="s">
        <v>277</v>
      </c>
      <c r="X88" s="173" t="e">
        <f>100/COUNTIFS(($B$4:$B$6),C88,($D$4:$D$6),E88)</f>
        <v>#DIV/0!</v>
      </c>
      <c r="Y88" s="276">
        <f>COUNTIF(T88,"RS")</f>
        <v>1</v>
      </c>
      <c r="Z88" s="276">
        <v>0</v>
      </c>
      <c r="AA88" s="276" t="s">
        <v>1220</v>
      </c>
      <c r="AB88" s="276">
        <v>1</v>
      </c>
      <c r="AC88" s="275" t="s">
        <v>2195</v>
      </c>
      <c r="AD88" s="189" t="s">
        <v>1297</v>
      </c>
      <c r="AE88" s="189" t="s">
        <v>2219</v>
      </c>
      <c r="AF88" s="189"/>
      <c r="AG88" s="276" t="s">
        <v>1235</v>
      </c>
      <c r="AH88" s="77"/>
      <c r="AI88" s="275">
        <v>3</v>
      </c>
      <c r="AJ88" s="83" t="str">
        <f t="shared" si="31"/>
        <v>03010803</v>
      </c>
      <c r="AK88" s="83" t="s">
        <v>2220</v>
      </c>
      <c r="AL88" s="276" t="s">
        <v>1259</v>
      </c>
      <c r="AM88" s="189"/>
      <c r="AN88" s="83" t="s">
        <v>2198</v>
      </c>
      <c r="AO88" s="78" t="s">
        <v>2199</v>
      </c>
      <c r="AP88" s="189" t="s">
        <v>2221</v>
      </c>
      <c r="AQ88" s="189" t="s">
        <v>2201</v>
      </c>
      <c r="AR88" s="189" t="s">
        <v>2222</v>
      </c>
      <c r="AS88" s="276" t="s">
        <v>2203</v>
      </c>
      <c r="AT88" s="189" t="s">
        <v>2204</v>
      </c>
      <c r="AU88" s="276" t="s">
        <v>2203</v>
      </c>
      <c r="AV88" s="276" t="s">
        <v>2205</v>
      </c>
      <c r="AW88" s="189" t="s">
        <v>2206</v>
      </c>
      <c r="AX88" s="275">
        <v>1</v>
      </c>
      <c r="AY88" s="276" t="str">
        <f t="shared" si="32"/>
        <v>030108031</v>
      </c>
      <c r="AZ88" s="276" t="s">
        <v>2207</v>
      </c>
      <c r="BA88" s="83" t="s">
        <v>2208</v>
      </c>
      <c r="BB88" s="78" t="s">
        <v>1514</v>
      </c>
      <c r="BC88" s="78" t="s">
        <v>2209</v>
      </c>
      <c r="BD88" s="276" t="s">
        <v>2205</v>
      </c>
      <c r="BE88" s="83" t="s">
        <v>9</v>
      </c>
      <c r="BF88" s="276" t="s">
        <v>1712</v>
      </c>
      <c r="BG88" s="95" t="s">
        <v>2210</v>
      </c>
      <c r="BH88" s="276"/>
      <c r="BI88" s="83" t="s">
        <v>2211</v>
      </c>
      <c r="BJ88" s="95" t="s">
        <v>2212</v>
      </c>
      <c r="BK88" s="96" t="s">
        <v>2213</v>
      </c>
      <c r="BL88" s="276" t="s">
        <v>2214</v>
      </c>
      <c r="BM88" s="275">
        <v>2008</v>
      </c>
      <c r="BN88" s="113">
        <v>27</v>
      </c>
      <c r="BO88" s="175">
        <v>19</v>
      </c>
      <c r="BP88" s="162">
        <v>12</v>
      </c>
      <c r="BQ88" s="113">
        <f t="shared" si="30"/>
        <v>-8</v>
      </c>
      <c r="BR88" s="175">
        <v>5</v>
      </c>
      <c r="BS88" s="177">
        <v>17.5</v>
      </c>
      <c r="BT88" s="174">
        <v>15</v>
      </c>
      <c r="BU88" s="174">
        <f t="shared" si="33"/>
        <v>-12</v>
      </c>
      <c r="BV88" s="174">
        <f t="shared" si="34"/>
        <v>1.5</v>
      </c>
      <c r="BW88" s="174"/>
      <c r="BX88" s="174"/>
      <c r="BY88" s="174">
        <f t="shared" si="35"/>
        <v>-27</v>
      </c>
      <c r="BZ88" s="175">
        <f t="shared" si="36"/>
        <v>3.375</v>
      </c>
      <c r="CA88" s="174"/>
      <c r="CB88" s="174"/>
      <c r="CC88" s="174">
        <f t="shared" si="37"/>
        <v>-27</v>
      </c>
      <c r="CD88" s="174">
        <f t="shared" si="38"/>
        <v>3.375</v>
      </c>
      <c r="CE88" s="174"/>
      <c r="CF88" s="174"/>
      <c r="CG88" s="174">
        <f t="shared" si="39"/>
        <v>-27</v>
      </c>
      <c r="CH88" s="174">
        <f t="shared" si="40"/>
        <v>3.375</v>
      </c>
      <c r="CI88" s="174"/>
      <c r="CJ88" s="174"/>
      <c r="CK88" s="174">
        <f t="shared" si="41"/>
        <v>-27</v>
      </c>
      <c r="CL88" s="175">
        <f t="shared" si="42"/>
        <v>3.375</v>
      </c>
      <c r="CM88" s="175"/>
      <c r="CN88" s="174"/>
      <c r="CO88" s="174"/>
      <c r="CP88" s="174"/>
      <c r="CQ88" s="174"/>
      <c r="CR88" s="40"/>
      <c r="CS88" s="24">
        <v>88</v>
      </c>
    </row>
    <row r="89" spans="1:97" ht="171" x14ac:dyDescent="0.25">
      <c r="A89" s="276">
        <v>5</v>
      </c>
      <c r="B89" s="269" t="s">
        <v>2223</v>
      </c>
      <c r="C89" s="276" t="s">
        <v>1267</v>
      </c>
      <c r="D89" s="83" t="s">
        <v>267</v>
      </c>
      <c r="E89" s="276" t="s">
        <v>273</v>
      </c>
      <c r="F89" s="83" t="s">
        <v>268</v>
      </c>
      <c r="G89" s="275">
        <v>81</v>
      </c>
      <c r="H89" s="77"/>
      <c r="I89" s="77"/>
      <c r="J89" s="77"/>
      <c r="K89" s="269" t="s">
        <v>889</v>
      </c>
      <c r="L89" s="83" t="s">
        <v>2224</v>
      </c>
      <c r="M89" s="181"/>
      <c r="N89" s="77"/>
      <c r="O89" s="83" t="s">
        <v>62</v>
      </c>
      <c r="P89" s="116">
        <v>1</v>
      </c>
      <c r="Q89" s="116">
        <v>0</v>
      </c>
      <c r="R89" s="116" t="s">
        <v>1259</v>
      </c>
      <c r="S89" s="116">
        <v>1</v>
      </c>
      <c r="T89" s="116">
        <v>0</v>
      </c>
      <c r="U89" s="116" t="s">
        <v>1259</v>
      </c>
      <c r="V89" s="116">
        <v>1</v>
      </c>
      <c r="W89" s="83">
        <v>0</v>
      </c>
      <c r="X89" s="116" t="s">
        <v>1259</v>
      </c>
      <c r="Y89" s="276">
        <v>0</v>
      </c>
      <c r="Z89" s="276">
        <v>1</v>
      </c>
      <c r="AA89" s="276" t="s">
        <v>1225</v>
      </c>
      <c r="AB89" s="77"/>
      <c r="AC89" s="275" t="s">
        <v>269</v>
      </c>
      <c r="AD89" s="83" t="s">
        <v>2225</v>
      </c>
      <c r="AE89" s="189" t="s">
        <v>2226</v>
      </c>
      <c r="AF89" s="78"/>
      <c r="AG89" s="275" t="s">
        <v>1236</v>
      </c>
      <c r="AH89" s="77"/>
      <c r="AI89" s="275">
        <v>1</v>
      </c>
      <c r="AJ89" s="83" t="str">
        <f t="shared" si="31"/>
        <v>03010811</v>
      </c>
      <c r="AK89" s="83" t="s">
        <v>2227</v>
      </c>
      <c r="AL89" s="275" t="s">
        <v>1259</v>
      </c>
      <c r="AM89" s="77"/>
      <c r="AN89" s="83" t="s">
        <v>2228</v>
      </c>
      <c r="AO89" s="78" t="s">
        <v>2229</v>
      </c>
      <c r="AP89" s="189" t="s">
        <v>2230</v>
      </c>
      <c r="AQ89" s="79"/>
      <c r="AR89" s="189" t="s">
        <v>2231</v>
      </c>
      <c r="AS89" s="276" t="s">
        <v>2232</v>
      </c>
      <c r="AT89" s="189" t="s">
        <v>2233</v>
      </c>
      <c r="AU89" s="276" t="s">
        <v>2234</v>
      </c>
      <c r="AV89" s="79" t="s">
        <v>2235</v>
      </c>
      <c r="AW89" s="276" t="s">
        <v>2236</v>
      </c>
      <c r="AX89" s="275">
        <v>1</v>
      </c>
      <c r="AY89" s="276" t="str">
        <f t="shared" si="32"/>
        <v>030108111</v>
      </c>
      <c r="AZ89" s="275" t="s">
        <v>2237</v>
      </c>
      <c r="BA89" s="189" t="s">
        <v>2238</v>
      </c>
      <c r="BB89" s="83" t="s">
        <v>2239</v>
      </c>
      <c r="BC89" s="83" t="s">
        <v>2240</v>
      </c>
      <c r="BD89" s="79" t="s">
        <v>2241</v>
      </c>
      <c r="BE89" s="83" t="s">
        <v>2242</v>
      </c>
      <c r="BF89" s="275" t="s">
        <v>9</v>
      </c>
      <c r="BG89" s="83" t="s">
        <v>2243</v>
      </c>
      <c r="BH89" s="78"/>
      <c r="BI89" s="83" t="s">
        <v>2244</v>
      </c>
      <c r="BJ89" s="83" t="s">
        <v>2185</v>
      </c>
      <c r="BK89" s="83" t="s">
        <v>2245</v>
      </c>
      <c r="BL89" s="276">
        <v>2440590</v>
      </c>
      <c r="BM89" s="275">
        <v>2011</v>
      </c>
      <c r="BN89" s="276">
        <v>160</v>
      </c>
      <c r="BO89" s="275">
        <v>80</v>
      </c>
      <c r="BP89" s="275">
        <v>70</v>
      </c>
      <c r="BQ89" s="173">
        <f t="shared" si="30"/>
        <v>-80</v>
      </c>
      <c r="BR89" s="275">
        <v>5</v>
      </c>
      <c r="BS89" s="176">
        <f>+BN89-16</f>
        <v>144</v>
      </c>
      <c r="BT89" s="176">
        <v>160</v>
      </c>
      <c r="BU89" s="174">
        <f t="shared" si="33"/>
        <v>0</v>
      </c>
      <c r="BV89" s="174">
        <f t="shared" si="34"/>
        <v>0</v>
      </c>
      <c r="BW89" s="174">
        <f>+BS89-16</f>
        <v>128</v>
      </c>
      <c r="BX89" s="174"/>
      <c r="BY89" s="174">
        <f t="shared" si="35"/>
        <v>-160</v>
      </c>
      <c r="BZ89" s="175">
        <f t="shared" si="36"/>
        <v>2</v>
      </c>
      <c r="CA89" s="174">
        <f>+BW89-16</f>
        <v>112</v>
      </c>
      <c r="CB89" s="174"/>
      <c r="CC89" s="174">
        <f t="shared" si="37"/>
        <v>-160</v>
      </c>
      <c r="CD89" s="174">
        <f t="shared" si="38"/>
        <v>2</v>
      </c>
      <c r="CE89" s="174">
        <f>+CA89-16</f>
        <v>96</v>
      </c>
      <c r="CF89" s="174"/>
      <c r="CG89" s="174">
        <f t="shared" si="39"/>
        <v>-160</v>
      </c>
      <c r="CH89" s="174">
        <f t="shared" si="40"/>
        <v>2</v>
      </c>
      <c r="CI89" s="174">
        <f>+CE89-16</f>
        <v>80</v>
      </c>
      <c r="CJ89" s="174"/>
      <c r="CK89" s="174">
        <f t="shared" si="41"/>
        <v>-160</v>
      </c>
      <c r="CL89" s="175">
        <f t="shared" si="42"/>
        <v>2</v>
      </c>
      <c r="CM89" s="275"/>
      <c r="CN89" s="275"/>
      <c r="CO89" s="275"/>
      <c r="CP89" s="275"/>
      <c r="CQ89" s="275"/>
      <c r="CR89" s="40"/>
      <c r="CS89" s="24">
        <v>89</v>
      </c>
    </row>
    <row r="90" spans="1:97" ht="171" x14ac:dyDescent="0.25">
      <c r="A90" s="276">
        <v>5</v>
      </c>
      <c r="B90" s="269" t="s">
        <v>2223</v>
      </c>
      <c r="C90" s="276" t="s">
        <v>1267</v>
      </c>
      <c r="D90" s="83" t="s">
        <v>267</v>
      </c>
      <c r="E90" s="276" t="s">
        <v>273</v>
      </c>
      <c r="F90" s="83" t="s">
        <v>268</v>
      </c>
      <c r="G90" s="275">
        <v>81</v>
      </c>
      <c r="H90" s="77"/>
      <c r="I90" s="77"/>
      <c r="J90" s="77"/>
      <c r="K90" s="269" t="s">
        <v>889</v>
      </c>
      <c r="L90" s="83" t="s">
        <v>2224</v>
      </c>
      <c r="M90" s="181"/>
      <c r="N90" s="77"/>
      <c r="O90" s="83" t="s">
        <v>62</v>
      </c>
      <c r="P90" s="116">
        <v>1</v>
      </c>
      <c r="Q90" s="116">
        <v>0</v>
      </c>
      <c r="R90" s="116" t="s">
        <v>1259</v>
      </c>
      <c r="S90" s="116">
        <v>1</v>
      </c>
      <c r="T90" s="116">
        <v>0</v>
      </c>
      <c r="U90" s="116" t="s">
        <v>1259</v>
      </c>
      <c r="V90" s="116">
        <v>1</v>
      </c>
      <c r="W90" s="83">
        <v>0</v>
      </c>
      <c r="X90" s="116" t="s">
        <v>1259</v>
      </c>
      <c r="Y90" s="276">
        <v>0</v>
      </c>
      <c r="Z90" s="276">
        <v>1</v>
      </c>
      <c r="AA90" s="276" t="s">
        <v>1225</v>
      </c>
      <c r="AB90" s="77"/>
      <c r="AC90" s="275" t="s">
        <v>269</v>
      </c>
      <c r="AD90" s="83" t="s">
        <v>2225</v>
      </c>
      <c r="AE90" s="189" t="s">
        <v>2226</v>
      </c>
      <c r="AF90" s="78"/>
      <c r="AG90" s="275" t="s">
        <v>1236</v>
      </c>
      <c r="AH90" s="77"/>
      <c r="AI90" s="275">
        <v>1</v>
      </c>
      <c r="AJ90" s="83" t="str">
        <f t="shared" si="31"/>
        <v>03010811</v>
      </c>
      <c r="AK90" s="83" t="s">
        <v>2227</v>
      </c>
      <c r="AL90" s="275" t="s">
        <v>1259</v>
      </c>
      <c r="AM90" s="77"/>
      <c r="AN90" s="83" t="s">
        <v>2228</v>
      </c>
      <c r="AO90" s="78" t="s">
        <v>2229</v>
      </c>
      <c r="AP90" s="276" t="s">
        <v>2230</v>
      </c>
      <c r="AQ90" s="79"/>
      <c r="AR90" s="276" t="s">
        <v>2231</v>
      </c>
      <c r="AS90" s="276" t="s">
        <v>2232</v>
      </c>
      <c r="AT90" s="276" t="s">
        <v>2233</v>
      </c>
      <c r="AU90" s="276" t="s">
        <v>2234</v>
      </c>
      <c r="AV90" s="79" t="s">
        <v>2235</v>
      </c>
      <c r="AW90" s="276" t="s">
        <v>2236</v>
      </c>
      <c r="AX90" s="275">
        <v>2</v>
      </c>
      <c r="AY90" s="276" t="str">
        <f t="shared" si="32"/>
        <v>030108112</v>
      </c>
      <c r="AZ90" s="275" t="s">
        <v>2246</v>
      </c>
      <c r="BA90" s="276" t="s">
        <v>2247</v>
      </c>
      <c r="BB90" s="276" t="s">
        <v>2248</v>
      </c>
      <c r="BC90" s="276" t="s">
        <v>11</v>
      </c>
      <c r="BD90" s="275" t="s">
        <v>2249</v>
      </c>
      <c r="BE90" s="276" t="s">
        <v>9</v>
      </c>
      <c r="BF90" s="275" t="s">
        <v>9</v>
      </c>
      <c r="BG90" s="83"/>
      <c r="BH90" s="78"/>
      <c r="BI90" s="83" t="s">
        <v>12</v>
      </c>
      <c r="BJ90" s="83" t="s">
        <v>2250</v>
      </c>
      <c r="BK90" s="83"/>
      <c r="BL90" s="276">
        <v>2222333</v>
      </c>
      <c r="BM90" s="275"/>
      <c r="BN90" s="276"/>
      <c r="BO90" s="275"/>
      <c r="BP90" s="275"/>
      <c r="BQ90" s="173"/>
      <c r="BR90" s="275"/>
      <c r="BS90" s="176"/>
      <c r="BT90" s="176"/>
      <c r="BU90" s="174">
        <f t="shared" si="33"/>
        <v>0</v>
      </c>
      <c r="BV90" s="174" t="e">
        <f t="shared" si="34"/>
        <v>#DIV/0!</v>
      </c>
      <c r="BW90" s="174"/>
      <c r="BX90" s="174"/>
      <c r="BY90" s="174">
        <f t="shared" si="35"/>
        <v>0</v>
      </c>
      <c r="BZ90" s="175" t="e">
        <f t="shared" si="36"/>
        <v>#DIV/0!</v>
      </c>
      <c r="CA90" s="174"/>
      <c r="CB90" s="174"/>
      <c r="CC90" s="174">
        <f t="shared" si="37"/>
        <v>0</v>
      </c>
      <c r="CD90" s="174" t="e">
        <f t="shared" si="38"/>
        <v>#DIV/0!</v>
      </c>
      <c r="CE90" s="174"/>
      <c r="CF90" s="174"/>
      <c r="CG90" s="174">
        <f t="shared" si="39"/>
        <v>0</v>
      </c>
      <c r="CH90" s="174" t="e">
        <f t="shared" si="40"/>
        <v>#DIV/0!</v>
      </c>
      <c r="CI90" s="174"/>
      <c r="CJ90" s="174"/>
      <c r="CK90" s="174">
        <f t="shared" si="41"/>
        <v>0</v>
      </c>
      <c r="CL90" s="175" t="e">
        <f t="shared" si="42"/>
        <v>#DIV/0!</v>
      </c>
      <c r="CM90" s="275"/>
      <c r="CN90" s="275"/>
      <c r="CO90" s="275"/>
      <c r="CP90" s="275"/>
      <c r="CQ90" s="275"/>
      <c r="CR90" s="40"/>
      <c r="CS90" s="2">
        <v>90</v>
      </c>
    </row>
    <row r="91" spans="1:97" ht="114" x14ac:dyDescent="0.25">
      <c r="A91" s="276">
        <v>5</v>
      </c>
      <c r="B91" s="269" t="s">
        <v>2223</v>
      </c>
      <c r="C91" s="269" t="s">
        <v>1267</v>
      </c>
      <c r="D91" s="83" t="s">
        <v>267</v>
      </c>
      <c r="E91" s="276" t="s">
        <v>273</v>
      </c>
      <c r="F91" s="83" t="s">
        <v>268</v>
      </c>
      <c r="G91" s="275">
        <v>82</v>
      </c>
      <c r="H91" s="77"/>
      <c r="I91" s="77"/>
      <c r="J91" s="77"/>
      <c r="K91" s="269" t="s">
        <v>890</v>
      </c>
      <c r="L91" s="276" t="s">
        <v>288</v>
      </c>
      <c r="M91" s="181"/>
      <c r="N91" s="77"/>
      <c r="O91" s="83" t="s">
        <v>78</v>
      </c>
      <c r="P91" s="116">
        <v>1</v>
      </c>
      <c r="Q91" s="116">
        <v>0</v>
      </c>
      <c r="R91" s="116" t="s">
        <v>1259</v>
      </c>
      <c r="S91" s="116">
        <v>1</v>
      </c>
      <c r="T91" s="116">
        <v>0</v>
      </c>
      <c r="U91" s="116" t="s">
        <v>1259</v>
      </c>
      <c r="V91" s="116">
        <v>1</v>
      </c>
      <c r="W91" s="83">
        <v>0</v>
      </c>
      <c r="X91" s="116" t="s">
        <v>1259</v>
      </c>
      <c r="Y91" s="276">
        <v>1</v>
      </c>
      <c r="Z91" s="276">
        <v>0</v>
      </c>
      <c r="AA91" s="276" t="s">
        <v>1220</v>
      </c>
      <c r="AB91" s="77"/>
      <c r="AC91" s="275" t="s">
        <v>274</v>
      </c>
      <c r="AD91" s="83" t="s">
        <v>2225</v>
      </c>
      <c r="AE91" s="83" t="s">
        <v>2251</v>
      </c>
      <c r="AF91" s="78"/>
      <c r="AG91" s="275" t="s">
        <v>2252</v>
      </c>
      <c r="AH91" s="77"/>
      <c r="AI91" s="275">
        <v>1</v>
      </c>
      <c r="AJ91" s="83" t="str">
        <f t="shared" si="31"/>
        <v>03010821</v>
      </c>
      <c r="AK91" s="276" t="s">
        <v>2253</v>
      </c>
      <c r="AL91" s="275" t="s">
        <v>78</v>
      </c>
      <c r="AM91" s="77"/>
      <c r="AN91" s="83" t="s">
        <v>2254</v>
      </c>
      <c r="AO91" s="78" t="s">
        <v>10</v>
      </c>
      <c r="AP91" s="276" t="s">
        <v>2255</v>
      </c>
      <c r="AQ91" s="79"/>
      <c r="AR91" s="276" t="s">
        <v>2256</v>
      </c>
      <c r="AS91" s="276" t="s">
        <v>2257</v>
      </c>
      <c r="AT91" s="276" t="s">
        <v>2258</v>
      </c>
      <c r="AU91" s="276" t="s">
        <v>2257</v>
      </c>
      <c r="AV91" s="276" t="s">
        <v>2259</v>
      </c>
      <c r="AW91" s="276"/>
      <c r="AX91" s="275">
        <v>1</v>
      </c>
      <c r="AY91" s="276" t="str">
        <f t="shared" si="32"/>
        <v>030108211</v>
      </c>
      <c r="AZ91" s="275" t="s">
        <v>2260</v>
      </c>
      <c r="BA91" s="276" t="s">
        <v>2261</v>
      </c>
      <c r="BB91" s="276" t="s">
        <v>1229</v>
      </c>
      <c r="BC91" s="275" t="s">
        <v>11</v>
      </c>
      <c r="BD91" s="276" t="s">
        <v>2259</v>
      </c>
      <c r="BE91" s="276" t="s">
        <v>2242</v>
      </c>
      <c r="BF91" s="275" t="s">
        <v>9</v>
      </c>
      <c r="BG91" s="276" t="s">
        <v>2262</v>
      </c>
      <c r="BH91" s="275"/>
      <c r="BI91" s="276" t="s">
        <v>2244</v>
      </c>
      <c r="BJ91" s="276" t="s">
        <v>2185</v>
      </c>
      <c r="BK91" s="276" t="s">
        <v>2263</v>
      </c>
      <c r="BL91" s="276">
        <v>2440590</v>
      </c>
      <c r="BM91" s="275">
        <v>2015</v>
      </c>
      <c r="BN91" s="275">
        <v>87.5</v>
      </c>
      <c r="BO91" s="275">
        <v>90</v>
      </c>
      <c r="BP91" s="275">
        <v>100</v>
      </c>
      <c r="BQ91" s="173">
        <f>+BO91-BN91</f>
        <v>2.5</v>
      </c>
      <c r="BR91" s="275">
        <v>5</v>
      </c>
      <c r="BS91" s="178">
        <f>+BN91+0.5</f>
        <v>88</v>
      </c>
      <c r="BT91" s="176">
        <v>85.2</v>
      </c>
      <c r="BU91" s="174">
        <f t="shared" si="33"/>
        <v>-2.2999999999999972</v>
      </c>
      <c r="BV91" s="174">
        <f t="shared" si="34"/>
        <v>-0.91999999999999882</v>
      </c>
      <c r="BW91" s="177">
        <f>+BS91+0.5</f>
        <v>88.5</v>
      </c>
      <c r="BX91" s="174">
        <v>85.5</v>
      </c>
      <c r="BY91" s="174">
        <f t="shared" si="35"/>
        <v>-2</v>
      </c>
      <c r="BZ91" s="175">
        <f t="shared" si="36"/>
        <v>-0.8</v>
      </c>
      <c r="CA91" s="177">
        <f>+BW91+0.5</f>
        <v>89</v>
      </c>
      <c r="CB91" s="174"/>
      <c r="CC91" s="174">
        <f t="shared" si="37"/>
        <v>-87.5</v>
      </c>
      <c r="CD91" s="174">
        <f t="shared" si="38"/>
        <v>-35</v>
      </c>
      <c r="CE91" s="177">
        <f>+CA91+0.5</f>
        <v>89.5</v>
      </c>
      <c r="CF91" s="174"/>
      <c r="CG91" s="174">
        <f t="shared" si="39"/>
        <v>-87.5</v>
      </c>
      <c r="CH91" s="174">
        <f t="shared" si="40"/>
        <v>-35</v>
      </c>
      <c r="CI91" s="177">
        <f>+CE91+0.5</f>
        <v>90</v>
      </c>
      <c r="CJ91" s="174"/>
      <c r="CK91" s="174">
        <f t="shared" si="41"/>
        <v>-87.5</v>
      </c>
      <c r="CL91" s="175">
        <f t="shared" si="42"/>
        <v>-35</v>
      </c>
      <c r="CM91" s="275"/>
      <c r="CN91" s="275"/>
      <c r="CO91" s="275"/>
      <c r="CP91" s="275"/>
      <c r="CQ91" s="275"/>
      <c r="CR91" s="40"/>
      <c r="CS91" s="24">
        <v>91</v>
      </c>
    </row>
    <row r="92" spans="1:97" ht="114" x14ac:dyDescent="0.25">
      <c r="A92" s="276">
        <v>5</v>
      </c>
      <c r="B92" s="269" t="s">
        <v>2223</v>
      </c>
      <c r="C92" s="269" t="s">
        <v>1267</v>
      </c>
      <c r="D92" s="83" t="s">
        <v>267</v>
      </c>
      <c r="E92" s="276" t="s">
        <v>273</v>
      </c>
      <c r="F92" s="83" t="s">
        <v>268</v>
      </c>
      <c r="G92" s="275">
        <v>82</v>
      </c>
      <c r="H92" s="77"/>
      <c r="I92" s="77"/>
      <c r="J92" s="77"/>
      <c r="K92" s="269" t="s">
        <v>890</v>
      </c>
      <c r="L92" s="276" t="s">
        <v>288</v>
      </c>
      <c r="M92" s="181"/>
      <c r="N92" s="77"/>
      <c r="O92" s="83" t="s">
        <v>78</v>
      </c>
      <c r="P92" s="116">
        <v>1</v>
      </c>
      <c r="Q92" s="116">
        <v>0</v>
      </c>
      <c r="R92" s="116" t="s">
        <v>1259</v>
      </c>
      <c r="S92" s="116">
        <v>1</v>
      </c>
      <c r="T92" s="116">
        <v>0</v>
      </c>
      <c r="U92" s="116" t="s">
        <v>1259</v>
      </c>
      <c r="V92" s="116">
        <v>1</v>
      </c>
      <c r="W92" s="83">
        <v>0</v>
      </c>
      <c r="X92" s="116" t="s">
        <v>1259</v>
      </c>
      <c r="Y92" s="276">
        <v>1</v>
      </c>
      <c r="Z92" s="276">
        <v>0</v>
      </c>
      <c r="AA92" s="276" t="s">
        <v>1220</v>
      </c>
      <c r="AB92" s="77"/>
      <c r="AC92" s="275" t="s">
        <v>274</v>
      </c>
      <c r="AD92" s="83" t="s">
        <v>2225</v>
      </c>
      <c r="AE92" s="83" t="s">
        <v>2251</v>
      </c>
      <c r="AF92" s="78"/>
      <c r="AG92" s="275" t="s">
        <v>2252</v>
      </c>
      <c r="AH92" s="77"/>
      <c r="AI92" s="275">
        <v>1</v>
      </c>
      <c r="AJ92" s="83" t="str">
        <f t="shared" si="31"/>
        <v>03010821</v>
      </c>
      <c r="AK92" s="276" t="s">
        <v>2253</v>
      </c>
      <c r="AL92" s="275" t="s">
        <v>78</v>
      </c>
      <c r="AM92" s="77"/>
      <c r="AN92" s="83" t="s">
        <v>2254</v>
      </c>
      <c r="AO92" s="78" t="s">
        <v>10</v>
      </c>
      <c r="AP92" s="276" t="s">
        <v>2255</v>
      </c>
      <c r="AQ92" s="79"/>
      <c r="AR92" s="276" t="s">
        <v>2256</v>
      </c>
      <c r="AS92" s="276" t="s">
        <v>2257</v>
      </c>
      <c r="AT92" s="276" t="s">
        <v>2258</v>
      </c>
      <c r="AU92" s="276" t="s">
        <v>2264</v>
      </c>
      <c r="AV92" s="276" t="s">
        <v>2259</v>
      </c>
      <c r="AW92" s="276"/>
      <c r="AX92" s="275">
        <v>2</v>
      </c>
      <c r="AY92" s="276" t="str">
        <f t="shared" si="32"/>
        <v>030108212</v>
      </c>
      <c r="AZ92" s="275" t="s">
        <v>2265</v>
      </c>
      <c r="BA92" s="276" t="s">
        <v>2266</v>
      </c>
      <c r="BB92" s="276" t="s">
        <v>2248</v>
      </c>
      <c r="BC92" s="275" t="s">
        <v>11</v>
      </c>
      <c r="BD92" s="275" t="s">
        <v>2249</v>
      </c>
      <c r="BE92" s="276" t="s">
        <v>9</v>
      </c>
      <c r="BF92" s="275" t="s">
        <v>9</v>
      </c>
      <c r="BG92" s="276"/>
      <c r="BH92" s="275"/>
      <c r="BI92" s="83" t="s">
        <v>12</v>
      </c>
      <c r="BJ92" s="83" t="s">
        <v>2250</v>
      </c>
      <c r="BK92" s="83"/>
      <c r="BL92" s="276">
        <v>2222333</v>
      </c>
      <c r="BM92" s="275"/>
      <c r="BN92" s="275"/>
      <c r="BO92" s="275"/>
      <c r="BP92" s="275"/>
      <c r="BQ92" s="173"/>
      <c r="BR92" s="275"/>
      <c r="BS92" s="178"/>
      <c r="BT92" s="176"/>
      <c r="BU92" s="174">
        <f t="shared" si="33"/>
        <v>0</v>
      </c>
      <c r="BV92" s="174" t="e">
        <f t="shared" si="34"/>
        <v>#DIV/0!</v>
      </c>
      <c r="BW92" s="177"/>
      <c r="BX92" s="174"/>
      <c r="BY92" s="174">
        <f t="shared" si="35"/>
        <v>0</v>
      </c>
      <c r="BZ92" s="175" t="e">
        <f t="shared" si="36"/>
        <v>#DIV/0!</v>
      </c>
      <c r="CA92" s="177"/>
      <c r="CB92" s="174"/>
      <c r="CC92" s="174">
        <f t="shared" si="37"/>
        <v>0</v>
      </c>
      <c r="CD92" s="174" t="e">
        <f t="shared" si="38"/>
        <v>#DIV/0!</v>
      </c>
      <c r="CE92" s="177"/>
      <c r="CF92" s="174"/>
      <c r="CG92" s="174">
        <f t="shared" si="39"/>
        <v>0</v>
      </c>
      <c r="CH92" s="174" t="e">
        <f t="shared" si="40"/>
        <v>#DIV/0!</v>
      </c>
      <c r="CI92" s="177"/>
      <c r="CJ92" s="174"/>
      <c r="CK92" s="174">
        <f t="shared" si="41"/>
        <v>0</v>
      </c>
      <c r="CL92" s="175" t="e">
        <f t="shared" si="42"/>
        <v>#DIV/0!</v>
      </c>
      <c r="CM92" s="275"/>
      <c r="CN92" s="275"/>
      <c r="CO92" s="275"/>
      <c r="CP92" s="275"/>
      <c r="CQ92" s="275"/>
      <c r="CR92" s="40"/>
      <c r="CS92" s="24">
        <v>92</v>
      </c>
    </row>
    <row r="93" spans="1:97" ht="157.5" x14ac:dyDescent="0.25">
      <c r="A93" s="276">
        <v>5</v>
      </c>
      <c r="B93" s="269" t="s">
        <v>2223</v>
      </c>
      <c r="C93" s="269" t="s">
        <v>1267</v>
      </c>
      <c r="D93" s="189" t="s">
        <v>267</v>
      </c>
      <c r="E93" s="276" t="s">
        <v>273</v>
      </c>
      <c r="F93" s="189" t="s">
        <v>268</v>
      </c>
      <c r="G93" s="275">
        <v>83</v>
      </c>
      <c r="H93" s="269" t="s">
        <v>891</v>
      </c>
      <c r="I93" s="276" t="s">
        <v>2267</v>
      </c>
      <c r="J93" s="189" t="s">
        <v>137</v>
      </c>
      <c r="K93" s="269" t="s">
        <v>891</v>
      </c>
      <c r="L93" s="276" t="s">
        <v>2267</v>
      </c>
      <c r="M93" s="276" t="s">
        <v>1220</v>
      </c>
      <c r="N93" s="275">
        <v>1</v>
      </c>
      <c r="O93" s="189" t="s">
        <v>62</v>
      </c>
      <c r="P93" s="276" t="s">
        <v>2267</v>
      </c>
      <c r="Q93" s="189" t="s">
        <v>137</v>
      </c>
      <c r="R93" s="276">
        <v>1</v>
      </c>
      <c r="S93" s="276">
        <v>0</v>
      </c>
      <c r="T93" s="276" t="s">
        <v>1220</v>
      </c>
      <c r="U93" s="275">
        <v>1</v>
      </c>
      <c r="V93" s="269" t="s">
        <v>891</v>
      </c>
      <c r="W93" s="276" t="s">
        <v>2267</v>
      </c>
      <c r="X93" s="189" t="s">
        <v>137</v>
      </c>
      <c r="Y93" s="276">
        <v>1</v>
      </c>
      <c r="Z93" s="276">
        <v>0</v>
      </c>
      <c r="AA93" s="276" t="s">
        <v>1220</v>
      </c>
      <c r="AB93" s="275" t="s">
        <v>2268</v>
      </c>
      <c r="AC93" s="276" t="s">
        <v>2269</v>
      </c>
      <c r="AD93" s="116" t="s">
        <v>2270</v>
      </c>
      <c r="AE93" s="83" t="s">
        <v>1298</v>
      </c>
      <c r="AF93" s="276" t="s">
        <v>2172</v>
      </c>
      <c r="AG93" s="276" t="s">
        <v>1236</v>
      </c>
      <c r="AH93" s="276" t="s">
        <v>2271</v>
      </c>
      <c r="AI93" s="275">
        <v>1</v>
      </c>
      <c r="AJ93" s="83" t="str">
        <f t="shared" si="31"/>
        <v>03010831</v>
      </c>
      <c r="AK93" s="276" t="s">
        <v>2272</v>
      </c>
      <c r="AL93" s="276" t="s">
        <v>1259</v>
      </c>
      <c r="AM93" s="77">
        <v>1989</v>
      </c>
      <c r="AN93" s="189" t="s">
        <v>2273</v>
      </c>
      <c r="AO93" s="275" t="s">
        <v>10</v>
      </c>
      <c r="AP93" s="276" t="s">
        <v>2274</v>
      </c>
      <c r="AQ93" s="117"/>
      <c r="AR93" s="276" t="s">
        <v>2275</v>
      </c>
      <c r="AS93" s="276" t="s">
        <v>2203</v>
      </c>
      <c r="AT93" s="189" t="s">
        <v>2276</v>
      </c>
      <c r="AU93" s="276" t="s">
        <v>2203</v>
      </c>
      <c r="AV93" s="276" t="s">
        <v>2205</v>
      </c>
      <c r="AW93" s="276"/>
      <c r="AX93" s="275">
        <v>1</v>
      </c>
      <c r="AY93" s="276" t="str">
        <f t="shared" si="32"/>
        <v>030108311</v>
      </c>
      <c r="AZ93" s="276" t="s">
        <v>2207</v>
      </c>
      <c r="BA93" s="83" t="s">
        <v>2208</v>
      </c>
      <c r="BB93" s="78" t="s">
        <v>1514</v>
      </c>
      <c r="BC93" s="78" t="s">
        <v>2209</v>
      </c>
      <c r="BD93" s="276" t="s">
        <v>2205</v>
      </c>
      <c r="BE93" s="83" t="s">
        <v>9</v>
      </c>
      <c r="BF93" s="276" t="s">
        <v>1712</v>
      </c>
      <c r="BG93" s="95" t="s">
        <v>2210</v>
      </c>
      <c r="BH93" s="78"/>
      <c r="BI93" s="83" t="s">
        <v>2211</v>
      </c>
      <c r="BJ93" s="95" t="s">
        <v>2212</v>
      </c>
      <c r="BK93" s="276" t="s">
        <v>2277</v>
      </c>
      <c r="BL93" s="276" t="s">
        <v>2214</v>
      </c>
      <c r="BM93" s="276">
        <v>2008</v>
      </c>
      <c r="BN93" s="276">
        <v>17.899999999999999</v>
      </c>
      <c r="BO93" s="275">
        <v>14</v>
      </c>
      <c r="BP93" s="275">
        <v>10</v>
      </c>
      <c r="BQ93" s="275">
        <f>+BN93-BO93</f>
        <v>3.8999999999999986</v>
      </c>
      <c r="BR93" s="78">
        <v>5</v>
      </c>
      <c r="BS93" s="174"/>
      <c r="BT93" s="177">
        <v>14.1</v>
      </c>
      <c r="BU93" s="174">
        <f t="shared" si="33"/>
        <v>-3.7999999999999989</v>
      </c>
      <c r="BV93" s="174">
        <f t="shared" si="34"/>
        <v>-0.97435897435897445</v>
      </c>
      <c r="BW93" s="174"/>
      <c r="BX93" s="174"/>
      <c r="BY93" s="174">
        <f t="shared" si="35"/>
        <v>-17.899999999999999</v>
      </c>
      <c r="BZ93" s="175">
        <f t="shared" si="36"/>
        <v>-4.5897435897435912</v>
      </c>
      <c r="CA93" s="174"/>
      <c r="CB93" s="174"/>
      <c r="CC93" s="174">
        <f t="shared" si="37"/>
        <v>-17.899999999999999</v>
      </c>
      <c r="CD93" s="174">
        <f t="shared" si="38"/>
        <v>-4.5897435897435912</v>
      </c>
      <c r="CE93" s="174"/>
      <c r="CF93" s="174"/>
      <c r="CG93" s="174">
        <f t="shared" si="39"/>
        <v>-17.899999999999999</v>
      </c>
      <c r="CH93" s="174">
        <f t="shared" si="40"/>
        <v>-4.5897435897435912</v>
      </c>
      <c r="CI93" s="174"/>
      <c r="CJ93" s="174"/>
      <c r="CK93" s="174">
        <f t="shared" si="41"/>
        <v>-17.899999999999999</v>
      </c>
      <c r="CL93" s="175">
        <f t="shared" si="42"/>
        <v>-4.5897435897435912</v>
      </c>
      <c r="CM93" s="89"/>
      <c r="CN93" s="188"/>
      <c r="CO93" s="188"/>
      <c r="CP93" s="188"/>
      <c r="CQ93" s="188"/>
      <c r="CR93" s="40"/>
      <c r="CS93" s="2">
        <v>93</v>
      </c>
    </row>
    <row r="94" spans="1:97" ht="99.75" x14ac:dyDescent="0.25">
      <c r="A94" s="276">
        <v>5</v>
      </c>
      <c r="B94" s="269" t="s">
        <v>2223</v>
      </c>
      <c r="C94" s="269" t="s">
        <v>1267</v>
      </c>
      <c r="D94" s="83" t="s">
        <v>267</v>
      </c>
      <c r="E94" s="276" t="s">
        <v>273</v>
      </c>
      <c r="F94" s="83" t="s">
        <v>268</v>
      </c>
      <c r="G94" s="275">
        <v>84</v>
      </c>
      <c r="H94" s="77"/>
      <c r="I94" s="77"/>
      <c r="J94" s="77"/>
      <c r="K94" s="269" t="s">
        <v>892</v>
      </c>
      <c r="L94" s="276" t="s">
        <v>290</v>
      </c>
      <c r="M94" s="181"/>
      <c r="N94" s="77"/>
      <c r="O94" s="275" t="s">
        <v>62</v>
      </c>
      <c r="P94" s="77"/>
      <c r="Q94" s="77"/>
      <c r="R94" s="77"/>
      <c r="S94" s="77"/>
      <c r="T94" s="77"/>
      <c r="U94" s="77"/>
      <c r="V94" s="77"/>
      <c r="W94" s="78"/>
      <c r="X94" s="77"/>
      <c r="Y94" s="275">
        <v>0</v>
      </c>
      <c r="Z94" s="275">
        <v>1</v>
      </c>
      <c r="AA94" s="275" t="s">
        <v>1225</v>
      </c>
      <c r="AB94" s="77"/>
      <c r="AC94" s="181"/>
      <c r="AD94" s="77"/>
      <c r="AE94" s="77"/>
      <c r="AF94" s="276" t="s">
        <v>2278</v>
      </c>
      <c r="AG94" s="275" t="s">
        <v>1364</v>
      </c>
      <c r="AH94" s="77"/>
      <c r="AI94" s="275">
        <v>1</v>
      </c>
      <c r="AJ94" s="83" t="str">
        <f t="shared" si="31"/>
        <v>03010841</v>
      </c>
      <c r="AK94" s="276" t="s">
        <v>2279</v>
      </c>
      <c r="AL94" s="275" t="s">
        <v>78</v>
      </c>
      <c r="AM94" s="77"/>
      <c r="AN94" s="189" t="s">
        <v>2280</v>
      </c>
      <c r="AO94" s="275" t="s">
        <v>10</v>
      </c>
      <c r="AP94" s="189" t="s">
        <v>2281</v>
      </c>
      <c r="AQ94" s="76"/>
      <c r="AR94" s="276" t="s">
        <v>2282</v>
      </c>
      <c r="AS94" s="276" t="s">
        <v>2283</v>
      </c>
      <c r="AT94" s="276" t="s">
        <v>2284</v>
      </c>
      <c r="AU94" s="276" t="s">
        <v>2283</v>
      </c>
      <c r="AV94" s="275" t="s">
        <v>2285</v>
      </c>
      <c r="AW94" s="276" t="s">
        <v>2286</v>
      </c>
      <c r="AX94" s="275">
        <v>1</v>
      </c>
      <c r="AY94" s="276" t="str">
        <f t="shared" si="32"/>
        <v>030108411</v>
      </c>
      <c r="AZ94" s="275" t="s">
        <v>2287</v>
      </c>
      <c r="BA94" s="276" t="s">
        <v>2288</v>
      </c>
      <c r="BB94" s="276" t="s">
        <v>1229</v>
      </c>
      <c r="BC94" s="276" t="s">
        <v>1359</v>
      </c>
      <c r="BD94" s="276" t="s">
        <v>2285</v>
      </c>
      <c r="BE94" s="276" t="s">
        <v>2242</v>
      </c>
      <c r="BF94" s="276" t="s">
        <v>2242</v>
      </c>
      <c r="BG94" s="275" t="s">
        <v>2285</v>
      </c>
      <c r="BH94" s="276" t="s">
        <v>2289</v>
      </c>
      <c r="BI94" s="83" t="s">
        <v>2290</v>
      </c>
      <c r="BJ94" s="95" t="s">
        <v>2291</v>
      </c>
      <c r="BK94" s="276" t="s">
        <v>2292</v>
      </c>
      <c r="BL94" s="275">
        <v>2445740</v>
      </c>
      <c r="BM94" s="275"/>
      <c r="BN94" s="275"/>
      <c r="BO94" s="275"/>
      <c r="BP94" s="275"/>
      <c r="BQ94" s="275"/>
      <c r="BR94" s="275"/>
      <c r="BS94" s="275"/>
      <c r="BT94" s="275"/>
      <c r="BU94" s="275"/>
      <c r="BV94" s="174"/>
      <c r="BW94" s="275"/>
      <c r="BX94" s="275"/>
      <c r="BY94" s="275"/>
      <c r="BZ94" s="275"/>
      <c r="CA94" s="275"/>
      <c r="CB94" s="275"/>
      <c r="CC94" s="275"/>
      <c r="CD94" s="275"/>
      <c r="CE94" s="275"/>
      <c r="CF94" s="275"/>
      <c r="CG94" s="275"/>
      <c r="CH94" s="275"/>
      <c r="CI94" s="275"/>
      <c r="CJ94" s="275"/>
      <c r="CK94" s="275"/>
      <c r="CL94" s="275"/>
      <c r="CM94" s="77"/>
      <c r="CN94" s="77"/>
      <c r="CO94" s="77"/>
      <c r="CP94" s="77"/>
      <c r="CQ94" s="77"/>
      <c r="CR94" s="40"/>
      <c r="CS94" s="24">
        <v>94</v>
      </c>
    </row>
    <row r="95" spans="1:97" ht="156.75" x14ac:dyDescent="0.25">
      <c r="A95" s="276">
        <v>5</v>
      </c>
      <c r="B95" s="269" t="s">
        <v>2223</v>
      </c>
      <c r="C95" s="269" t="s">
        <v>1267</v>
      </c>
      <c r="D95" s="189" t="s">
        <v>267</v>
      </c>
      <c r="E95" s="276" t="s">
        <v>273</v>
      </c>
      <c r="F95" s="189" t="s">
        <v>268</v>
      </c>
      <c r="G95" s="275">
        <v>85</v>
      </c>
      <c r="H95" s="269" t="s">
        <v>893</v>
      </c>
      <c r="I95" s="83" t="s">
        <v>2293</v>
      </c>
      <c r="J95" s="78" t="s">
        <v>1259</v>
      </c>
      <c r="K95" s="269" t="s">
        <v>893</v>
      </c>
      <c r="L95" s="83" t="s">
        <v>2293</v>
      </c>
      <c r="M95" s="276" t="s">
        <v>1220</v>
      </c>
      <c r="N95" s="275" t="s">
        <v>2294</v>
      </c>
      <c r="O95" s="276" t="s">
        <v>1259</v>
      </c>
      <c r="P95" s="83" t="s">
        <v>2295</v>
      </c>
      <c r="Q95" s="78"/>
      <c r="R95" s="275" t="s">
        <v>1236</v>
      </c>
      <c r="S95" s="275"/>
      <c r="T95" s="78"/>
      <c r="U95" s="78" t="s">
        <v>2296</v>
      </c>
      <c r="V95" s="78" t="s">
        <v>1259</v>
      </c>
      <c r="W95" s="83" t="s">
        <v>2297</v>
      </c>
      <c r="X95" s="78" t="s">
        <v>2298</v>
      </c>
      <c r="Y95" s="276">
        <v>1</v>
      </c>
      <c r="Z95" s="276">
        <v>0</v>
      </c>
      <c r="AA95" s="276" t="s">
        <v>1220</v>
      </c>
      <c r="AB95" s="79" t="s">
        <v>2299</v>
      </c>
      <c r="AC95" s="275" t="s">
        <v>307</v>
      </c>
      <c r="AD95" s="83" t="s">
        <v>2300</v>
      </c>
      <c r="AE95" s="83" t="s">
        <v>2295</v>
      </c>
      <c r="AF95" s="78"/>
      <c r="AG95" s="275" t="s">
        <v>1235</v>
      </c>
      <c r="AH95" s="83" t="s">
        <v>2301</v>
      </c>
      <c r="AI95" s="275">
        <v>1</v>
      </c>
      <c r="AJ95" s="83" t="str">
        <f t="shared" si="31"/>
        <v>03010851</v>
      </c>
      <c r="AK95" s="78" t="s">
        <v>2296</v>
      </c>
      <c r="AL95" s="275" t="s">
        <v>1259</v>
      </c>
      <c r="AM95" s="78">
        <v>1990</v>
      </c>
      <c r="AN95" s="189" t="s">
        <v>2273</v>
      </c>
      <c r="AO95" s="276" t="s">
        <v>2302</v>
      </c>
      <c r="AP95" s="189" t="s">
        <v>2303</v>
      </c>
      <c r="AQ95" s="117"/>
      <c r="AR95" s="83" t="s">
        <v>2304</v>
      </c>
      <c r="AS95" s="276" t="s">
        <v>2305</v>
      </c>
      <c r="AT95" s="189" t="s">
        <v>2306</v>
      </c>
      <c r="AU95" s="276" t="s">
        <v>2307</v>
      </c>
      <c r="AV95" s="189" t="s">
        <v>2308</v>
      </c>
      <c r="AW95" s="78"/>
      <c r="AX95" s="275">
        <v>1</v>
      </c>
      <c r="AY95" s="276" t="str">
        <f t="shared" si="32"/>
        <v>030108511</v>
      </c>
      <c r="AZ95" s="78" t="s">
        <v>2309</v>
      </c>
      <c r="BA95" s="83" t="s">
        <v>2310</v>
      </c>
      <c r="BB95" s="276" t="s">
        <v>1229</v>
      </c>
      <c r="BC95" s="276" t="s">
        <v>1359</v>
      </c>
      <c r="BD95" s="276" t="s">
        <v>2311</v>
      </c>
      <c r="BE95" s="83" t="s">
        <v>2242</v>
      </c>
      <c r="BF95" s="275" t="s">
        <v>9</v>
      </c>
      <c r="BG95" s="189" t="s">
        <v>2312</v>
      </c>
      <c r="BH95" s="276" t="s">
        <v>2313</v>
      </c>
      <c r="BI95" s="276" t="s">
        <v>2244</v>
      </c>
      <c r="BJ95" s="83" t="s">
        <v>2185</v>
      </c>
      <c r="BK95" s="276" t="s">
        <v>2314</v>
      </c>
      <c r="BL95" s="276">
        <v>2440590</v>
      </c>
      <c r="BM95" s="275">
        <v>2015</v>
      </c>
      <c r="BN95" s="180">
        <v>0.12</v>
      </c>
      <c r="BO95" s="180">
        <v>0.11</v>
      </c>
      <c r="BP95" s="275">
        <v>0</v>
      </c>
      <c r="BQ95" s="173">
        <f>+BO95-BN95</f>
        <v>-9.999999999999995E-3</v>
      </c>
      <c r="BR95" s="275">
        <v>5</v>
      </c>
      <c r="BS95" s="180">
        <v>0.12</v>
      </c>
      <c r="BT95" s="275">
        <v>0.14000000000000001</v>
      </c>
      <c r="BU95" s="180">
        <f t="shared" ref="BU95:BU119" si="43">+BT95-BN95</f>
        <v>2.0000000000000018E-2</v>
      </c>
      <c r="BV95" s="174">
        <f t="shared" ref="BV95:BV119" si="44">+BU95/BQ95</f>
        <v>-2.0000000000000027</v>
      </c>
      <c r="BW95" s="180">
        <v>0.11</v>
      </c>
      <c r="BX95" s="180">
        <v>0.15</v>
      </c>
      <c r="BY95" s="174">
        <f t="shared" ref="BY95:BY119" si="45">+BX95-BN95</f>
        <v>0.03</v>
      </c>
      <c r="BZ95" s="180">
        <f t="shared" ref="BZ95:BZ119" si="46">+BY95/BQ95</f>
        <v>-3.0000000000000013</v>
      </c>
      <c r="CA95" s="180">
        <v>0.11</v>
      </c>
      <c r="CB95" s="179"/>
      <c r="CC95" s="173">
        <f t="shared" ref="CC95:CC119" si="47">+CB95-BN95</f>
        <v>-0.12</v>
      </c>
      <c r="CD95" s="179">
        <f t="shared" ref="CD95:CD119" si="48">+CC95/BQ95</f>
        <v>12.000000000000005</v>
      </c>
      <c r="CE95" s="180">
        <v>0.11</v>
      </c>
      <c r="CF95" s="179"/>
      <c r="CG95" s="173">
        <f t="shared" ref="CG95:CG119" si="49">+CF95-BN95</f>
        <v>-0.12</v>
      </c>
      <c r="CH95" s="179">
        <f t="shared" ref="CH95:CH119" si="50">+CG95/BQ95</f>
        <v>12.000000000000005</v>
      </c>
      <c r="CI95" s="180">
        <v>0.11</v>
      </c>
      <c r="CJ95" s="179"/>
      <c r="CK95" s="173">
        <f t="shared" ref="CK95:CK119" si="51">+CJ95-BN95</f>
        <v>-0.12</v>
      </c>
      <c r="CL95" s="179">
        <f t="shared" ref="CL95:CL119" si="52">+CK95/BQ95</f>
        <v>12.000000000000005</v>
      </c>
      <c r="CM95" s="179"/>
      <c r="CN95" s="181"/>
      <c r="CO95" s="181"/>
      <c r="CP95" s="181"/>
      <c r="CQ95" s="181"/>
      <c r="CR95" s="40"/>
      <c r="CS95" s="24">
        <v>95</v>
      </c>
    </row>
    <row r="96" spans="1:97" ht="156.75" x14ac:dyDescent="0.25">
      <c r="A96" s="276">
        <v>5</v>
      </c>
      <c r="B96" s="269" t="s">
        <v>2223</v>
      </c>
      <c r="C96" s="269" t="s">
        <v>1267</v>
      </c>
      <c r="D96" s="189" t="s">
        <v>267</v>
      </c>
      <c r="E96" s="276" t="s">
        <v>273</v>
      </c>
      <c r="F96" s="189" t="s">
        <v>268</v>
      </c>
      <c r="G96" s="275">
        <v>85</v>
      </c>
      <c r="H96" s="269" t="s">
        <v>893</v>
      </c>
      <c r="I96" s="83" t="s">
        <v>2293</v>
      </c>
      <c r="J96" s="78" t="s">
        <v>1259</v>
      </c>
      <c r="K96" s="269" t="s">
        <v>893</v>
      </c>
      <c r="L96" s="83" t="s">
        <v>2315</v>
      </c>
      <c r="M96" s="276" t="s">
        <v>1220</v>
      </c>
      <c r="N96" s="275" t="s">
        <v>2294</v>
      </c>
      <c r="O96" s="83" t="s">
        <v>1259</v>
      </c>
      <c r="P96" s="83" t="s">
        <v>2295</v>
      </c>
      <c r="Q96" s="78"/>
      <c r="R96" s="275" t="s">
        <v>1236</v>
      </c>
      <c r="S96" s="275"/>
      <c r="T96" s="78"/>
      <c r="U96" s="78" t="s">
        <v>2296</v>
      </c>
      <c r="V96" s="78" t="s">
        <v>1259</v>
      </c>
      <c r="W96" s="83" t="s">
        <v>2297</v>
      </c>
      <c r="X96" s="78" t="s">
        <v>2298</v>
      </c>
      <c r="Y96" s="276">
        <v>1</v>
      </c>
      <c r="Z96" s="276">
        <v>0</v>
      </c>
      <c r="AA96" s="276" t="s">
        <v>1220</v>
      </c>
      <c r="AB96" s="79" t="s">
        <v>2299</v>
      </c>
      <c r="AC96" s="275" t="s">
        <v>2294</v>
      </c>
      <c r="AD96" s="83" t="s">
        <v>2300</v>
      </c>
      <c r="AE96" s="83" t="s">
        <v>2295</v>
      </c>
      <c r="AF96" s="78"/>
      <c r="AG96" s="275" t="s">
        <v>1235</v>
      </c>
      <c r="AH96" s="83" t="s">
        <v>2301</v>
      </c>
      <c r="AI96" s="275">
        <v>1</v>
      </c>
      <c r="AJ96" s="83" t="str">
        <f t="shared" si="31"/>
        <v>03010851</v>
      </c>
      <c r="AK96" s="78" t="s">
        <v>2296</v>
      </c>
      <c r="AL96" s="275" t="s">
        <v>1259</v>
      </c>
      <c r="AM96" s="78">
        <v>1990</v>
      </c>
      <c r="AN96" s="189" t="s">
        <v>2273</v>
      </c>
      <c r="AO96" s="276" t="s">
        <v>2302</v>
      </c>
      <c r="AP96" s="189" t="s">
        <v>2303</v>
      </c>
      <c r="AQ96" s="117"/>
      <c r="AR96" s="83" t="s">
        <v>2304</v>
      </c>
      <c r="AS96" s="276" t="s">
        <v>2305</v>
      </c>
      <c r="AT96" s="189" t="s">
        <v>2306</v>
      </c>
      <c r="AU96" s="276" t="s">
        <v>2307</v>
      </c>
      <c r="AV96" s="189" t="s">
        <v>2308</v>
      </c>
      <c r="AW96" s="78"/>
      <c r="AX96" s="275">
        <v>2</v>
      </c>
      <c r="AY96" s="276" t="str">
        <f t="shared" si="32"/>
        <v>030108512</v>
      </c>
      <c r="AZ96" s="78" t="s">
        <v>2316</v>
      </c>
      <c r="BA96" s="83" t="s">
        <v>2317</v>
      </c>
      <c r="BB96" s="276" t="s">
        <v>2248</v>
      </c>
      <c r="BC96" s="276" t="s">
        <v>11</v>
      </c>
      <c r="BD96" s="276" t="s">
        <v>2318</v>
      </c>
      <c r="BE96" s="83" t="s">
        <v>2242</v>
      </c>
      <c r="BF96" s="276" t="s">
        <v>2242</v>
      </c>
      <c r="BG96" s="189" t="s">
        <v>2319</v>
      </c>
      <c r="BH96" s="276" t="s">
        <v>2320</v>
      </c>
      <c r="BI96" s="276" t="s">
        <v>12</v>
      </c>
      <c r="BJ96" s="83" t="s">
        <v>2321</v>
      </c>
      <c r="BK96" s="83" t="s">
        <v>2322</v>
      </c>
      <c r="BL96" s="276">
        <v>2222333</v>
      </c>
      <c r="BM96" s="275"/>
      <c r="BN96" s="180"/>
      <c r="BO96" s="180"/>
      <c r="BP96" s="275"/>
      <c r="BQ96" s="173"/>
      <c r="BR96" s="275"/>
      <c r="BS96" s="180"/>
      <c r="BT96" s="275"/>
      <c r="BU96" s="180">
        <f t="shared" si="43"/>
        <v>0</v>
      </c>
      <c r="BV96" s="174" t="e">
        <f t="shared" si="44"/>
        <v>#DIV/0!</v>
      </c>
      <c r="BW96" s="180"/>
      <c r="BX96" s="180"/>
      <c r="BY96" s="174">
        <f t="shared" si="45"/>
        <v>0</v>
      </c>
      <c r="BZ96" s="180" t="e">
        <f t="shared" si="46"/>
        <v>#DIV/0!</v>
      </c>
      <c r="CA96" s="180"/>
      <c r="CB96" s="179"/>
      <c r="CC96" s="173">
        <f t="shared" si="47"/>
        <v>0</v>
      </c>
      <c r="CD96" s="179" t="e">
        <f t="shared" si="48"/>
        <v>#DIV/0!</v>
      </c>
      <c r="CE96" s="180"/>
      <c r="CF96" s="179"/>
      <c r="CG96" s="173">
        <f t="shared" si="49"/>
        <v>0</v>
      </c>
      <c r="CH96" s="179" t="e">
        <f t="shared" si="50"/>
        <v>#DIV/0!</v>
      </c>
      <c r="CI96" s="180"/>
      <c r="CJ96" s="179"/>
      <c r="CK96" s="173">
        <f t="shared" si="51"/>
        <v>0</v>
      </c>
      <c r="CL96" s="179" t="e">
        <f t="shared" si="52"/>
        <v>#DIV/0!</v>
      </c>
      <c r="CM96" s="179"/>
      <c r="CN96" s="181"/>
      <c r="CO96" s="181"/>
      <c r="CP96" s="181"/>
      <c r="CQ96" s="181"/>
      <c r="CR96" s="40"/>
      <c r="CS96" s="2">
        <v>96</v>
      </c>
    </row>
    <row r="97" spans="1:98" ht="299.25" customHeight="1" x14ac:dyDescent="0.25">
      <c r="A97" s="276">
        <v>5</v>
      </c>
      <c r="B97" s="269" t="s">
        <v>2223</v>
      </c>
      <c r="C97" s="276" t="s">
        <v>1267</v>
      </c>
      <c r="D97" s="83" t="s">
        <v>267</v>
      </c>
      <c r="E97" s="276" t="s">
        <v>273</v>
      </c>
      <c r="F97" s="83" t="s">
        <v>268</v>
      </c>
      <c r="G97" s="276">
        <v>85</v>
      </c>
      <c r="H97" s="116"/>
      <c r="I97" s="116"/>
      <c r="J97" s="116"/>
      <c r="K97" s="269" t="s">
        <v>893</v>
      </c>
      <c r="L97" s="83" t="s">
        <v>2293</v>
      </c>
      <c r="M97" s="118"/>
      <c r="N97" s="116"/>
      <c r="O97" s="83" t="s">
        <v>1259</v>
      </c>
      <c r="P97" s="116">
        <v>1</v>
      </c>
      <c r="Q97" s="116">
        <v>0</v>
      </c>
      <c r="R97" s="116" t="s">
        <v>1259</v>
      </c>
      <c r="S97" s="116">
        <v>1</v>
      </c>
      <c r="T97" s="116">
        <v>0</v>
      </c>
      <c r="U97" s="116" t="s">
        <v>1259</v>
      </c>
      <c r="V97" s="116">
        <v>1</v>
      </c>
      <c r="W97" s="83">
        <v>0</v>
      </c>
      <c r="X97" s="116" t="s">
        <v>1259</v>
      </c>
      <c r="Y97" s="276">
        <v>1</v>
      </c>
      <c r="Z97" s="276">
        <v>0</v>
      </c>
      <c r="AA97" s="276" t="s">
        <v>1220</v>
      </c>
      <c r="AB97" s="116"/>
      <c r="AC97" s="276" t="s">
        <v>309</v>
      </c>
      <c r="AD97" s="83" t="s">
        <v>2300</v>
      </c>
      <c r="AE97" s="83" t="s">
        <v>2323</v>
      </c>
      <c r="AF97" s="83"/>
      <c r="AG97" s="276" t="s">
        <v>1235</v>
      </c>
      <c r="AH97" s="116"/>
      <c r="AI97" s="275">
        <v>2</v>
      </c>
      <c r="AJ97" s="83" t="str">
        <f t="shared" si="31"/>
        <v>03010852</v>
      </c>
      <c r="AK97" s="276" t="s">
        <v>2324</v>
      </c>
      <c r="AL97" s="276" t="s">
        <v>1259</v>
      </c>
      <c r="AM97" s="116" t="s">
        <v>2297</v>
      </c>
      <c r="AN97" s="189" t="s">
        <v>2273</v>
      </c>
      <c r="AO97" s="276" t="s">
        <v>2325</v>
      </c>
      <c r="AP97" s="189" t="s">
        <v>2326</v>
      </c>
      <c r="AQ97" s="189"/>
      <c r="AR97" s="276" t="s">
        <v>2327</v>
      </c>
      <c r="AS97" s="276" t="s">
        <v>2328</v>
      </c>
      <c r="AT97" s="189" t="s">
        <v>2306</v>
      </c>
      <c r="AU97" s="276" t="s">
        <v>2307</v>
      </c>
      <c r="AV97" s="189" t="s">
        <v>1707</v>
      </c>
      <c r="AW97" s="189"/>
      <c r="AX97" s="275">
        <v>1</v>
      </c>
      <c r="AY97" s="276" t="str">
        <f t="shared" si="32"/>
        <v>030108521</v>
      </c>
      <c r="AZ97" s="276" t="s">
        <v>2329</v>
      </c>
      <c r="BA97" s="276" t="s">
        <v>2330</v>
      </c>
      <c r="BB97" s="276" t="s">
        <v>1229</v>
      </c>
      <c r="BC97" s="276" t="s">
        <v>1358</v>
      </c>
      <c r="BD97" s="276" t="s">
        <v>2331</v>
      </c>
      <c r="BE97" s="83" t="s">
        <v>2242</v>
      </c>
      <c r="BF97" s="275" t="s">
        <v>9</v>
      </c>
      <c r="BG97" s="189" t="s">
        <v>2332</v>
      </c>
      <c r="BH97" s="83"/>
      <c r="BI97" s="276" t="s">
        <v>2290</v>
      </c>
      <c r="BJ97" s="83" t="s">
        <v>2185</v>
      </c>
      <c r="BK97" s="83" t="s">
        <v>2333</v>
      </c>
      <c r="BL97" s="276">
        <v>2440590</v>
      </c>
      <c r="BM97" s="276">
        <v>2015</v>
      </c>
      <c r="BN97" s="276">
        <v>67.3</v>
      </c>
      <c r="BO97" s="276">
        <v>61.4</v>
      </c>
      <c r="BP97" s="276"/>
      <c r="BQ97" s="276">
        <f>+BO97-BN97</f>
        <v>-5.8999999999999986</v>
      </c>
      <c r="BR97" s="276">
        <v>5</v>
      </c>
      <c r="BS97" s="182">
        <f>+BN97-1.1</f>
        <v>66.2</v>
      </c>
      <c r="BT97" s="183">
        <v>69.8</v>
      </c>
      <c r="BU97" s="183">
        <f t="shared" si="43"/>
        <v>2.5</v>
      </c>
      <c r="BV97" s="174">
        <f t="shared" si="44"/>
        <v>-0.42372881355932213</v>
      </c>
      <c r="BW97" s="182">
        <f>+BS97-1.1</f>
        <v>65.100000000000009</v>
      </c>
      <c r="BX97" s="183">
        <v>67.900000000000006</v>
      </c>
      <c r="BY97" s="182">
        <f t="shared" si="45"/>
        <v>0.60000000000000853</v>
      </c>
      <c r="BZ97" s="183">
        <f t="shared" si="46"/>
        <v>-0.10169491525423875</v>
      </c>
      <c r="CA97" s="182">
        <f>+BW97-1.1</f>
        <v>64.000000000000014</v>
      </c>
      <c r="CB97" s="183"/>
      <c r="CC97" s="183">
        <f t="shared" si="47"/>
        <v>-67.3</v>
      </c>
      <c r="CD97" s="183">
        <f t="shared" si="48"/>
        <v>11.406779661016952</v>
      </c>
      <c r="CE97" s="182">
        <f>+CA97-1.1</f>
        <v>62.900000000000013</v>
      </c>
      <c r="CF97" s="183"/>
      <c r="CG97" s="183">
        <f t="shared" si="49"/>
        <v>-67.3</v>
      </c>
      <c r="CH97" s="183">
        <f t="shared" si="50"/>
        <v>11.406779661016952</v>
      </c>
      <c r="CI97" s="182">
        <f>+CE97-1.5</f>
        <v>61.400000000000013</v>
      </c>
      <c r="CJ97" s="183"/>
      <c r="CK97" s="183">
        <f t="shared" si="51"/>
        <v>-67.3</v>
      </c>
      <c r="CL97" s="183">
        <f t="shared" si="52"/>
        <v>11.406779661016952</v>
      </c>
      <c r="CM97" s="119"/>
      <c r="CN97" s="119"/>
      <c r="CO97" s="119"/>
      <c r="CP97" s="119"/>
      <c r="CQ97" s="83"/>
      <c r="CR97" s="40"/>
      <c r="CS97" s="24">
        <v>97</v>
      </c>
    </row>
    <row r="98" spans="1:98" ht="285" customHeight="1" x14ac:dyDescent="0.25">
      <c r="A98" s="276">
        <v>5</v>
      </c>
      <c r="B98" s="269" t="s">
        <v>2223</v>
      </c>
      <c r="C98" s="276" t="s">
        <v>1267</v>
      </c>
      <c r="D98" s="83" t="s">
        <v>267</v>
      </c>
      <c r="E98" s="276" t="s">
        <v>273</v>
      </c>
      <c r="F98" s="83" t="s">
        <v>268</v>
      </c>
      <c r="G98" s="276">
        <v>85</v>
      </c>
      <c r="H98" s="116"/>
      <c r="I98" s="116"/>
      <c r="J98" s="116"/>
      <c r="K98" s="269" t="s">
        <v>893</v>
      </c>
      <c r="L98" s="83" t="s">
        <v>2293</v>
      </c>
      <c r="M98" s="118"/>
      <c r="N98" s="116"/>
      <c r="O98" s="83" t="s">
        <v>1259</v>
      </c>
      <c r="P98" s="116">
        <v>1</v>
      </c>
      <c r="Q98" s="116">
        <v>0</v>
      </c>
      <c r="R98" s="116" t="s">
        <v>1259</v>
      </c>
      <c r="S98" s="116">
        <v>1</v>
      </c>
      <c r="T98" s="116">
        <v>0</v>
      </c>
      <c r="U98" s="116" t="s">
        <v>1259</v>
      </c>
      <c r="V98" s="116">
        <v>1</v>
      </c>
      <c r="W98" s="83">
        <v>0</v>
      </c>
      <c r="X98" s="116" t="s">
        <v>1259</v>
      </c>
      <c r="Y98" s="276">
        <v>1</v>
      </c>
      <c r="Z98" s="276">
        <v>0</v>
      </c>
      <c r="AA98" s="276" t="s">
        <v>1220</v>
      </c>
      <c r="AB98" s="116"/>
      <c r="AC98" s="276" t="s">
        <v>309</v>
      </c>
      <c r="AD98" s="83" t="s">
        <v>2300</v>
      </c>
      <c r="AE98" s="83" t="s">
        <v>2323</v>
      </c>
      <c r="AF98" s="83"/>
      <c r="AG98" s="276" t="s">
        <v>1235</v>
      </c>
      <c r="AH98" s="116"/>
      <c r="AI98" s="275">
        <v>2</v>
      </c>
      <c r="AJ98" s="83" t="str">
        <f t="shared" si="31"/>
        <v>03010852</v>
      </c>
      <c r="AK98" s="276" t="s">
        <v>2324</v>
      </c>
      <c r="AL98" s="276" t="s">
        <v>1259</v>
      </c>
      <c r="AM98" s="116" t="s">
        <v>2297</v>
      </c>
      <c r="AN98" s="189" t="s">
        <v>2273</v>
      </c>
      <c r="AO98" s="276" t="s">
        <v>2325</v>
      </c>
      <c r="AP98" s="189" t="s">
        <v>2326</v>
      </c>
      <c r="AQ98" s="189"/>
      <c r="AR98" s="276" t="s">
        <v>2327</v>
      </c>
      <c r="AS98" s="276" t="s">
        <v>2328</v>
      </c>
      <c r="AT98" s="189" t="s">
        <v>2306</v>
      </c>
      <c r="AU98" s="276" t="s">
        <v>2307</v>
      </c>
      <c r="AV98" s="189" t="s">
        <v>1707</v>
      </c>
      <c r="AW98" s="189"/>
      <c r="AX98" s="275">
        <v>2</v>
      </c>
      <c r="AY98" s="276" t="str">
        <f t="shared" si="32"/>
        <v>030108522</v>
      </c>
      <c r="AZ98" s="78" t="s">
        <v>2316</v>
      </c>
      <c r="BA98" s="83" t="s">
        <v>2317</v>
      </c>
      <c r="BB98" s="276" t="s">
        <v>2248</v>
      </c>
      <c r="BC98" s="276" t="s">
        <v>11</v>
      </c>
      <c r="BD98" s="276" t="s">
        <v>2318</v>
      </c>
      <c r="BE98" s="83" t="s">
        <v>2242</v>
      </c>
      <c r="BF98" s="276" t="s">
        <v>2242</v>
      </c>
      <c r="BG98" s="189" t="s">
        <v>2319</v>
      </c>
      <c r="BH98" s="276" t="s">
        <v>2320</v>
      </c>
      <c r="BI98" s="276" t="s">
        <v>12</v>
      </c>
      <c r="BJ98" s="83" t="s">
        <v>2321</v>
      </c>
      <c r="BK98" s="83" t="s">
        <v>2322</v>
      </c>
      <c r="BL98" s="276">
        <v>2222333</v>
      </c>
      <c r="BM98" s="276"/>
      <c r="BN98" s="276"/>
      <c r="BO98" s="276"/>
      <c r="BP98" s="276"/>
      <c r="BQ98" s="276"/>
      <c r="BR98" s="276"/>
      <c r="BS98" s="182"/>
      <c r="BT98" s="183"/>
      <c r="BU98" s="183">
        <f t="shared" si="43"/>
        <v>0</v>
      </c>
      <c r="BV98" s="174" t="e">
        <f t="shared" si="44"/>
        <v>#DIV/0!</v>
      </c>
      <c r="BW98" s="182"/>
      <c r="BX98" s="183"/>
      <c r="BY98" s="182">
        <f t="shared" si="45"/>
        <v>0</v>
      </c>
      <c r="BZ98" s="183" t="e">
        <f t="shared" si="46"/>
        <v>#DIV/0!</v>
      </c>
      <c r="CA98" s="182"/>
      <c r="CB98" s="183"/>
      <c r="CC98" s="183">
        <f t="shared" si="47"/>
        <v>0</v>
      </c>
      <c r="CD98" s="183" t="e">
        <f t="shared" si="48"/>
        <v>#DIV/0!</v>
      </c>
      <c r="CE98" s="182"/>
      <c r="CF98" s="183"/>
      <c r="CG98" s="183">
        <f t="shared" si="49"/>
        <v>0</v>
      </c>
      <c r="CH98" s="183" t="e">
        <f t="shared" si="50"/>
        <v>#DIV/0!</v>
      </c>
      <c r="CI98" s="182"/>
      <c r="CJ98" s="183"/>
      <c r="CK98" s="183">
        <f t="shared" si="51"/>
        <v>0</v>
      </c>
      <c r="CL98" s="183" t="e">
        <f t="shared" si="52"/>
        <v>#DIV/0!</v>
      </c>
      <c r="CM98" s="83"/>
      <c r="CN98" s="83"/>
      <c r="CO98" s="83"/>
      <c r="CP98" s="83"/>
      <c r="CQ98" s="83"/>
      <c r="CR98" s="40"/>
      <c r="CS98" s="24">
        <v>98</v>
      </c>
    </row>
    <row r="99" spans="1:98" ht="156.75" x14ac:dyDescent="0.25">
      <c r="A99" s="276">
        <v>5</v>
      </c>
      <c r="B99" s="269" t="s">
        <v>2223</v>
      </c>
      <c r="C99" s="276" t="s">
        <v>1267</v>
      </c>
      <c r="D99" s="83" t="s">
        <v>267</v>
      </c>
      <c r="E99" s="276" t="s">
        <v>273</v>
      </c>
      <c r="F99" s="83" t="s">
        <v>268</v>
      </c>
      <c r="G99" s="276">
        <v>85</v>
      </c>
      <c r="H99" s="116"/>
      <c r="I99" s="116"/>
      <c r="J99" s="116"/>
      <c r="K99" s="269" t="s">
        <v>893</v>
      </c>
      <c r="L99" s="83" t="s">
        <v>2315</v>
      </c>
      <c r="M99" s="118"/>
      <c r="N99" s="116"/>
      <c r="O99" s="83" t="s">
        <v>1259</v>
      </c>
      <c r="P99" s="116">
        <v>1</v>
      </c>
      <c r="Q99" s="116">
        <v>0</v>
      </c>
      <c r="R99" s="116" t="s">
        <v>1259</v>
      </c>
      <c r="S99" s="116">
        <v>1</v>
      </c>
      <c r="T99" s="116">
        <v>0</v>
      </c>
      <c r="U99" s="116" t="s">
        <v>1259</v>
      </c>
      <c r="V99" s="116">
        <v>1</v>
      </c>
      <c r="W99" s="83">
        <v>0</v>
      </c>
      <c r="X99" s="116" t="s">
        <v>1259</v>
      </c>
      <c r="Y99" s="276">
        <v>1</v>
      </c>
      <c r="Z99" s="276">
        <v>0</v>
      </c>
      <c r="AA99" s="276" t="s">
        <v>1220</v>
      </c>
      <c r="AB99" s="116"/>
      <c r="AC99" s="276" t="s">
        <v>311</v>
      </c>
      <c r="AD99" s="83" t="s">
        <v>2300</v>
      </c>
      <c r="AE99" s="83" t="s">
        <v>2334</v>
      </c>
      <c r="AF99" s="83"/>
      <c r="AG99" s="276" t="s">
        <v>1235</v>
      </c>
      <c r="AH99" s="116"/>
      <c r="AI99" s="275">
        <v>3</v>
      </c>
      <c r="AJ99" s="83" t="str">
        <f t="shared" si="31"/>
        <v>03010853</v>
      </c>
      <c r="AK99" s="83" t="s">
        <v>2335</v>
      </c>
      <c r="AL99" s="276" t="s">
        <v>1259</v>
      </c>
      <c r="AM99" s="116" t="s">
        <v>2297</v>
      </c>
      <c r="AN99" s="189" t="s">
        <v>2273</v>
      </c>
      <c r="AO99" s="276" t="s">
        <v>2336</v>
      </c>
      <c r="AP99" s="189" t="s">
        <v>2337</v>
      </c>
      <c r="AQ99" s="189"/>
      <c r="AR99" s="276" t="s">
        <v>2338</v>
      </c>
      <c r="AS99" s="276" t="s">
        <v>2339</v>
      </c>
      <c r="AT99" s="189" t="s">
        <v>2340</v>
      </c>
      <c r="AU99" s="276" t="s">
        <v>2339</v>
      </c>
      <c r="AV99" s="189" t="s">
        <v>2259</v>
      </c>
      <c r="AW99" s="189"/>
      <c r="AX99" s="275">
        <v>1</v>
      </c>
      <c r="AY99" s="276" t="str">
        <f t="shared" si="32"/>
        <v>030108531</v>
      </c>
      <c r="AZ99" s="83" t="s">
        <v>2341</v>
      </c>
      <c r="BA99" s="83" t="s">
        <v>2342</v>
      </c>
      <c r="BB99" s="83" t="s">
        <v>1229</v>
      </c>
      <c r="BC99" s="83" t="s">
        <v>1358</v>
      </c>
      <c r="BD99" s="189" t="s">
        <v>2343</v>
      </c>
      <c r="BE99" s="83" t="s">
        <v>2242</v>
      </c>
      <c r="BF99" s="83" t="s">
        <v>2242</v>
      </c>
      <c r="BG99" s="83" t="s">
        <v>2344</v>
      </c>
      <c r="BH99" s="77"/>
      <c r="BI99" s="276" t="s">
        <v>2244</v>
      </c>
      <c r="BJ99" s="83" t="s">
        <v>2185</v>
      </c>
      <c r="BK99" s="83" t="s">
        <v>2345</v>
      </c>
      <c r="BL99" s="276">
        <v>2445782</v>
      </c>
      <c r="BM99" s="276">
        <v>2015</v>
      </c>
      <c r="BN99" s="276">
        <v>1.52</v>
      </c>
      <c r="BO99" s="120">
        <v>2</v>
      </c>
      <c r="BP99" s="120">
        <v>2</v>
      </c>
      <c r="BQ99" s="97">
        <f>+BO99-BN99</f>
        <v>0.48</v>
      </c>
      <c r="BR99" s="276">
        <v>5</v>
      </c>
      <c r="BS99" s="120">
        <v>2</v>
      </c>
      <c r="BT99" s="97">
        <v>1.22</v>
      </c>
      <c r="BU99" s="121">
        <f t="shared" si="43"/>
        <v>-0.30000000000000004</v>
      </c>
      <c r="BV99" s="121">
        <f t="shared" si="44"/>
        <v>-0.62500000000000011</v>
      </c>
      <c r="BW99" s="120">
        <v>2</v>
      </c>
      <c r="BX99" s="97">
        <v>0.97</v>
      </c>
      <c r="BY99" s="121">
        <f t="shared" si="45"/>
        <v>-0.55000000000000004</v>
      </c>
      <c r="BZ99" s="175">
        <f t="shared" si="46"/>
        <v>-1.1458333333333335</v>
      </c>
      <c r="CA99" s="120">
        <v>2</v>
      </c>
      <c r="CB99" s="121"/>
      <c r="CC99" s="121">
        <f t="shared" si="47"/>
        <v>-1.52</v>
      </c>
      <c r="CD99" s="121">
        <f t="shared" si="48"/>
        <v>-3.166666666666667</v>
      </c>
      <c r="CE99" s="120">
        <v>2</v>
      </c>
      <c r="CF99" s="121"/>
      <c r="CG99" s="121">
        <f t="shared" si="49"/>
        <v>-1.52</v>
      </c>
      <c r="CH99" s="121">
        <f t="shared" si="50"/>
        <v>-3.166666666666667</v>
      </c>
      <c r="CI99" s="120">
        <v>2</v>
      </c>
      <c r="CJ99" s="121"/>
      <c r="CK99" s="121">
        <f t="shared" si="51"/>
        <v>-1.52</v>
      </c>
      <c r="CL99" s="121">
        <f t="shared" si="52"/>
        <v>-3.166666666666667</v>
      </c>
      <c r="CM99" s="121"/>
      <c r="CN99" s="121"/>
      <c r="CO99" s="83"/>
      <c r="CP99" s="83"/>
      <c r="CQ99" s="83"/>
      <c r="CR99" s="40"/>
      <c r="CS99" s="2">
        <v>99</v>
      </c>
    </row>
    <row r="100" spans="1:98" ht="142.5" x14ac:dyDescent="0.25">
      <c r="A100" s="276">
        <v>5</v>
      </c>
      <c r="B100" s="216" t="s">
        <v>4579</v>
      </c>
      <c r="C100" s="269" t="s">
        <v>1267</v>
      </c>
      <c r="D100" s="276" t="s">
        <v>267</v>
      </c>
      <c r="E100" s="276" t="s">
        <v>273</v>
      </c>
      <c r="F100" s="276" t="s">
        <v>268</v>
      </c>
      <c r="G100" s="172">
        <v>86</v>
      </c>
      <c r="H100" s="276" t="s">
        <v>292</v>
      </c>
      <c r="I100" s="276">
        <v>86</v>
      </c>
      <c r="J100" s="276" t="s">
        <v>293</v>
      </c>
      <c r="K100" s="276" t="s">
        <v>894</v>
      </c>
      <c r="L100" s="276" t="s">
        <v>294</v>
      </c>
      <c r="M100" s="276" t="s">
        <v>271</v>
      </c>
      <c r="N100" s="276" t="s">
        <v>272</v>
      </c>
      <c r="O100" s="276" t="s">
        <v>1259</v>
      </c>
      <c r="P100" s="276" t="s">
        <v>63</v>
      </c>
      <c r="Q100" s="276" t="s">
        <v>272</v>
      </c>
      <c r="R100" s="276"/>
      <c r="S100" s="276"/>
      <c r="T100" s="276" t="s">
        <v>65</v>
      </c>
      <c r="U100" s="276"/>
      <c r="V100" s="276"/>
      <c r="W100" s="275" t="s">
        <v>277</v>
      </c>
      <c r="X100" s="173" t="e">
        <f t="shared" ref="X100:X106" si="53">100/COUNTIFS(($B$4:$B$307),C100,($D$4:$D$307),E100)</f>
        <v>#DIV/0!</v>
      </c>
      <c r="Y100" s="276">
        <v>0</v>
      </c>
      <c r="Z100" s="276">
        <v>1</v>
      </c>
      <c r="AA100" s="276" t="s">
        <v>1221</v>
      </c>
      <c r="AB100" s="276">
        <v>1</v>
      </c>
      <c r="AC100" s="275" t="s">
        <v>317</v>
      </c>
      <c r="AD100" s="276" t="s">
        <v>2346</v>
      </c>
      <c r="AE100" s="276" t="s">
        <v>2347</v>
      </c>
      <c r="AF100" s="275"/>
      <c r="AG100" s="275" t="s">
        <v>1236</v>
      </c>
      <c r="AH100" s="275"/>
      <c r="AI100" s="275">
        <v>1</v>
      </c>
      <c r="AJ100" s="83" t="str">
        <f t="shared" si="31"/>
        <v>03010861</v>
      </c>
      <c r="AK100" s="276" t="s">
        <v>2348</v>
      </c>
      <c r="AL100" s="275" t="s">
        <v>1259</v>
      </c>
      <c r="AM100" s="276"/>
      <c r="AN100" s="276" t="s">
        <v>2349</v>
      </c>
      <c r="AO100" s="276" t="s">
        <v>2336</v>
      </c>
      <c r="AP100" s="276" t="s">
        <v>2350</v>
      </c>
      <c r="AQ100" s="275"/>
      <c r="AR100" s="276" t="s">
        <v>2351</v>
      </c>
      <c r="AS100" s="276" t="s">
        <v>2352</v>
      </c>
      <c r="AT100" s="276" t="s">
        <v>2353</v>
      </c>
      <c r="AU100" s="276" t="s">
        <v>2307</v>
      </c>
      <c r="AV100" s="275" t="s">
        <v>1529</v>
      </c>
      <c r="AW100" s="276"/>
      <c r="AX100" s="275">
        <v>1</v>
      </c>
      <c r="AY100" s="276" t="str">
        <f t="shared" si="32"/>
        <v>030108611</v>
      </c>
      <c r="AZ100" s="276" t="s">
        <v>2260</v>
      </c>
      <c r="BA100" s="276" t="s">
        <v>2261</v>
      </c>
      <c r="BB100" s="276" t="s">
        <v>1392</v>
      </c>
      <c r="BC100" s="275" t="s">
        <v>11</v>
      </c>
      <c r="BD100" s="275" t="s">
        <v>1529</v>
      </c>
      <c r="BE100" s="276" t="s">
        <v>2242</v>
      </c>
      <c r="BF100" s="276" t="s">
        <v>2242</v>
      </c>
      <c r="BG100" s="276" t="s">
        <v>2354</v>
      </c>
      <c r="BH100" s="275"/>
      <c r="BI100" s="276" t="s">
        <v>2290</v>
      </c>
      <c r="BJ100" s="276" t="s">
        <v>2185</v>
      </c>
      <c r="BK100" s="276" t="s">
        <v>2355</v>
      </c>
      <c r="BL100" s="275">
        <v>2445754</v>
      </c>
      <c r="BM100" s="275">
        <v>2015</v>
      </c>
      <c r="BN100" s="185">
        <v>27</v>
      </c>
      <c r="BO100" s="185">
        <v>24.3</v>
      </c>
      <c r="BP100" s="185">
        <v>22.9</v>
      </c>
      <c r="BQ100" s="185">
        <f>+BO100-BN100</f>
        <v>-2.6999999999999993</v>
      </c>
      <c r="BR100" s="275">
        <v>5</v>
      </c>
      <c r="BS100" s="177">
        <f>+BN100-0.5</f>
        <v>26.5</v>
      </c>
      <c r="BT100" s="177"/>
      <c r="BU100" s="177">
        <f t="shared" si="43"/>
        <v>-27</v>
      </c>
      <c r="BV100" s="177">
        <f t="shared" si="44"/>
        <v>10.000000000000002</v>
      </c>
      <c r="BW100" s="177">
        <f>+BS100-0.5</f>
        <v>26</v>
      </c>
      <c r="BX100" s="177"/>
      <c r="BY100" s="177">
        <f t="shared" si="45"/>
        <v>-27</v>
      </c>
      <c r="BZ100" s="184">
        <f t="shared" si="46"/>
        <v>10.000000000000002</v>
      </c>
      <c r="CA100" s="177">
        <f>+BN100-(((BQ100)/5)*(-3))</f>
        <v>25.38</v>
      </c>
      <c r="CB100" s="177"/>
      <c r="CC100" s="177">
        <f t="shared" si="47"/>
        <v>-27</v>
      </c>
      <c r="CD100" s="177">
        <f t="shared" si="48"/>
        <v>10.000000000000002</v>
      </c>
      <c r="CE100" s="177">
        <f>+BN100-(((BQ100)/5)*(-4))</f>
        <v>24.84</v>
      </c>
      <c r="CF100" s="177"/>
      <c r="CG100" s="177">
        <f t="shared" si="49"/>
        <v>-27</v>
      </c>
      <c r="CH100" s="177">
        <f t="shared" si="50"/>
        <v>10.000000000000002</v>
      </c>
      <c r="CI100" s="177">
        <f>+BN100-(((BQ100)/5)*(-5))</f>
        <v>24.3</v>
      </c>
      <c r="CJ100" s="177"/>
      <c r="CK100" s="177">
        <f t="shared" si="51"/>
        <v>-27</v>
      </c>
      <c r="CL100" s="184">
        <f t="shared" si="52"/>
        <v>10.000000000000002</v>
      </c>
      <c r="CM100" s="184"/>
      <c r="CN100" s="177"/>
      <c r="CO100" s="177"/>
      <c r="CP100" s="177"/>
      <c r="CQ100" s="177"/>
      <c r="CR100" s="40"/>
      <c r="CS100" s="24">
        <v>100</v>
      </c>
    </row>
    <row r="101" spans="1:98" ht="142.5" x14ac:dyDescent="0.25">
      <c r="A101" s="276">
        <v>5</v>
      </c>
      <c r="B101" s="216" t="s">
        <v>4579</v>
      </c>
      <c r="C101" s="269" t="s">
        <v>1267</v>
      </c>
      <c r="D101" s="276" t="s">
        <v>267</v>
      </c>
      <c r="E101" s="276" t="s">
        <v>273</v>
      </c>
      <c r="F101" s="276" t="s">
        <v>268</v>
      </c>
      <c r="G101" s="172">
        <v>86</v>
      </c>
      <c r="H101" s="276" t="s">
        <v>292</v>
      </c>
      <c r="I101" s="276">
        <v>86</v>
      </c>
      <c r="J101" s="276" t="s">
        <v>293</v>
      </c>
      <c r="K101" s="276" t="s">
        <v>894</v>
      </c>
      <c r="L101" s="276" t="s">
        <v>294</v>
      </c>
      <c r="M101" s="276" t="s">
        <v>271</v>
      </c>
      <c r="N101" s="276" t="s">
        <v>272</v>
      </c>
      <c r="O101" s="276" t="s">
        <v>1259</v>
      </c>
      <c r="P101" s="276" t="s">
        <v>63</v>
      </c>
      <c r="Q101" s="276" t="s">
        <v>272</v>
      </c>
      <c r="R101" s="276"/>
      <c r="S101" s="276"/>
      <c r="T101" s="276" t="s">
        <v>65</v>
      </c>
      <c r="U101" s="276"/>
      <c r="V101" s="276"/>
      <c r="W101" s="275" t="s">
        <v>277</v>
      </c>
      <c r="X101" s="173" t="e">
        <f t="shared" si="53"/>
        <v>#DIV/0!</v>
      </c>
      <c r="Y101" s="276">
        <v>0</v>
      </c>
      <c r="Z101" s="276">
        <v>1</v>
      </c>
      <c r="AA101" s="276" t="s">
        <v>1221</v>
      </c>
      <c r="AB101" s="276">
        <v>1</v>
      </c>
      <c r="AC101" s="275" t="s">
        <v>317</v>
      </c>
      <c r="AD101" s="276" t="s">
        <v>2346</v>
      </c>
      <c r="AE101" s="276" t="s">
        <v>2347</v>
      </c>
      <c r="AF101" s="275"/>
      <c r="AG101" s="275" t="s">
        <v>1236</v>
      </c>
      <c r="AH101" s="275"/>
      <c r="AI101" s="275">
        <v>1</v>
      </c>
      <c r="AJ101" s="83" t="str">
        <f t="shared" si="31"/>
        <v>03010861</v>
      </c>
      <c r="AK101" s="276" t="s">
        <v>2348</v>
      </c>
      <c r="AL101" s="275" t="s">
        <v>1259</v>
      </c>
      <c r="AM101" s="276"/>
      <c r="AN101" s="276" t="s">
        <v>2349</v>
      </c>
      <c r="AO101" s="276" t="s">
        <v>2336</v>
      </c>
      <c r="AP101" s="276" t="s">
        <v>2350</v>
      </c>
      <c r="AQ101" s="275"/>
      <c r="AR101" s="276" t="s">
        <v>2351</v>
      </c>
      <c r="AS101" s="276" t="s">
        <v>2352</v>
      </c>
      <c r="AT101" s="276" t="s">
        <v>2353</v>
      </c>
      <c r="AU101" s="276" t="s">
        <v>2307</v>
      </c>
      <c r="AV101" s="275" t="s">
        <v>1529</v>
      </c>
      <c r="AW101" s="276"/>
      <c r="AX101" s="275">
        <v>2</v>
      </c>
      <c r="AY101" s="276" t="str">
        <f t="shared" si="32"/>
        <v>030108612</v>
      </c>
      <c r="AZ101" s="78" t="s">
        <v>2316</v>
      </c>
      <c r="BA101" s="83" t="s">
        <v>2317</v>
      </c>
      <c r="BB101" s="276" t="s">
        <v>2248</v>
      </c>
      <c r="BC101" s="276" t="s">
        <v>11</v>
      </c>
      <c r="BD101" s="276" t="s">
        <v>2318</v>
      </c>
      <c r="BE101" s="83" t="s">
        <v>2242</v>
      </c>
      <c r="BF101" s="276" t="s">
        <v>2242</v>
      </c>
      <c r="BG101" s="189" t="s">
        <v>2319</v>
      </c>
      <c r="BH101" s="276" t="s">
        <v>2320</v>
      </c>
      <c r="BI101" s="276" t="s">
        <v>12</v>
      </c>
      <c r="BJ101" s="83" t="s">
        <v>2321</v>
      </c>
      <c r="BK101" s="83" t="s">
        <v>2322</v>
      </c>
      <c r="BL101" s="276">
        <v>2222333</v>
      </c>
      <c r="BM101" s="275"/>
      <c r="BN101" s="185"/>
      <c r="BO101" s="185"/>
      <c r="BP101" s="185"/>
      <c r="BQ101" s="185"/>
      <c r="BR101" s="275"/>
      <c r="BS101" s="177"/>
      <c r="BT101" s="177"/>
      <c r="BU101" s="177">
        <f t="shared" si="43"/>
        <v>0</v>
      </c>
      <c r="BV101" s="177" t="e">
        <f t="shared" si="44"/>
        <v>#DIV/0!</v>
      </c>
      <c r="BW101" s="177"/>
      <c r="BX101" s="177"/>
      <c r="BY101" s="177">
        <f t="shared" si="45"/>
        <v>0</v>
      </c>
      <c r="BZ101" s="184" t="e">
        <f t="shared" si="46"/>
        <v>#DIV/0!</v>
      </c>
      <c r="CA101" s="177"/>
      <c r="CB101" s="177"/>
      <c r="CC101" s="177">
        <f t="shared" si="47"/>
        <v>0</v>
      </c>
      <c r="CD101" s="177" t="e">
        <f t="shared" si="48"/>
        <v>#DIV/0!</v>
      </c>
      <c r="CE101" s="177"/>
      <c r="CF101" s="177"/>
      <c r="CG101" s="177">
        <f t="shared" si="49"/>
        <v>0</v>
      </c>
      <c r="CH101" s="177" t="e">
        <f t="shared" si="50"/>
        <v>#DIV/0!</v>
      </c>
      <c r="CI101" s="177"/>
      <c r="CJ101" s="177"/>
      <c r="CK101" s="177">
        <f t="shared" si="51"/>
        <v>0</v>
      </c>
      <c r="CL101" s="184" t="e">
        <f t="shared" si="52"/>
        <v>#DIV/0!</v>
      </c>
      <c r="CM101" s="184"/>
      <c r="CN101" s="177"/>
      <c r="CO101" s="177"/>
      <c r="CP101" s="177"/>
      <c r="CQ101" s="177"/>
      <c r="CR101" s="40"/>
      <c r="CS101" s="24">
        <v>101</v>
      </c>
    </row>
    <row r="102" spans="1:98" ht="256.5" x14ac:dyDescent="0.25">
      <c r="A102" s="276">
        <v>5</v>
      </c>
      <c r="B102" s="216" t="s">
        <v>4579</v>
      </c>
      <c r="C102" s="269" t="s">
        <v>1267</v>
      </c>
      <c r="D102" s="189" t="s">
        <v>267</v>
      </c>
      <c r="E102" s="276" t="s">
        <v>273</v>
      </c>
      <c r="F102" s="189" t="s">
        <v>268</v>
      </c>
      <c r="G102" s="172">
        <v>86</v>
      </c>
      <c r="H102" s="276" t="s">
        <v>292</v>
      </c>
      <c r="I102" s="276">
        <v>86</v>
      </c>
      <c r="J102" s="276" t="s">
        <v>293</v>
      </c>
      <c r="K102" s="276" t="s">
        <v>894</v>
      </c>
      <c r="L102" s="189" t="s">
        <v>294</v>
      </c>
      <c r="M102" s="276" t="s">
        <v>271</v>
      </c>
      <c r="N102" s="189" t="s">
        <v>272</v>
      </c>
      <c r="O102" s="189" t="s">
        <v>1259</v>
      </c>
      <c r="P102" s="276" t="s">
        <v>63</v>
      </c>
      <c r="Q102" s="276" t="s">
        <v>272</v>
      </c>
      <c r="R102" s="276"/>
      <c r="S102" s="276"/>
      <c r="T102" s="276" t="s">
        <v>65</v>
      </c>
      <c r="U102" s="276"/>
      <c r="V102" s="276"/>
      <c r="W102" s="78" t="s">
        <v>277</v>
      </c>
      <c r="X102" s="173" t="e">
        <f t="shared" si="53"/>
        <v>#DIV/0!</v>
      </c>
      <c r="Y102" s="276">
        <v>1</v>
      </c>
      <c r="Z102" s="276">
        <v>0</v>
      </c>
      <c r="AA102" s="276" t="s">
        <v>1220</v>
      </c>
      <c r="AB102" s="276">
        <v>1</v>
      </c>
      <c r="AC102" s="275" t="s">
        <v>317</v>
      </c>
      <c r="AD102" s="276" t="s">
        <v>2346</v>
      </c>
      <c r="AE102" s="189" t="s">
        <v>2347</v>
      </c>
      <c r="AF102" s="79"/>
      <c r="AG102" s="275" t="s">
        <v>1236</v>
      </c>
      <c r="AH102" s="77"/>
      <c r="AI102" s="275">
        <v>1</v>
      </c>
      <c r="AJ102" s="83" t="str">
        <f t="shared" si="31"/>
        <v>03010861</v>
      </c>
      <c r="AK102" s="83" t="s">
        <v>2356</v>
      </c>
      <c r="AL102" s="275" t="s">
        <v>1259</v>
      </c>
      <c r="AM102" s="189"/>
      <c r="AN102" s="189" t="s">
        <v>2349</v>
      </c>
      <c r="AO102" s="276" t="s">
        <v>2325</v>
      </c>
      <c r="AP102" s="189" t="s">
        <v>2357</v>
      </c>
      <c r="AQ102" s="76"/>
      <c r="AR102" s="276" t="s">
        <v>2358</v>
      </c>
      <c r="AS102" s="276" t="s">
        <v>2352</v>
      </c>
      <c r="AT102" s="276" t="s">
        <v>2353</v>
      </c>
      <c r="AU102" s="276" t="s">
        <v>2307</v>
      </c>
      <c r="AV102" s="275" t="s">
        <v>2359</v>
      </c>
      <c r="AW102" s="276"/>
      <c r="AX102" s="275">
        <v>1</v>
      </c>
      <c r="AY102" s="276" t="str">
        <f t="shared" si="32"/>
        <v>030108611</v>
      </c>
      <c r="AZ102" s="276" t="s">
        <v>2260</v>
      </c>
      <c r="BA102" s="276" t="s">
        <v>2261</v>
      </c>
      <c r="BB102" s="276" t="s">
        <v>1392</v>
      </c>
      <c r="BC102" s="275" t="s">
        <v>1358</v>
      </c>
      <c r="BD102" s="275" t="s">
        <v>2359</v>
      </c>
      <c r="BE102" s="276" t="s">
        <v>2242</v>
      </c>
      <c r="BF102" s="276" t="s">
        <v>2242</v>
      </c>
      <c r="BG102" s="83" t="s">
        <v>2354</v>
      </c>
      <c r="BH102" s="77"/>
      <c r="BI102" s="276" t="s">
        <v>2290</v>
      </c>
      <c r="BJ102" s="276" t="s">
        <v>2185</v>
      </c>
      <c r="BK102" s="276" t="s">
        <v>2355</v>
      </c>
      <c r="BL102" s="275">
        <v>2445754</v>
      </c>
      <c r="BM102" s="275">
        <v>2015</v>
      </c>
      <c r="BN102" s="185">
        <v>1600</v>
      </c>
      <c r="BO102" s="185">
        <v>2800</v>
      </c>
      <c r="BP102" s="185">
        <v>1500</v>
      </c>
      <c r="BQ102" s="185">
        <f>+BO102-BN102</f>
        <v>1200</v>
      </c>
      <c r="BR102" s="275">
        <v>5</v>
      </c>
      <c r="BS102" s="177">
        <v>1840</v>
      </c>
      <c r="BT102" s="177">
        <v>2188</v>
      </c>
      <c r="BU102" s="177">
        <f t="shared" si="43"/>
        <v>588</v>
      </c>
      <c r="BV102" s="177">
        <f t="shared" si="44"/>
        <v>0.49</v>
      </c>
      <c r="BW102" s="177">
        <v>2080</v>
      </c>
      <c r="BX102" s="177">
        <v>2609</v>
      </c>
      <c r="BY102" s="177">
        <f t="shared" si="45"/>
        <v>1009</v>
      </c>
      <c r="BZ102" s="184">
        <f t="shared" si="46"/>
        <v>0.84083333333333332</v>
      </c>
      <c r="CA102" s="177">
        <v>2320</v>
      </c>
      <c r="CB102" s="177"/>
      <c r="CC102" s="177">
        <f t="shared" si="47"/>
        <v>-1600</v>
      </c>
      <c r="CD102" s="177">
        <f t="shared" si="48"/>
        <v>-1.3333333333333333</v>
      </c>
      <c r="CE102" s="177">
        <v>2560</v>
      </c>
      <c r="CF102" s="177"/>
      <c r="CG102" s="177">
        <f t="shared" si="49"/>
        <v>-1600</v>
      </c>
      <c r="CH102" s="177">
        <f t="shared" si="50"/>
        <v>-1.3333333333333333</v>
      </c>
      <c r="CI102" s="177">
        <v>2800</v>
      </c>
      <c r="CJ102" s="177"/>
      <c r="CK102" s="177">
        <f t="shared" si="51"/>
        <v>-1600</v>
      </c>
      <c r="CL102" s="184">
        <f t="shared" si="52"/>
        <v>-1.3333333333333333</v>
      </c>
      <c r="CM102" s="184"/>
      <c r="CN102" s="177"/>
      <c r="CO102" s="177"/>
      <c r="CP102" s="177"/>
      <c r="CQ102" s="177"/>
      <c r="CR102" s="2"/>
      <c r="CS102" s="2">
        <v>102</v>
      </c>
      <c r="CT102" s="2"/>
    </row>
    <row r="103" spans="1:98" ht="256.5" x14ac:dyDescent="0.25">
      <c r="A103" s="276">
        <v>5</v>
      </c>
      <c r="B103" s="216" t="s">
        <v>4579</v>
      </c>
      <c r="C103" s="269" t="s">
        <v>1267</v>
      </c>
      <c r="D103" s="189" t="s">
        <v>267</v>
      </c>
      <c r="E103" s="276" t="s">
        <v>273</v>
      </c>
      <c r="F103" s="189" t="s">
        <v>268</v>
      </c>
      <c r="G103" s="172">
        <v>86</v>
      </c>
      <c r="H103" s="276" t="s">
        <v>292</v>
      </c>
      <c r="I103" s="276">
        <v>86</v>
      </c>
      <c r="J103" s="276" t="s">
        <v>293</v>
      </c>
      <c r="K103" s="276" t="s">
        <v>894</v>
      </c>
      <c r="L103" s="189" t="s">
        <v>294</v>
      </c>
      <c r="M103" s="276" t="s">
        <v>271</v>
      </c>
      <c r="N103" s="189" t="s">
        <v>272</v>
      </c>
      <c r="O103" s="189" t="s">
        <v>1259</v>
      </c>
      <c r="P103" s="276" t="s">
        <v>63</v>
      </c>
      <c r="Q103" s="276" t="s">
        <v>272</v>
      </c>
      <c r="R103" s="276"/>
      <c r="S103" s="276"/>
      <c r="T103" s="276" t="s">
        <v>65</v>
      </c>
      <c r="U103" s="276"/>
      <c r="V103" s="276"/>
      <c r="W103" s="78" t="s">
        <v>277</v>
      </c>
      <c r="X103" s="173" t="e">
        <f t="shared" si="53"/>
        <v>#DIV/0!</v>
      </c>
      <c r="Y103" s="276">
        <v>1</v>
      </c>
      <c r="Z103" s="276">
        <v>0</v>
      </c>
      <c r="AA103" s="276" t="s">
        <v>1220</v>
      </c>
      <c r="AB103" s="276">
        <v>1</v>
      </c>
      <c r="AC103" s="275" t="s">
        <v>317</v>
      </c>
      <c r="AD103" s="276" t="s">
        <v>2346</v>
      </c>
      <c r="AE103" s="189" t="s">
        <v>2347</v>
      </c>
      <c r="AF103" s="79"/>
      <c r="AG103" s="275" t="s">
        <v>1236</v>
      </c>
      <c r="AH103" s="77"/>
      <c r="AI103" s="275">
        <v>1</v>
      </c>
      <c r="AJ103" s="83" t="str">
        <f t="shared" si="31"/>
        <v>03010861</v>
      </c>
      <c r="AK103" s="83" t="s">
        <v>2356</v>
      </c>
      <c r="AL103" s="275" t="s">
        <v>1259</v>
      </c>
      <c r="AM103" s="189"/>
      <c r="AN103" s="189" t="s">
        <v>2349</v>
      </c>
      <c r="AO103" s="276" t="s">
        <v>2325</v>
      </c>
      <c r="AP103" s="189" t="s">
        <v>2357</v>
      </c>
      <c r="AQ103" s="76"/>
      <c r="AR103" s="276" t="s">
        <v>2358</v>
      </c>
      <c r="AS103" s="276" t="s">
        <v>2352</v>
      </c>
      <c r="AT103" s="276" t="s">
        <v>2353</v>
      </c>
      <c r="AU103" s="276" t="s">
        <v>2307</v>
      </c>
      <c r="AV103" s="275" t="s">
        <v>2359</v>
      </c>
      <c r="AW103" s="276"/>
      <c r="AX103" s="275">
        <v>2</v>
      </c>
      <c r="AY103" s="276" t="str">
        <f t="shared" si="32"/>
        <v>030108612</v>
      </c>
      <c r="AZ103" s="78" t="s">
        <v>2316</v>
      </c>
      <c r="BA103" s="83" t="s">
        <v>2317</v>
      </c>
      <c r="BB103" s="276" t="s">
        <v>2248</v>
      </c>
      <c r="BC103" s="276" t="s">
        <v>11</v>
      </c>
      <c r="BD103" s="276" t="s">
        <v>2318</v>
      </c>
      <c r="BE103" s="83" t="s">
        <v>2242</v>
      </c>
      <c r="BF103" s="276" t="s">
        <v>2242</v>
      </c>
      <c r="BG103" s="189" t="s">
        <v>2319</v>
      </c>
      <c r="BH103" s="276" t="s">
        <v>2320</v>
      </c>
      <c r="BI103" s="276" t="s">
        <v>12</v>
      </c>
      <c r="BJ103" s="83" t="s">
        <v>2321</v>
      </c>
      <c r="BK103" s="83" t="s">
        <v>2322</v>
      </c>
      <c r="BL103" s="276">
        <v>2222333</v>
      </c>
      <c r="BM103" s="275"/>
      <c r="BN103" s="185"/>
      <c r="BO103" s="185"/>
      <c r="BP103" s="185"/>
      <c r="BQ103" s="185"/>
      <c r="BR103" s="275"/>
      <c r="BS103" s="177"/>
      <c r="BT103" s="177"/>
      <c r="BU103" s="177">
        <f t="shared" si="43"/>
        <v>0</v>
      </c>
      <c r="BV103" s="177" t="e">
        <f t="shared" si="44"/>
        <v>#DIV/0!</v>
      </c>
      <c r="BW103" s="177"/>
      <c r="BX103" s="177"/>
      <c r="BY103" s="177">
        <f t="shared" si="45"/>
        <v>0</v>
      </c>
      <c r="BZ103" s="184" t="e">
        <f t="shared" si="46"/>
        <v>#DIV/0!</v>
      </c>
      <c r="CA103" s="177"/>
      <c r="CB103" s="177"/>
      <c r="CC103" s="177">
        <f t="shared" si="47"/>
        <v>0</v>
      </c>
      <c r="CD103" s="177" t="e">
        <f t="shared" si="48"/>
        <v>#DIV/0!</v>
      </c>
      <c r="CE103" s="177"/>
      <c r="CF103" s="177"/>
      <c r="CG103" s="177">
        <f t="shared" si="49"/>
        <v>0</v>
      </c>
      <c r="CH103" s="177" t="e">
        <f t="shared" si="50"/>
        <v>#DIV/0!</v>
      </c>
      <c r="CI103" s="177"/>
      <c r="CJ103" s="177"/>
      <c r="CK103" s="177">
        <f t="shared" si="51"/>
        <v>0</v>
      </c>
      <c r="CL103" s="184" t="e">
        <f t="shared" si="52"/>
        <v>#DIV/0!</v>
      </c>
      <c r="CM103" s="184"/>
      <c r="CN103" s="177"/>
      <c r="CO103" s="177"/>
      <c r="CP103" s="177"/>
      <c r="CQ103" s="177"/>
      <c r="CR103" s="2"/>
      <c r="CS103" s="24">
        <v>103</v>
      </c>
      <c r="CT103" s="2"/>
    </row>
    <row r="104" spans="1:98" ht="142.5" x14ac:dyDescent="0.25">
      <c r="A104" s="276">
        <v>5</v>
      </c>
      <c r="B104" s="216" t="s">
        <v>4579</v>
      </c>
      <c r="C104" s="269" t="s">
        <v>1267</v>
      </c>
      <c r="D104" s="189" t="s">
        <v>267</v>
      </c>
      <c r="E104" s="276" t="s">
        <v>273</v>
      </c>
      <c r="F104" s="189" t="s">
        <v>268</v>
      </c>
      <c r="G104" s="172">
        <v>86</v>
      </c>
      <c r="H104" s="276" t="s">
        <v>292</v>
      </c>
      <c r="I104" s="276">
        <v>86</v>
      </c>
      <c r="J104" s="276" t="s">
        <v>293</v>
      </c>
      <c r="K104" s="276" t="s">
        <v>894</v>
      </c>
      <c r="L104" s="189" t="s">
        <v>294</v>
      </c>
      <c r="M104" s="276" t="s">
        <v>271</v>
      </c>
      <c r="N104" s="189" t="s">
        <v>272</v>
      </c>
      <c r="O104" s="189" t="s">
        <v>1259</v>
      </c>
      <c r="P104" s="276" t="s">
        <v>63</v>
      </c>
      <c r="Q104" s="276" t="s">
        <v>272</v>
      </c>
      <c r="R104" s="276"/>
      <c r="S104" s="276"/>
      <c r="T104" s="276" t="s">
        <v>65</v>
      </c>
      <c r="U104" s="276"/>
      <c r="V104" s="276"/>
      <c r="W104" s="78" t="s">
        <v>277</v>
      </c>
      <c r="X104" s="173" t="e">
        <f t="shared" si="53"/>
        <v>#DIV/0!</v>
      </c>
      <c r="Y104" s="276">
        <v>1</v>
      </c>
      <c r="Z104" s="276">
        <v>0</v>
      </c>
      <c r="AA104" s="276" t="s">
        <v>1220</v>
      </c>
      <c r="AB104" s="276">
        <v>1</v>
      </c>
      <c r="AC104" s="275" t="s">
        <v>317</v>
      </c>
      <c r="AD104" s="276" t="s">
        <v>2346</v>
      </c>
      <c r="AE104" s="189" t="s">
        <v>2347</v>
      </c>
      <c r="AF104" s="79"/>
      <c r="AG104" s="275" t="s">
        <v>1236</v>
      </c>
      <c r="AH104" s="77"/>
      <c r="AI104" s="275">
        <v>1</v>
      </c>
      <c r="AJ104" s="83" t="str">
        <f t="shared" si="31"/>
        <v>03010861</v>
      </c>
      <c r="AK104" s="83" t="s">
        <v>2360</v>
      </c>
      <c r="AL104" s="275" t="s">
        <v>1259</v>
      </c>
      <c r="AM104" s="189"/>
      <c r="AN104" s="189" t="s">
        <v>2349</v>
      </c>
      <c r="AO104" s="276" t="s">
        <v>2325</v>
      </c>
      <c r="AP104" s="189" t="s">
        <v>2361</v>
      </c>
      <c r="AQ104" s="76"/>
      <c r="AR104" s="276" t="s">
        <v>2362</v>
      </c>
      <c r="AS104" s="276" t="s">
        <v>2352</v>
      </c>
      <c r="AT104" s="276" t="s">
        <v>2353</v>
      </c>
      <c r="AU104" s="276" t="s">
        <v>2307</v>
      </c>
      <c r="AV104" s="275" t="s">
        <v>2359</v>
      </c>
      <c r="AW104" s="276"/>
      <c r="AX104" s="275">
        <v>1</v>
      </c>
      <c r="AY104" s="276" t="str">
        <f t="shared" si="32"/>
        <v>030108611</v>
      </c>
      <c r="AZ104" s="276" t="s">
        <v>2260</v>
      </c>
      <c r="BA104" s="276" t="s">
        <v>2261</v>
      </c>
      <c r="BB104" s="276" t="s">
        <v>1392</v>
      </c>
      <c r="BC104" s="275" t="s">
        <v>1358</v>
      </c>
      <c r="BD104" s="275" t="s">
        <v>2359</v>
      </c>
      <c r="BE104" s="276" t="s">
        <v>2242</v>
      </c>
      <c r="BF104" s="276" t="s">
        <v>2242</v>
      </c>
      <c r="BG104" s="83" t="s">
        <v>2354</v>
      </c>
      <c r="BH104" s="77"/>
      <c r="BI104" s="276" t="s">
        <v>2290</v>
      </c>
      <c r="BJ104" s="276" t="s">
        <v>2185</v>
      </c>
      <c r="BK104" s="276" t="s">
        <v>2355</v>
      </c>
      <c r="BL104" s="275">
        <v>2445754</v>
      </c>
      <c r="BM104" s="275">
        <v>2015</v>
      </c>
      <c r="BN104" s="185">
        <v>906</v>
      </c>
      <c r="BO104" s="185">
        <v>1700</v>
      </c>
      <c r="BP104" s="185">
        <v>906</v>
      </c>
      <c r="BQ104" s="185">
        <f>+BO104-BN104</f>
        <v>794</v>
      </c>
      <c r="BR104" s="276">
        <v>5</v>
      </c>
      <c r="BS104" s="184">
        <v>1065</v>
      </c>
      <c r="BT104" s="185">
        <v>1257</v>
      </c>
      <c r="BU104" s="177">
        <f t="shared" si="43"/>
        <v>351</v>
      </c>
      <c r="BV104" s="177">
        <f t="shared" si="44"/>
        <v>0.44206549118387911</v>
      </c>
      <c r="BW104" s="184">
        <v>1224</v>
      </c>
      <c r="BX104" s="184">
        <v>1468</v>
      </c>
      <c r="BY104" s="177">
        <f t="shared" si="45"/>
        <v>562</v>
      </c>
      <c r="BZ104" s="184">
        <f t="shared" si="46"/>
        <v>0.70780856423173799</v>
      </c>
      <c r="CA104" s="185">
        <v>1383</v>
      </c>
      <c r="CB104" s="184"/>
      <c r="CC104" s="185">
        <f t="shared" si="47"/>
        <v>-906</v>
      </c>
      <c r="CD104" s="185">
        <f t="shared" si="48"/>
        <v>-1.1410579345088161</v>
      </c>
      <c r="CE104" s="185">
        <v>1542</v>
      </c>
      <c r="CF104" s="184"/>
      <c r="CG104" s="184">
        <f t="shared" si="49"/>
        <v>-906</v>
      </c>
      <c r="CH104" s="185">
        <f t="shared" si="50"/>
        <v>-1.1410579345088161</v>
      </c>
      <c r="CI104" s="185">
        <v>1700</v>
      </c>
      <c r="CJ104" s="184"/>
      <c r="CK104" s="185">
        <f t="shared" si="51"/>
        <v>-906</v>
      </c>
      <c r="CL104" s="184">
        <f t="shared" si="52"/>
        <v>-1.1410579345088161</v>
      </c>
      <c r="CM104" s="123"/>
      <c r="CN104" s="184"/>
      <c r="CO104" s="185"/>
      <c r="CP104" s="177"/>
      <c r="CQ104" s="177"/>
      <c r="CR104" s="2"/>
      <c r="CS104" s="24">
        <v>104</v>
      </c>
      <c r="CT104" s="2"/>
    </row>
    <row r="105" spans="1:98" ht="142.5" x14ac:dyDescent="0.25">
      <c r="A105" s="276">
        <v>5</v>
      </c>
      <c r="B105" s="216" t="s">
        <v>4579</v>
      </c>
      <c r="C105" s="269" t="s">
        <v>1267</v>
      </c>
      <c r="D105" s="189" t="s">
        <v>267</v>
      </c>
      <c r="E105" s="276" t="s">
        <v>273</v>
      </c>
      <c r="F105" s="189" t="s">
        <v>268</v>
      </c>
      <c r="G105" s="172">
        <v>86</v>
      </c>
      <c r="H105" s="276" t="s">
        <v>292</v>
      </c>
      <c r="I105" s="276">
        <v>86</v>
      </c>
      <c r="J105" s="276" t="s">
        <v>293</v>
      </c>
      <c r="K105" s="276" t="s">
        <v>894</v>
      </c>
      <c r="L105" s="189" t="s">
        <v>294</v>
      </c>
      <c r="M105" s="276" t="s">
        <v>271</v>
      </c>
      <c r="N105" s="189" t="s">
        <v>272</v>
      </c>
      <c r="O105" s="189" t="s">
        <v>1259</v>
      </c>
      <c r="P105" s="276" t="s">
        <v>63</v>
      </c>
      <c r="Q105" s="276" t="s">
        <v>272</v>
      </c>
      <c r="R105" s="276"/>
      <c r="S105" s="276"/>
      <c r="T105" s="276" t="s">
        <v>65</v>
      </c>
      <c r="U105" s="276"/>
      <c r="V105" s="276"/>
      <c r="W105" s="78" t="s">
        <v>277</v>
      </c>
      <c r="X105" s="173" t="e">
        <f t="shared" si="53"/>
        <v>#DIV/0!</v>
      </c>
      <c r="Y105" s="276">
        <v>1</v>
      </c>
      <c r="Z105" s="276">
        <v>0</v>
      </c>
      <c r="AA105" s="276" t="s">
        <v>1220</v>
      </c>
      <c r="AB105" s="276">
        <v>1</v>
      </c>
      <c r="AC105" s="275" t="s">
        <v>317</v>
      </c>
      <c r="AD105" s="276" t="s">
        <v>2346</v>
      </c>
      <c r="AE105" s="189" t="s">
        <v>2347</v>
      </c>
      <c r="AF105" s="79"/>
      <c r="AG105" s="275" t="s">
        <v>1236</v>
      </c>
      <c r="AH105" s="77"/>
      <c r="AI105" s="275">
        <v>1</v>
      </c>
      <c r="AJ105" s="83" t="str">
        <f t="shared" si="31"/>
        <v>03010861</v>
      </c>
      <c r="AK105" s="83" t="s">
        <v>2360</v>
      </c>
      <c r="AL105" s="275" t="s">
        <v>1259</v>
      </c>
      <c r="AM105" s="189"/>
      <c r="AN105" s="189" t="s">
        <v>2349</v>
      </c>
      <c r="AO105" s="276" t="s">
        <v>2325</v>
      </c>
      <c r="AP105" s="189" t="s">
        <v>2361</v>
      </c>
      <c r="AQ105" s="76"/>
      <c r="AR105" s="276" t="s">
        <v>2362</v>
      </c>
      <c r="AS105" s="276" t="s">
        <v>2352</v>
      </c>
      <c r="AT105" s="276" t="s">
        <v>2353</v>
      </c>
      <c r="AU105" s="276" t="s">
        <v>2307</v>
      </c>
      <c r="AV105" s="275" t="s">
        <v>2359</v>
      </c>
      <c r="AW105" s="276"/>
      <c r="AX105" s="275">
        <v>2</v>
      </c>
      <c r="AY105" s="276" t="str">
        <f t="shared" si="32"/>
        <v>030108612</v>
      </c>
      <c r="AZ105" s="78" t="s">
        <v>2316</v>
      </c>
      <c r="BA105" s="83" t="s">
        <v>2317</v>
      </c>
      <c r="BB105" s="276" t="s">
        <v>2248</v>
      </c>
      <c r="BC105" s="276" t="s">
        <v>11</v>
      </c>
      <c r="BD105" s="276" t="s">
        <v>2318</v>
      </c>
      <c r="BE105" s="83" t="s">
        <v>2242</v>
      </c>
      <c r="BF105" s="276" t="s">
        <v>2242</v>
      </c>
      <c r="BG105" s="189" t="s">
        <v>2319</v>
      </c>
      <c r="BH105" s="276" t="s">
        <v>2320</v>
      </c>
      <c r="BI105" s="276" t="s">
        <v>12</v>
      </c>
      <c r="BJ105" s="83" t="s">
        <v>2321</v>
      </c>
      <c r="BK105" s="83" t="s">
        <v>2322</v>
      </c>
      <c r="BL105" s="276">
        <v>2222333</v>
      </c>
      <c r="BM105" s="275"/>
      <c r="BN105" s="185"/>
      <c r="BO105" s="185"/>
      <c r="BP105" s="185"/>
      <c r="BQ105" s="185"/>
      <c r="BR105" s="276"/>
      <c r="BS105" s="184"/>
      <c r="BT105" s="185"/>
      <c r="BU105" s="177">
        <f t="shared" si="43"/>
        <v>0</v>
      </c>
      <c r="BV105" s="177" t="e">
        <f t="shared" si="44"/>
        <v>#DIV/0!</v>
      </c>
      <c r="BW105" s="184"/>
      <c r="BX105" s="184"/>
      <c r="BY105" s="177">
        <f t="shared" si="45"/>
        <v>0</v>
      </c>
      <c r="BZ105" s="184" t="e">
        <f t="shared" si="46"/>
        <v>#DIV/0!</v>
      </c>
      <c r="CA105" s="185"/>
      <c r="CB105" s="184"/>
      <c r="CC105" s="185">
        <f t="shared" si="47"/>
        <v>0</v>
      </c>
      <c r="CD105" s="185" t="e">
        <f t="shared" si="48"/>
        <v>#DIV/0!</v>
      </c>
      <c r="CE105" s="185"/>
      <c r="CF105" s="184"/>
      <c r="CG105" s="184">
        <f t="shared" si="49"/>
        <v>0</v>
      </c>
      <c r="CH105" s="185" t="e">
        <f t="shared" si="50"/>
        <v>#DIV/0!</v>
      </c>
      <c r="CI105" s="185"/>
      <c r="CJ105" s="184"/>
      <c r="CK105" s="185">
        <f t="shared" si="51"/>
        <v>0</v>
      </c>
      <c r="CL105" s="184" t="e">
        <f t="shared" si="52"/>
        <v>#DIV/0!</v>
      </c>
      <c r="CM105" s="123"/>
      <c r="CN105" s="184"/>
      <c r="CO105" s="185"/>
      <c r="CP105" s="177"/>
      <c r="CQ105" s="177"/>
      <c r="CR105" s="2"/>
      <c r="CS105" s="2">
        <v>105</v>
      </c>
      <c r="CT105" s="2"/>
    </row>
    <row r="106" spans="1:98" ht="128.25" x14ac:dyDescent="0.25">
      <c r="A106" s="276">
        <v>5</v>
      </c>
      <c r="B106" s="216" t="s">
        <v>4579</v>
      </c>
      <c r="C106" s="269" t="s">
        <v>1267</v>
      </c>
      <c r="D106" s="189" t="s">
        <v>267</v>
      </c>
      <c r="E106" s="276" t="s">
        <v>273</v>
      </c>
      <c r="F106" s="189" t="s">
        <v>268</v>
      </c>
      <c r="G106" s="172">
        <v>87</v>
      </c>
      <c r="H106" s="276" t="s">
        <v>295</v>
      </c>
      <c r="I106" s="276">
        <v>87</v>
      </c>
      <c r="J106" s="276" t="s">
        <v>296</v>
      </c>
      <c r="K106" s="276" t="s">
        <v>895</v>
      </c>
      <c r="L106" s="189" t="s">
        <v>297</v>
      </c>
      <c r="M106" s="276" t="s">
        <v>271</v>
      </c>
      <c r="N106" s="189" t="s">
        <v>272</v>
      </c>
      <c r="O106" s="189" t="s">
        <v>62</v>
      </c>
      <c r="P106" s="276" t="s">
        <v>63</v>
      </c>
      <c r="Q106" s="276" t="s">
        <v>272</v>
      </c>
      <c r="R106" s="276"/>
      <c r="S106" s="276"/>
      <c r="T106" s="276" t="s">
        <v>79</v>
      </c>
      <c r="U106" s="276"/>
      <c r="V106" s="276"/>
      <c r="W106" s="276"/>
      <c r="X106" s="173" t="e">
        <f t="shared" si="53"/>
        <v>#DIV/0!</v>
      </c>
      <c r="Y106" s="276">
        <v>0</v>
      </c>
      <c r="Z106" s="276">
        <v>1</v>
      </c>
      <c r="AA106" s="276" t="s">
        <v>1225</v>
      </c>
      <c r="AB106" s="276"/>
      <c r="AC106" s="275"/>
      <c r="AD106" s="189"/>
      <c r="AE106" s="189"/>
      <c r="AF106" s="276" t="s">
        <v>2278</v>
      </c>
      <c r="AG106" s="275" t="s">
        <v>1364</v>
      </c>
      <c r="AH106" s="77"/>
      <c r="AI106" s="275">
        <v>1</v>
      </c>
      <c r="AJ106" s="83" t="str">
        <f t="shared" si="31"/>
        <v>03010871</v>
      </c>
      <c r="AK106" s="276" t="s">
        <v>2363</v>
      </c>
      <c r="AL106" s="275" t="s">
        <v>78</v>
      </c>
      <c r="AM106" s="276"/>
      <c r="AN106" s="276" t="s">
        <v>2364</v>
      </c>
      <c r="AO106" s="276" t="s">
        <v>10</v>
      </c>
      <c r="AP106" s="276" t="s">
        <v>2365</v>
      </c>
      <c r="AQ106" s="181"/>
      <c r="AR106" s="276" t="s">
        <v>2366</v>
      </c>
      <c r="AS106" s="276" t="s">
        <v>2367</v>
      </c>
      <c r="AT106" s="276" t="s">
        <v>2368</v>
      </c>
      <c r="AU106" s="276" t="s">
        <v>2367</v>
      </c>
      <c r="AV106" s="189" t="s">
        <v>2308</v>
      </c>
      <c r="AW106" s="276"/>
      <c r="AX106" s="275">
        <v>1</v>
      </c>
      <c r="AY106" s="276" t="str">
        <f t="shared" si="32"/>
        <v>030108711</v>
      </c>
      <c r="AZ106" s="276" t="s">
        <v>2369</v>
      </c>
      <c r="BA106" s="276" t="s">
        <v>298</v>
      </c>
      <c r="BB106" s="276" t="s">
        <v>1229</v>
      </c>
      <c r="BC106" s="276" t="s">
        <v>1358</v>
      </c>
      <c r="BD106" s="276" t="s">
        <v>2285</v>
      </c>
      <c r="BE106" s="276" t="s">
        <v>9</v>
      </c>
      <c r="BF106" s="83" t="s">
        <v>2370</v>
      </c>
      <c r="BG106" s="189" t="s">
        <v>2371</v>
      </c>
      <c r="BH106" s="276" t="s">
        <v>2372</v>
      </c>
      <c r="BI106" s="276" t="s">
        <v>2244</v>
      </c>
      <c r="BJ106" s="276" t="s">
        <v>2185</v>
      </c>
      <c r="BK106" s="276" t="s">
        <v>2355</v>
      </c>
      <c r="BL106" s="276">
        <v>2440336</v>
      </c>
      <c r="BM106" s="275">
        <v>2015</v>
      </c>
      <c r="BN106" s="275">
        <v>0</v>
      </c>
      <c r="BO106" s="186">
        <v>0.4</v>
      </c>
      <c r="BP106" s="186">
        <v>0.9</v>
      </c>
      <c r="BQ106" s="187">
        <f t="shared" ref="BQ106:BQ119" si="54">+BO106-BN106</f>
        <v>0.4</v>
      </c>
      <c r="BR106" s="275">
        <v>5</v>
      </c>
      <c r="BS106" s="188">
        <f>+BN106-(((BQ106)/5)*(-1))</f>
        <v>0.08</v>
      </c>
      <c r="BT106" s="88"/>
      <c r="BU106" s="188">
        <f t="shared" si="43"/>
        <v>0</v>
      </c>
      <c r="BV106" s="188">
        <f t="shared" si="44"/>
        <v>0</v>
      </c>
      <c r="BW106" s="188">
        <f>+BN106-(((BQ106)/5)*(-2))</f>
        <v>0.16</v>
      </c>
      <c r="BX106" s="88"/>
      <c r="BY106" s="188">
        <f t="shared" si="45"/>
        <v>0</v>
      </c>
      <c r="BZ106" s="89">
        <f t="shared" si="46"/>
        <v>0</v>
      </c>
      <c r="CA106" s="188">
        <f>+BN106-(((BQ106)/5)*(-3))</f>
        <v>0.24</v>
      </c>
      <c r="CB106" s="88"/>
      <c r="CC106" s="188">
        <f t="shared" si="47"/>
        <v>0</v>
      </c>
      <c r="CD106" s="188">
        <f t="shared" si="48"/>
        <v>0</v>
      </c>
      <c r="CE106" s="188">
        <f>+BN106-(((BQ106)/5)*(-4))</f>
        <v>0.32</v>
      </c>
      <c r="CF106" s="188"/>
      <c r="CG106" s="188">
        <f t="shared" si="49"/>
        <v>0</v>
      </c>
      <c r="CH106" s="188">
        <f t="shared" si="50"/>
        <v>0</v>
      </c>
      <c r="CI106" s="188">
        <f>+BN106-(((BQ106)/5)*(-5))</f>
        <v>0.4</v>
      </c>
      <c r="CJ106" s="188"/>
      <c r="CK106" s="188">
        <f t="shared" si="51"/>
        <v>0</v>
      </c>
      <c r="CL106" s="89">
        <f t="shared" si="52"/>
        <v>0</v>
      </c>
      <c r="CM106" s="89"/>
      <c r="CN106" s="188"/>
      <c r="CO106" s="188"/>
      <c r="CP106" s="188"/>
      <c r="CQ106" s="188"/>
      <c r="CR106" s="2"/>
      <c r="CS106" s="24">
        <v>106</v>
      </c>
      <c r="CT106" s="2"/>
    </row>
    <row r="107" spans="1:98" ht="399" x14ac:dyDescent="0.25">
      <c r="A107" s="276">
        <v>5</v>
      </c>
      <c r="B107" s="269" t="s">
        <v>2223</v>
      </c>
      <c r="C107" s="276" t="s">
        <v>1267</v>
      </c>
      <c r="D107" s="83" t="s">
        <v>267</v>
      </c>
      <c r="E107" s="276" t="s">
        <v>273</v>
      </c>
      <c r="F107" s="83" t="s">
        <v>268</v>
      </c>
      <c r="G107" s="275">
        <v>76</v>
      </c>
      <c r="H107" s="77"/>
      <c r="I107" s="77"/>
      <c r="J107" s="77"/>
      <c r="K107" s="269" t="s">
        <v>884</v>
      </c>
      <c r="L107" s="189" t="s">
        <v>2461</v>
      </c>
      <c r="M107" s="181"/>
      <c r="N107" s="77"/>
      <c r="O107" s="78" t="s">
        <v>78</v>
      </c>
      <c r="P107" s="77"/>
      <c r="Q107" s="77"/>
      <c r="R107" s="77"/>
      <c r="S107" s="77"/>
      <c r="T107" s="77"/>
      <c r="U107" s="77"/>
      <c r="V107" s="77"/>
      <c r="W107" s="78"/>
      <c r="X107" s="77"/>
      <c r="Y107" s="275">
        <v>0</v>
      </c>
      <c r="Z107" s="275">
        <v>1</v>
      </c>
      <c r="AA107" s="275" t="s">
        <v>1225</v>
      </c>
      <c r="AB107" s="77"/>
      <c r="AC107" s="275" t="s">
        <v>2170</v>
      </c>
      <c r="AD107" s="189" t="s">
        <v>2462</v>
      </c>
      <c r="AE107" s="83" t="s">
        <v>2463</v>
      </c>
      <c r="AF107" s="78"/>
      <c r="AG107" s="275" t="s">
        <v>1236</v>
      </c>
      <c r="AH107" s="77"/>
      <c r="AI107" s="275">
        <v>1</v>
      </c>
      <c r="AJ107" s="83" t="str">
        <f t="shared" si="31"/>
        <v>03010761</v>
      </c>
      <c r="AK107" s="276" t="s">
        <v>2464</v>
      </c>
      <c r="AL107" s="275" t="s">
        <v>1259</v>
      </c>
      <c r="AM107" s="77"/>
      <c r="AN107" s="189" t="s">
        <v>2465</v>
      </c>
      <c r="AO107" s="276" t="s">
        <v>10</v>
      </c>
      <c r="AP107" s="189" t="s">
        <v>2466</v>
      </c>
      <c r="AQ107" s="79"/>
      <c r="AR107" s="189" t="s">
        <v>2467</v>
      </c>
      <c r="AS107" s="276" t="s">
        <v>2468</v>
      </c>
      <c r="AT107" s="189" t="s">
        <v>2306</v>
      </c>
      <c r="AU107" s="276" t="s">
        <v>2307</v>
      </c>
      <c r="AV107" s="79" t="s">
        <v>2179</v>
      </c>
      <c r="AW107" s="276" t="s">
        <v>2469</v>
      </c>
      <c r="AX107" s="275">
        <v>1</v>
      </c>
      <c r="AY107" s="276" t="str">
        <f t="shared" si="32"/>
        <v>030107611</v>
      </c>
      <c r="AZ107" s="78" t="s">
        <v>2470</v>
      </c>
      <c r="BA107" s="276" t="s">
        <v>2471</v>
      </c>
      <c r="BB107" s="276" t="s">
        <v>1229</v>
      </c>
      <c r="BC107" s="275" t="s">
        <v>11</v>
      </c>
      <c r="BD107" s="275" t="s">
        <v>2179</v>
      </c>
      <c r="BE107" s="275" t="s">
        <v>9</v>
      </c>
      <c r="BF107" s="276" t="s">
        <v>2242</v>
      </c>
      <c r="BG107" s="276" t="s">
        <v>2472</v>
      </c>
      <c r="BH107" s="78"/>
      <c r="BI107" s="276" t="s">
        <v>2290</v>
      </c>
      <c r="BJ107" s="276" t="s">
        <v>2185</v>
      </c>
      <c r="BK107" s="276" t="s">
        <v>2471</v>
      </c>
      <c r="BL107" s="78"/>
      <c r="BM107" s="275">
        <v>2014</v>
      </c>
      <c r="BN107" s="275">
        <v>0</v>
      </c>
      <c r="BO107" s="186">
        <v>0.7</v>
      </c>
      <c r="BP107" s="186">
        <v>1</v>
      </c>
      <c r="BQ107" s="187">
        <f t="shared" si="54"/>
        <v>0.7</v>
      </c>
      <c r="BR107" s="275">
        <v>5</v>
      </c>
      <c r="BS107" s="188">
        <f>+BN107-(((BQ107)/5)*(-1))</f>
        <v>0.13999999999999999</v>
      </c>
      <c r="BT107" s="275">
        <v>0</v>
      </c>
      <c r="BU107" s="275">
        <f t="shared" si="43"/>
        <v>0</v>
      </c>
      <c r="BV107" s="275">
        <f t="shared" si="44"/>
        <v>0</v>
      </c>
      <c r="BW107" s="275">
        <f>+BN107-(((BQ107)/5)*(-2))</f>
        <v>0.27999999999999997</v>
      </c>
      <c r="BX107" s="275">
        <v>0</v>
      </c>
      <c r="BY107" s="275">
        <f t="shared" si="45"/>
        <v>0</v>
      </c>
      <c r="BZ107" s="275">
        <f t="shared" si="46"/>
        <v>0</v>
      </c>
      <c r="CA107" s="275">
        <f>+BN107-(((BQ107)/5)*(-3))</f>
        <v>0.41999999999999993</v>
      </c>
      <c r="CB107" s="275"/>
      <c r="CC107" s="275">
        <f t="shared" si="47"/>
        <v>0</v>
      </c>
      <c r="CD107" s="275">
        <f t="shared" si="48"/>
        <v>0</v>
      </c>
      <c r="CE107" s="275">
        <f>+BN107-(((BQ107)/5)*(-4))</f>
        <v>0.55999999999999994</v>
      </c>
      <c r="CF107" s="275"/>
      <c r="CG107" s="275">
        <f t="shared" si="49"/>
        <v>0</v>
      </c>
      <c r="CH107" s="275">
        <f t="shared" si="50"/>
        <v>0</v>
      </c>
      <c r="CI107" s="275">
        <f>+BN107-(((BQ107)/5)*(-5))</f>
        <v>0.7</v>
      </c>
      <c r="CJ107" s="275"/>
      <c r="CK107" s="275">
        <f t="shared" si="51"/>
        <v>0</v>
      </c>
      <c r="CL107" s="275">
        <f t="shared" si="52"/>
        <v>0</v>
      </c>
      <c r="CM107" s="275"/>
      <c r="CN107" s="275"/>
      <c r="CO107" s="78"/>
      <c r="CP107" s="78"/>
      <c r="CQ107" s="78"/>
      <c r="CR107" s="2"/>
      <c r="CS107" s="24">
        <v>107</v>
      </c>
      <c r="CT107" s="2"/>
    </row>
    <row r="108" spans="1:98" ht="399" x14ac:dyDescent="0.25">
      <c r="A108" s="276">
        <v>5</v>
      </c>
      <c r="B108" s="269" t="s">
        <v>2223</v>
      </c>
      <c r="C108" s="276" t="s">
        <v>1267</v>
      </c>
      <c r="D108" s="83" t="s">
        <v>267</v>
      </c>
      <c r="E108" s="276" t="s">
        <v>273</v>
      </c>
      <c r="F108" s="83" t="s">
        <v>268</v>
      </c>
      <c r="G108" s="275">
        <v>76</v>
      </c>
      <c r="H108" s="77"/>
      <c r="I108" s="77"/>
      <c r="J108" s="77"/>
      <c r="K108" s="269" t="s">
        <v>884</v>
      </c>
      <c r="L108" s="189" t="s">
        <v>2461</v>
      </c>
      <c r="M108" s="181"/>
      <c r="N108" s="77"/>
      <c r="O108" s="78" t="s">
        <v>78</v>
      </c>
      <c r="P108" s="77"/>
      <c r="Q108" s="77"/>
      <c r="R108" s="77"/>
      <c r="S108" s="77"/>
      <c r="T108" s="77"/>
      <c r="U108" s="77"/>
      <c r="V108" s="77"/>
      <c r="W108" s="78"/>
      <c r="X108" s="77"/>
      <c r="Y108" s="275">
        <v>0</v>
      </c>
      <c r="Z108" s="275">
        <v>1</v>
      </c>
      <c r="AA108" s="275" t="s">
        <v>1225</v>
      </c>
      <c r="AB108" s="77"/>
      <c r="AC108" s="275" t="s">
        <v>2170</v>
      </c>
      <c r="AD108" s="189" t="s">
        <v>1295</v>
      </c>
      <c r="AE108" s="83" t="s">
        <v>2463</v>
      </c>
      <c r="AF108" s="78"/>
      <c r="AG108" s="275" t="s">
        <v>1236</v>
      </c>
      <c r="AH108" s="77"/>
      <c r="AI108" s="275">
        <v>1</v>
      </c>
      <c r="AJ108" s="83" t="str">
        <f t="shared" si="31"/>
        <v>03010761</v>
      </c>
      <c r="AK108" s="276" t="s">
        <v>2464</v>
      </c>
      <c r="AL108" s="275" t="s">
        <v>1259</v>
      </c>
      <c r="AM108" s="77"/>
      <c r="AN108" s="189" t="s">
        <v>2465</v>
      </c>
      <c r="AO108" s="276" t="s">
        <v>10</v>
      </c>
      <c r="AP108" s="189" t="s">
        <v>2466</v>
      </c>
      <c r="AQ108" s="79"/>
      <c r="AR108" s="189" t="s">
        <v>2467</v>
      </c>
      <c r="AS108" s="276" t="s">
        <v>2468</v>
      </c>
      <c r="AT108" s="189" t="s">
        <v>2306</v>
      </c>
      <c r="AU108" s="276" t="s">
        <v>2307</v>
      </c>
      <c r="AV108" s="79" t="s">
        <v>2179</v>
      </c>
      <c r="AW108" s="276" t="s">
        <v>2469</v>
      </c>
      <c r="AX108" s="275">
        <v>2</v>
      </c>
      <c r="AY108" s="276" t="str">
        <f t="shared" si="32"/>
        <v>030107612</v>
      </c>
      <c r="AZ108" s="78" t="s">
        <v>2316</v>
      </c>
      <c r="BA108" s="83" t="s">
        <v>2317</v>
      </c>
      <c r="BB108" s="276" t="s">
        <v>2248</v>
      </c>
      <c r="BC108" s="276" t="s">
        <v>11</v>
      </c>
      <c r="BD108" s="276" t="s">
        <v>2318</v>
      </c>
      <c r="BE108" s="83" t="s">
        <v>2242</v>
      </c>
      <c r="BF108" s="276" t="s">
        <v>2242</v>
      </c>
      <c r="BG108" s="189" t="s">
        <v>2319</v>
      </c>
      <c r="BH108" s="276" t="s">
        <v>2320</v>
      </c>
      <c r="BI108" s="276" t="s">
        <v>12</v>
      </c>
      <c r="BJ108" s="83" t="s">
        <v>2321</v>
      </c>
      <c r="BK108" s="83" t="s">
        <v>2322</v>
      </c>
      <c r="BL108" s="276">
        <v>2222333</v>
      </c>
      <c r="BM108" s="275"/>
      <c r="BN108" s="275"/>
      <c r="BO108" s="275">
        <v>1</v>
      </c>
      <c r="BP108" s="275" t="s">
        <v>1323</v>
      </c>
      <c r="BQ108" s="187">
        <f t="shared" si="54"/>
        <v>1</v>
      </c>
      <c r="BR108" s="275">
        <v>5</v>
      </c>
      <c r="BS108" s="188">
        <f>+BN108-(((BQ108)/5)*(-1))</f>
        <v>0.2</v>
      </c>
      <c r="BT108" s="275">
        <v>0</v>
      </c>
      <c r="BU108" s="275">
        <f t="shared" si="43"/>
        <v>0</v>
      </c>
      <c r="BV108" s="275">
        <f t="shared" si="44"/>
        <v>0</v>
      </c>
      <c r="BW108" s="275">
        <f>+BN108-(((BQ108)/5)*(-2))</f>
        <v>0.4</v>
      </c>
      <c r="BX108" s="275">
        <v>0</v>
      </c>
      <c r="BY108" s="275">
        <f t="shared" si="45"/>
        <v>0</v>
      </c>
      <c r="BZ108" s="275">
        <f t="shared" si="46"/>
        <v>0</v>
      </c>
      <c r="CA108" s="275">
        <f>+BN108-(((BQ108)/5)*(-3))</f>
        <v>0.60000000000000009</v>
      </c>
      <c r="CB108" s="275"/>
      <c r="CC108" s="275">
        <f t="shared" si="47"/>
        <v>0</v>
      </c>
      <c r="CD108" s="275">
        <f t="shared" si="48"/>
        <v>0</v>
      </c>
      <c r="CE108" s="275">
        <f>+BN108-(((BQ108)/5)*(-4))</f>
        <v>0.8</v>
      </c>
      <c r="CF108" s="275"/>
      <c r="CG108" s="275">
        <f t="shared" si="49"/>
        <v>0</v>
      </c>
      <c r="CH108" s="275">
        <f t="shared" si="50"/>
        <v>0</v>
      </c>
      <c r="CI108" s="275">
        <f>+BN108-(((BQ108)/5)*(-5))</f>
        <v>1</v>
      </c>
      <c r="CJ108" s="275"/>
      <c r="CK108" s="275">
        <f t="shared" si="51"/>
        <v>0</v>
      </c>
      <c r="CL108" s="275">
        <f t="shared" si="52"/>
        <v>0</v>
      </c>
      <c r="CM108" s="275"/>
      <c r="CN108" s="275"/>
      <c r="CO108" s="78"/>
      <c r="CP108" s="78"/>
      <c r="CQ108" s="78"/>
      <c r="CR108" s="2"/>
      <c r="CS108" s="2">
        <v>108</v>
      </c>
      <c r="CT108" s="2"/>
    </row>
    <row r="109" spans="1:98" ht="128.25" customHeight="1" x14ac:dyDescent="0.25">
      <c r="A109" s="276">
        <v>5</v>
      </c>
      <c r="B109" s="269" t="s">
        <v>2223</v>
      </c>
      <c r="C109" s="269" t="s">
        <v>1267</v>
      </c>
      <c r="D109" s="189" t="s">
        <v>267</v>
      </c>
      <c r="E109" s="276" t="s">
        <v>273</v>
      </c>
      <c r="F109" s="189" t="s">
        <v>268</v>
      </c>
      <c r="G109" s="172">
        <v>77</v>
      </c>
      <c r="H109" s="276" t="s">
        <v>274</v>
      </c>
      <c r="I109" s="276">
        <v>77</v>
      </c>
      <c r="J109" s="276" t="s">
        <v>275</v>
      </c>
      <c r="K109" s="276" t="s">
        <v>885</v>
      </c>
      <c r="L109" s="189" t="s">
        <v>276</v>
      </c>
      <c r="M109" s="276" t="s">
        <v>271</v>
      </c>
      <c r="N109" s="189" t="s">
        <v>272</v>
      </c>
      <c r="O109" s="189" t="s">
        <v>78</v>
      </c>
      <c r="P109" s="276" t="s">
        <v>63</v>
      </c>
      <c r="Q109" s="276" t="s">
        <v>272</v>
      </c>
      <c r="R109" s="276"/>
      <c r="S109" s="276"/>
      <c r="T109" s="276" t="s">
        <v>65</v>
      </c>
      <c r="U109" s="276"/>
      <c r="V109" s="276"/>
      <c r="W109" s="78" t="s">
        <v>277</v>
      </c>
      <c r="X109" s="173" t="e">
        <f>100/COUNTIFS(($B$4:$B$257),C109,($D$4:$D$257),E109)</f>
        <v>#DIV/0!</v>
      </c>
      <c r="Y109" s="276">
        <v>0</v>
      </c>
      <c r="Z109" s="276">
        <v>1</v>
      </c>
      <c r="AA109" s="275" t="s">
        <v>1225</v>
      </c>
      <c r="AB109" s="276">
        <v>1</v>
      </c>
      <c r="AC109" s="275" t="s">
        <v>2473</v>
      </c>
      <c r="AD109" s="189" t="s">
        <v>2474</v>
      </c>
      <c r="AE109" s="189" t="s">
        <v>1296</v>
      </c>
      <c r="AF109" s="79"/>
      <c r="AG109" s="275" t="s">
        <v>2172</v>
      </c>
      <c r="AH109" s="77"/>
      <c r="AI109" s="275">
        <v>1</v>
      </c>
      <c r="AJ109" s="83" t="str">
        <f t="shared" si="31"/>
        <v>03010771</v>
      </c>
      <c r="AK109" s="276" t="s">
        <v>2475</v>
      </c>
      <c r="AL109" s="275" t="s">
        <v>78</v>
      </c>
      <c r="AM109" s="189"/>
      <c r="AN109" s="189" t="s">
        <v>2476</v>
      </c>
      <c r="AO109" s="276" t="s">
        <v>10</v>
      </c>
      <c r="AP109" s="189" t="s">
        <v>2477</v>
      </c>
      <c r="AQ109" s="275"/>
      <c r="AR109" s="189" t="s">
        <v>2478</v>
      </c>
      <c r="AS109" s="276" t="s">
        <v>2479</v>
      </c>
      <c r="AT109" s="276" t="s">
        <v>2178</v>
      </c>
      <c r="AU109" s="276" t="s">
        <v>2479</v>
      </c>
      <c r="AV109" s="276" t="s">
        <v>2285</v>
      </c>
      <c r="AW109" s="276" t="s">
        <v>2480</v>
      </c>
      <c r="AX109" s="275">
        <v>1</v>
      </c>
      <c r="AY109" s="276" t="str">
        <f t="shared" si="32"/>
        <v>030107711</v>
      </c>
      <c r="AZ109" s="276" t="s">
        <v>2481</v>
      </c>
      <c r="BA109" s="83" t="s">
        <v>2482</v>
      </c>
      <c r="BB109" s="83" t="s">
        <v>2483</v>
      </c>
      <c r="BC109" s="276" t="s">
        <v>11</v>
      </c>
      <c r="BD109" s="276" t="s">
        <v>2484</v>
      </c>
      <c r="BE109" s="275" t="s">
        <v>9</v>
      </c>
      <c r="BF109" s="83" t="s">
        <v>2182</v>
      </c>
      <c r="BG109" s="189" t="s">
        <v>2485</v>
      </c>
      <c r="BH109" s="77"/>
      <c r="BI109" s="276" t="s">
        <v>2244</v>
      </c>
      <c r="BJ109" s="276" t="s">
        <v>2486</v>
      </c>
      <c r="BK109" s="276" t="s">
        <v>2487</v>
      </c>
      <c r="BL109" s="275">
        <v>2440122</v>
      </c>
      <c r="BM109" s="275">
        <v>2015</v>
      </c>
      <c r="BN109" s="186">
        <v>0.8</v>
      </c>
      <c r="BO109" s="186">
        <v>0.9</v>
      </c>
      <c r="BP109" s="186">
        <v>1</v>
      </c>
      <c r="BQ109" s="187">
        <f t="shared" si="54"/>
        <v>9.9999999999999978E-2</v>
      </c>
      <c r="BR109" s="275">
        <v>5</v>
      </c>
      <c r="BS109" s="188">
        <f>+BN109-(((BQ109)/5)*(-1))</f>
        <v>0.82000000000000006</v>
      </c>
      <c r="BT109" s="126">
        <v>0.82</v>
      </c>
      <c r="BU109" s="188">
        <f t="shared" si="43"/>
        <v>1.9999999999999907E-2</v>
      </c>
      <c r="BV109" s="188">
        <f t="shared" si="44"/>
        <v>0.19999999999999912</v>
      </c>
      <c r="BW109" s="188">
        <f>+BN109-(((BQ109)/5)*(-2))</f>
        <v>0.84000000000000008</v>
      </c>
      <c r="BX109" s="188">
        <v>0.85</v>
      </c>
      <c r="BY109" s="188">
        <f t="shared" si="45"/>
        <v>4.9999999999999933E-2</v>
      </c>
      <c r="BZ109" s="89">
        <f t="shared" si="46"/>
        <v>0.49999999999999944</v>
      </c>
      <c r="CA109" s="188">
        <f>+BN109-(((BQ109)/5)*(-3))</f>
        <v>0.86</v>
      </c>
      <c r="CB109" s="188"/>
      <c r="CC109" s="188">
        <f t="shared" si="47"/>
        <v>-0.8</v>
      </c>
      <c r="CD109" s="188">
        <f t="shared" si="48"/>
        <v>-8.0000000000000018</v>
      </c>
      <c r="CE109" s="188">
        <f>+BN109-(((BQ109)/5)*(-4))</f>
        <v>0.88</v>
      </c>
      <c r="CF109" s="188"/>
      <c r="CG109" s="188">
        <f t="shared" si="49"/>
        <v>-0.8</v>
      </c>
      <c r="CH109" s="188">
        <f t="shared" si="50"/>
        <v>-8.0000000000000018</v>
      </c>
      <c r="CI109" s="188">
        <f>+BN109-(((BQ109)/5)*(-5))</f>
        <v>0.9</v>
      </c>
      <c r="CJ109" s="188"/>
      <c r="CK109" s="188">
        <f t="shared" si="51"/>
        <v>-0.8</v>
      </c>
      <c r="CL109" s="89">
        <f t="shared" si="52"/>
        <v>-8.0000000000000018</v>
      </c>
      <c r="CM109" s="89"/>
      <c r="CN109" s="188"/>
      <c r="CO109" s="188"/>
      <c r="CP109" s="188"/>
      <c r="CQ109" s="188"/>
      <c r="CR109" s="2"/>
      <c r="CS109" s="24">
        <v>109</v>
      </c>
      <c r="CT109" s="2"/>
    </row>
    <row r="110" spans="1:98" ht="128.25" customHeight="1" x14ac:dyDescent="0.25">
      <c r="A110" s="276">
        <v>6</v>
      </c>
      <c r="B110" s="269" t="s">
        <v>2223</v>
      </c>
      <c r="C110" s="269" t="s">
        <v>1267</v>
      </c>
      <c r="D110" s="83" t="s">
        <v>267</v>
      </c>
      <c r="E110" s="114" t="s">
        <v>300</v>
      </c>
      <c r="F110" s="83" t="s">
        <v>2373</v>
      </c>
      <c r="G110" s="275">
        <v>88</v>
      </c>
      <c r="H110" s="77"/>
      <c r="I110" s="77"/>
      <c r="J110" s="77"/>
      <c r="K110" s="269" t="s">
        <v>896</v>
      </c>
      <c r="L110" s="189" t="s">
        <v>299</v>
      </c>
      <c r="M110" s="181"/>
      <c r="N110" s="77"/>
      <c r="O110" s="275" t="s">
        <v>137</v>
      </c>
      <c r="P110" s="77"/>
      <c r="Q110" s="77"/>
      <c r="R110" s="77"/>
      <c r="S110" s="77"/>
      <c r="T110" s="77"/>
      <c r="U110" s="77"/>
      <c r="V110" s="77"/>
      <c r="W110" s="78"/>
      <c r="X110" s="77"/>
      <c r="Y110" s="275">
        <v>1</v>
      </c>
      <c r="Z110" s="275">
        <v>0</v>
      </c>
      <c r="AA110" s="275" t="s">
        <v>1220</v>
      </c>
      <c r="AB110" s="77"/>
      <c r="AC110" s="181"/>
      <c r="AD110" s="77"/>
      <c r="AE110" s="77"/>
      <c r="AF110" s="276" t="s">
        <v>2278</v>
      </c>
      <c r="AG110" s="275" t="s">
        <v>1364</v>
      </c>
      <c r="AH110" s="77"/>
      <c r="AI110" s="275">
        <v>1</v>
      </c>
      <c r="AJ110" s="83" t="str">
        <f t="shared" si="31"/>
        <v>03020881</v>
      </c>
      <c r="AK110" s="276" t="s">
        <v>2374</v>
      </c>
      <c r="AL110" s="275" t="s">
        <v>137</v>
      </c>
      <c r="AM110" s="77"/>
      <c r="AN110" s="189" t="s">
        <v>2375</v>
      </c>
      <c r="AO110" s="275" t="s">
        <v>10</v>
      </c>
      <c r="AP110" s="276" t="s">
        <v>2376</v>
      </c>
      <c r="AQ110" s="76"/>
      <c r="AR110" s="276" t="s">
        <v>2377</v>
      </c>
      <c r="AS110" s="276" t="s">
        <v>2378</v>
      </c>
      <c r="AT110" s="276" t="s">
        <v>2379</v>
      </c>
      <c r="AU110" s="276" t="s">
        <v>2378</v>
      </c>
      <c r="AV110" s="276" t="s">
        <v>1529</v>
      </c>
      <c r="AW110" s="76"/>
      <c r="AX110" s="275">
        <v>1</v>
      </c>
      <c r="AY110" s="276" t="str">
        <f t="shared" si="32"/>
        <v>030208811</v>
      </c>
      <c r="AZ110" s="276" t="s">
        <v>2380</v>
      </c>
      <c r="BA110" s="276" t="s">
        <v>2381</v>
      </c>
      <c r="BB110" s="276" t="s">
        <v>1229</v>
      </c>
      <c r="BC110" s="276" t="s">
        <v>1359</v>
      </c>
      <c r="BD110" s="276" t="s">
        <v>1529</v>
      </c>
      <c r="BE110" s="276" t="s">
        <v>9</v>
      </c>
      <c r="BF110" s="276" t="s">
        <v>2242</v>
      </c>
      <c r="BG110" s="276" t="s">
        <v>2382</v>
      </c>
      <c r="BH110" s="276"/>
      <c r="BI110" s="276" t="s">
        <v>2381</v>
      </c>
      <c r="BJ110" s="276" t="s">
        <v>2383</v>
      </c>
      <c r="BK110" s="276" t="s">
        <v>2384</v>
      </c>
      <c r="BL110" s="276">
        <v>2443521</v>
      </c>
      <c r="BM110" s="275">
        <v>2015</v>
      </c>
      <c r="BN110" s="186">
        <v>0</v>
      </c>
      <c r="BO110" s="80">
        <v>1</v>
      </c>
      <c r="BP110" s="276"/>
      <c r="BQ110" s="124">
        <f t="shared" si="54"/>
        <v>1</v>
      </c>
      <c r="BR110" s="276">
        <v>5</v>
      </c>
      <c r="BS110" s="188">
        <f>+BN110-(((BQ110)/5)*(-1))</f>
        <v>0.2</v>
      </c>
      <c r="BT110" s="183"/>
      <c r="BU110" s="183">
        <f t="shared" si="43"/>
        <v>0</v>
      </c>
      <c r="BV110" s="174">
        <f t="shared" si="44"/>
        <v>0</v>
      </c>
      <c r="BW110" s="188">
        <f>+BN110-(((BQ110)/5)*(-2))</f>
        <v>0.4</v>
      </c>
      <c r="BX110" s="183"/>
      <c r="BY110" s="182">
        <f t="shared" si="45"/>
        <v>0</v>
      </c>
      <c r="BZ110" s="183">
        <f t="shared" si="46"/>
        <v>0</v>
      </c>
      <c r="CA110" s="188">
        <f>+BN110-(((BQ110)/5)*(-3))</f>
        <v>0.60000000000000009</v>
      </c>
      <c r="CB110" s="183"/>
      <c r="CC110" s="183">
        <f t="shared" si="47"/>
        <v>0</v>
      </c>
      <c r="CD110" s="183">
        <f t="shared" si="48"/>
        <v>0</v>
      </c>
      <c r="CE110" s="188">
        <f>+BN110-(((BQ110)/5)*(-4))</f>
        <v>0.8</v>
      </c>
      <c r="CF110" s="183"/>
      <c r="CG110" s="183">
        <f t="shared" si="49"/>
        <v>0</v>
      </c>
      <c r="CH110" s="183">
        <f t="shared" si="50"/>
        <v>0</v>
      </c>
      <c r="CI110" s="188">
        <f>+BN110-(((BQ110)/5)*(-5))</f>
        <v>1</v>
      </c>
      <c r="CJ110" s="183"/>
      <c r="CK110" s="183">
        <f t="shared" si="51"/>
        <v>0</v>
      </c>
      <c r="CL110" s="183">
        <f t="shared" si="52"/>
        <v>0</v>
      </c>
      <c r="CM110" s="77"/>
      <c r="CN110" s="77"/>
      <c r="CO110" s="77"/>
      <c r="CP110" s="77"/>
      <c r="CQ110" s="77"/>
      <c r="CR110" s="2"/>
      <c r="CS110" s="24">
        <v>110</v>
      </c>
      <c r="CT110" s="2"/>
    </row>
    <row r="111" spans="1:98" ht="142.5" x14ac:dyDescent="0.25">
      <c r="A111" s="276">
        <v>6</v>
      </c>
      <c r="B111" s="269" t="s">
        <v>2223</v>
      </c>
      <c r="C111" s="269" t="s">
        <v>1267</v>
      </c>
      <c r="D111" s="83" t="s">
        <v>267</v>
      </c>
      <c r="E111" s="114" t="s">
        <v>300</v>
      </c>
      <c r="F111" s="83" t="s">
        <v>2373</v>
      </c>
      <c r="G111" s="275">
        <v>89</v>
      </c>
      <c r="H111" s="77"/>
      <c r="I111" s="77"/>
      <c r="J111" s="77"/>
      <c r="K111" s="269" t="s">
        <v>897</v>
      </c>
      <c r="L111" s="189" t="s">
        <v>2385</v>
      </c>
      <c r="M111" s="181"/>
      <c r="N111" s="77"/>
      <c r="O111" s="275" t="s">
        <v>137</v>
      </c>
      <c r="P111" s="77"/>
      <c r="Q111" s="77"/>
      <c r="R111" s="77"/>
      <c r="S111" s="77"/>
      <c r="T111" s="77"/>
      <c r="U111" s="77"/>
      <c r="V111" s="77"/>
      <c r="W111" s="78"/>
      <c r="X111" s="77"/>
      <c r="Y111" s="275">
        <v>1</v>
      </c>
      <c r="Z111" s="275">
        <v>0</v>
      </c>
      <c r="AA111" s="275" t="s">
        <v>1220</v>
      </c>
      <c r="AB111" s="77"/>
      <c r="AC111" s="181"/>
      <c r="AD111" s="77"/>
      <c r="AE111" s="77"/>
      <c r="AF111" s="276" t="s">
        <v>2278</v>
      </c>
      <c r="AG111" s="275" t="s">
        <v>1364</v>
      </c>
      <c r="AH111" s="77"/>
      <c r="AI111" s="275">
        <v>1</v>
      </c>
      <c r="AJ111" s="83" t="str">
        <f t="shared" si="31"/>
        <v>03020891</v>
      </c>
      <c r="AK111" s="276" t="s">
        <v>2386</v>
      </c>
      <c r="AL111" s="275" t="s">
        <v>137</v>
      </c>
      <c r="AM111" s="77"/>
      <c r="AN111" s="189" t="s">
        <v>9</v>
      </c>
      <c r="AO111" s="276" t="s">
        <v>1369</v>
      </c>
      <c r="AP111" s="276" t="s">
        <v>2387</v>
      </c>
      <c r="AQ111" s="276" t="s">
        <v>2382</v>
      </c>
      <c r="AR111" s="276" t="s">
        <v>2388</v>
      </c>
      <c r="AS111" s="276" t="s">
        <v>2389</v>
      </c>
      <c r="AT111" s="276" t="s">
        <v>2382</v>
      </c>
      <c r="AU111" s="276" t="s">
        <v>2382</v>
      </c>
      <c r="AV111" s="276" t="s">
        <v>1529</v>
      </c>
      <c r="AW111" s="276"/>
      <c r="AX111" s="275">
        <v>1</v>
      </c>
      <c r="AY111" s="276" t="str">
        <f t="shared" si="32"/>
        <v>030208911</v>
      </c>
      <c r="AZ111" s="276" t="s">
        <v>2390</v>
      </c>
      <c r="BA111" s="276" t="s">
        <v>2391</v>
      </c>
      <c r="BB111" s="276" t="s">
        <v>1229</v>
      </c>
      <c r="BC111" s="276" t="s">
        <v>1359</v>
      </c>
      <c r="BD111" s="276" t="s">
        <v>1529</v>
      </c>
      <c r="BE111" s="276" t="s">
        <v>9</v>
      </c>
      <c r="BF111" s="276" t="s">
        <v>2242</v>
      </c>
      <c r="BG111" s="276" t="s">
        <v>2382</v>
      </c>
      <c r="BH111" s="276"/>
      <c r="BI111" s="276" t="s">
        <v>2391</v>
      </c>
      <c r="BJ111" s="276" t="s">
        <v>2391</v>
      </c>
      <c r="BK111" s="276" t="s">
        <v>2391</v>
      </c>
      <c r="BL111" s="77"/>
      <c r="BM111" s="275">
        <v>2015</v>
      </c>
      <c r="BN111" s="275">
        <v>0</v>
      </c>
      <c r="BO111" s="276">
        <v>4</v>
      </c>
      <c r="BP111" s="276"/>
      <c r="BQ111" s="125">
        <f t="shared" si="54"/>
        <v>4</v>
      </c>
      <c r="BR111" s="276">
        <v>5</v>
      </c>
      <c r="BS111" s="182">
        <v>0</v>
      </c>
      <c r="BT111" s="183">
        <v>0</v>
      </c>
      <c r="BU111" s="183">
        <f t="shared" si="43"/>
        <v>0</v>
      </c>
      <c r="BV111" s="174">
        <f t="shared" si="44"/>
        <v>0</v>
      </c>
      <c r="BW111" s="182">
        <v>0</v>
      </c>
      <c r="BX111" s="183">
        <v>0</v>
      </c>
      <c r="BY111" s="182">
        <f t="shared" si="45"/>
        <v>0</v>
      </c>
      <c r="BZ111" s="183">
        <f t="shared" si="46"/>
        <v>0</v>
      </c>
      <c r="CA111" s="182">
        <v>0</v>
      </c>
      <c r="CB111" s="183">
        <v>0</v>
      </c>
      <c r="CC111" s="183">
        <f t="shared" si="47"/>
        <v>0</v>
      </c>
      <c r="CD111" s="183">
        <f t="shared" si="48"/>
        <v>0</v>
      </c>
      <c r="CE111" s="182">
        <v>3</v>
      </c>
      <c r="CF111" s="183"/>
      <c r="CG111" s="183">
        <f t="shared" si="49"/>
        <v>0</v>
      </c>
      <c r="CH111" s="183">
        <f t="shared" si="50"/>
        <v>0</v>
      </c>
      <c r="CI111" s="182">
        <v>4</v>
      </c>
      <c r="CJ111" s="183"/>
      <c r="CK111" s="183">
        <f t="shared" si="51"/>
        <v>0</v>
      </c>
      <c r="CL111" s="183">
        <f t="shared" si="52"/>
        <v>0</v>
      </c>
      <c r="CM111" s="77"/>
      <c r="CN111" s="77"/>
      <c r="CO111" s="77"/>
      <c r="CP111" s="77"/>
      <c r="CQ111" s="77"/>
      <c r="CR111" s="2"/>
      <c r="CS111" s="2">
        <v>111</v>
      </c>
      <c r="CT111" s="2"/>
    </row>
    <row r="112" spans="1:98" ht="142.5" x14ac:dyDescent="0.25">
      <c r="A112" s="276">
        <v>6</v>
      </c>
      <c r="B112" s="269" t="s">
        <v>2223</v>
      </c>
      <c r="C112" s="269" t="s">
        <v>1267</v>
      </c>
      <c r="D112" s="83" t="s">
        <v>267</v>
      </c>
      <c r="E112" s="114" t="s">
        <v>300</v>
      </c>
      <c r="F112" s="83" t="s">
        <v>2373</v>
      </c>
      <c r="G112" s="275">
        <v>89</v>
      </c>
      <c r="H112" s="77"/>
      <c r="I112" s="77"/>
      <c r="J112" s="77"/>
      <c r="K112" s="269" t="s">
        <v>897</v>
      </c>
      <c r="L112" s="189" t="s">
        <v>2385</v>
      </c>
      <c r="M112" s="181"/>
      <c r="N112" s="77"/>
      <c r="O112" s="275" t="s">
        <v>137</v>
      </c>
      <c r="P112" s="77"/>
      <c r="Q112" s="77"/>
      <c r="R112" s="77"/>
      <c r="S112" s="77"/>
      <c r="T112" s="77"/>
      <c r="U112" s="77"/>
      <c r="V112" s="77"/>
      <c r="W112" s="78"/>
      <c r="X112" s="77"/>
      <c r="Y112" s="275">
        <v>1</v>
      </c>
      <c r="Z112" s="275">
        <v>0</v>
      </c>
      <c r="AA112" s="275" t="s">
        <v>1220</v>
      </c>
      <c r="AB112" s="77"/>
      <c r="AC112" s="181"/>
      <c r="AD112" s="77"/>
      <c r="AE112" s="77"/>
      <c r="AF112" s="276" t="s">
        <v>2278</v>
      </c>
      <c r="AG112" s="275" t="s">
        <v>1364</v>
      </c>
      <c r="AH112" s="77"/>
      <c r="AI112" s="275">
        <v>1</v>
      </c>
      <c r="AJ112" s="83" t="str">
        <f t="shared" si="31"/>
        <v>03020891</v>
      </c>
      <c r="AK112" s="276" t="s">
        <v>2392</v>
      </c>
      <c r="AL112" s="275" t="s">
        <v>137</v>
      </c>
      <c r="AM112" s="77"/>
      <c r="AN112" s="189" t="s">
        <v>2375</v>
      </c>
      <c r="AO112" s="275" t="s">
        <v>10</v>
      </c>
      <c r="AP112" s="276" t="s">
        <v>2393</v>
      </c>
      <c r="AQ112" s="76"/>
      <c r="AR112" s="276" t="s">
        <v>2394</v>
      </c>
      <c r="AS112" s="276" t="s">
        <v>2389</v>
      </c>
      <c r="AT112" s="276" t="s">
        <v>2395</v>
      </c>
      <c r="AU112" s="276" t="s">
        <v>2389</v>
      </c>
      <c r="AV112" s="276" t="s">
        <v>1529</v>
      </c>
      <c r="AW112" s="76"/>
      <c r="AX112" s="275">
        <v>2</v>
      </c>
      <c r="AY112" s="276" t="str">
        <f t="shared" si="32"/>
        <v>030208912</v>
      </c>
      <c r="AZ112" s="276" t="s">
        <v>2390</v>
      </c>
      <c r="BA112" s="276" t="s">
        <v>2391</v>
      </c>
      <c r="BB112" s="276" t="s">
        <v>1229</v>
      </c>
      <c r="BC112" s="276" t="s">
        <v>1359</v>
      </c>
      <c r="BD112" s="276" t="s">
        <v>1529</v>
      </c>
      <c r="BE112" s="276" t="s">
        <v>9</v>
      </c>
      <c r="BF112" s="276" t="s">
        <v>2242</v>
      </c>
      <c r="BG112" s="276" t="s">
        <v>2382</v>
      </c>
      <c r="BH112" s="276"/>
      <c r="BI112" s="276" t="s">
        <v>2391</v>
      </c>
      <c r="BJ112" s="276" t="s">
        <v>2391</v>
      </c>
      <c r="BK112" s="276" t="s">
        <v>2391</v>
      </c>
      <c r="BL112" s="77"/>
      <c r="BM112" s="275">
        <v>2015</v>
      </c>
      <c r="BN112" s="186">
        <v>0</v>
      </c>
      <c r="BO112" s="80">
        <v>1</v>
      </c>
      <c r="BP112" s="276" t="s">
        <v>1323</v>
      </c>
      <c r="BQ112" s="124">
        <f t="shared" si="54"/>
        <v>1</v>
      </c>
      <c r="BR112" s="276">
        <v>5</v>
      </c>
      <c r="BS112" s="188">
        <v>0</v>
      </c>
      <c r="BT112" s="187">
        <v>0</v>
      </c>
      <c r="BU112" s="187">
        <f t="shared" si="43"/>
        <v>0</v>
      </c>
      <c r="BV112" s="188">
        <f t="shared" si="44"/>
        <v>0</v>
      </c>
      <c r="BW112" s="188">
        <v>0</v>
      </c>
      <c r="BX112" s="187">
        <v>0</v>
      </c>
      <c r="BY112" s="188">
        <f t="shared" si="45"/>
        <v>0</v>
      </c>
      <c r="BZ112" s="187">
        <f t="shared" si="46"/>
        <v>0</v>
      </c>
      <c r="CA112" s="188">
        <v>0</v>
      </c>
      <c r="CB112" s="187"/>
      <c r="CC112" s="187">
        <f t="shared" si="47"/>
        <v>0</v>
      </c>
      <c r="CD112" s="187">
        <f t="shared" si="48"/>
        <v>0</v>
      </c>
      <c r="CE112" s="188">
        <v>0</v>
      </c>
      <c r="CF112" s="187"/>
      <c r="CG112" s="187">
        <f t="shared" si="49"/>
        <v>0</v>
      </c>
      <c r="CH112" s="187">
        <f t="shared" si="50"/>
        <v>0</v>
      </c>
      <c r="CI112" s="188">
        <v>0</v>
      </c>
      <c r="CJ112" s="187"/>
      <c r="CK112" s="187">
        <f t="shared" si="51"/>
        <v>0</v>
      </c>
      <c r="CL112" s="187">
        <f t="shared" si="52"/>
        <v>0</v>
      </c>
      <c r="CM112" s="77"/>
      <c r="CN112" s="77"/>
      <c r="CO112" s="77"/>
      <c r="CP112" s="77"/>
      <c r="CQ112" s="77"/>
      <c r="CR112" s="2"/>
      <c r="CS112" s="24">
        <v>112</v>
      </c>
      <c r="CT112" s="2"/>
    </row>
    <row r="113" spans="1:98" ht="199.5" x14ac:dyDescent="0.25">
      <c r="A113" s="276">
        <v>6</v>
      </c>
      <c r="B113" s="269" t="s">
        <v>2223</v>
      </c>
      <c r="C113" s="269" t="s">
        <v>1267</v>
      </c>
      <c r="D113" s="83" t="s">
        <v>267</v>
      </c>
      <c r="E113" s="114" t="s">
        <v>300</v>
      </c>
      <c r="F113" s="83" t="s">
        <v>2373</v>
      </c>
      <c r="G113" s="275">
        <v>89</v>
      </c>
      <c r="H113" s="77"/>
      <c r="I113" s="77"/>
      <c r="J113" s="77"/>
      <c r="K113" s="269" t="s">
        <v>897</v>
      </c>
      <c r="L113" s="189" t="s">
        <v>2385</v>
      </c>
      <c r="M113" s="181"/>
      <c r="N113" s="77"/>
      <c r="O113" s="275" t="s">
        <v>137</v>
      </c>
      <c r="P113" s="77"/>
      <c r="Q113" s="77"/>
      <c r="R113" s="77"/>
      <c r="S113" s="77"/>
      <c r="T113" s="77"/>
      <c r="U113" s="77"/>
      <c r="V113" s="77"/>
      <c r="W113" s="78"/>
      <c r="X113" s="77"/>
      <c r="Y113" s="275">
        <v>1</v>
      </c>
      <c r="Z113" s="275">
        <v>0</v>
      </c>
      <c r="AA113" s="275" t="s">
        <v>1220</v>
      </c>
      <c r="AB113" s="77"/>
      <c r="AC113" s="181"/>
      <c r="AD113" s="77"/>
      <c r="AE113" s="77"/>
      <c r="AF113" s="276" t="s">
        <v>2278</v>
      </c>
      <c r="AG113" s="275" t="s">
        <v>1364</v>
      </c>
      <c r="AH113" s="77"/>
      <c r="AI113" s="275">
        <v>1</v>
      </c>
      <c r="AJ113" s="83" t="str">
        <f t="shared" si="31"/>
        <v>03020891</v>
      </c>
      <c r="AK113" s="276" t="s">
        <v>2396</v>
      </c>
      <c r="AL113" s="275" t="s">
        <v>137</v>
      </c>
      <c r="AM113" s="77"/>
      <c r="AN113" s="189" t="s">
        <v>9</v>
      </c>
      <c r="AO113" s="276" t="s">
        <v>1369</v>
      </c>
      <c r="AP113" s="276" t="s">
        <v>2397</v>
      </c>
      <c r="AQ113" s="276" t="s">
        <v>2382</v>
      </c>
      <c r="AR113" s="276" t="s">
        <v>2398</v>
      </c>
      <c r="AS113" s="276" t="s">
        <v>2399</v>
      </c>
      <c r="AT113" s="276" t="s">
        <v>2382</v>
      </c>
      <c r="AU113" s="276" t="s">
        <v>2382</v>
      </c>
      <c r="AV113" s="276" t="s">
        <v>1529</v>
      </c>
      <c r="AW113" s="276" t="s">
        <v>2400</v>
      </c>
      <c r="AX113" s="275">
        <v>1</v>
      </c>
      <c r="AY113" s="276" t="str">
        <f t="shared" si="32"/>
        <v>030208911</v>
      </c>
      <c r="AZ113" s="276" t="s">
        <v>2401</v>
      </c>
      <c r="BA113" s="276" t="s">
        <v>2402</v>
      </c>
      <c r="BB113" s="276" t="s">
        <v>1229</v>
      </c>
      <c r="BC113" s="276" t="s">
        <v>1359</v>
      </c>
      <c r="BD113" s="276" t="s">
        <v>1529</v>
      </c>
      <c r="BE113" s="276" t="s">
        <v>9</v>
      </c>
      <c r="BF113" s="276" t="s">
        <v>2242</v>
      </c>
      <c r="BG113" s="276" t="s">
        <v>2382</v>
      </c>
      <c r="BH113" s="276"/>
      <c r="BI113" s="276" t="s">
        <v>2402</v>
      </c>
      <c r="BJ113" s="114" t="s">
        <v>2403</v>
      </c>
      <c r="BK113" s="114" t="s">
        <v>2404</v>
      </c>
      <c r="BL113" s="77"/>
      <c r="BM113" s="275">
        <v>2015</v>
      </c>
      <c r="BN113" s="275">
        <v>0</v>
      </c>
      <c r="BO113" s="276">
        <v>12</v>
      </c>
      <c r="BP113" s="276" t="s">
        <v>1323</v>
      </c>
      <c r="BQ113" s="125">
        <f t="shared" si="54"/>
        <v>12</v>
      </c>
      <c r="BR113" s="276">
        <v>5</v>
      </c>
      <c r="BS113" s="182">
        <v>0</v>
      </c>
      <c r="BT113" s="183">
        <v>0</v>
      </c>
      <c r="BU113" s="183">
        <f t="shared" si="43"/>
        <v>0</v>
      </c>
      <c r="BV113" s="174">
        <f t="shared" si="44"/>
        <v>0</v>
      </c>
      <c r="BW113" s="182">
        <v>0</v>
      </c>
      <c r="BX113" s="183">
        <v>0</v>
      </c>
      <c r="BY113" s="182">
        <f t="shared" si="45"/>
        <v>0</v>
      </c>
      <c r="BZ113" s="183">
        <f t="shared" si="46"/>
        <v>0</v>
      </c>
      <c r="CA113" s="182">
        <v>0</v>
      </c>
      <c r="CB113" s="183">
        <v>0</v>
      </c>
      <c r="CC113" s="183">
        <f t="shared" si="47"/>
        <v>0</v>
      </c>
      <c r="CD113" s="183">
        <f t="shared" si="48"/>
        <v>0</v>
      </c>
      <c r="CE113" s="182">
        <v>3</v>
      </c>
      <c r="CF113" s="183"/>
      <c r="CG113" s="183">
        <f t="shared" si="49"/>
        <v>0</v>
      </c>
      <c r="CH113" s="183">
        <f t="shared" si="50"/>
        <v>0</v>
      </c>
      <c r="CI113" s="182">
        <v>4</v>
      </c>
      <c r="CJ113" s="183"/>
      <c r="CK113" s="183">
        <f t="shared" si="51"/>
        <v>0</v>
      </c>
      <c r="CL113" s="183">
        <f t="shared" si="52"/>
        <v>0</v>
      </c>
      <c r="CM113" s="77"/>
      <c r="CN113" s="77"/>
      <c r="CO113" s="77"/>
      <c r="CP113" s="77"/>
      <c r="CQ113" s="77"/>
      <c r="CR113" s="2"/>
      <c r="CS113" s="24">
        <v>113</v>
      </c>
      <c r="CT113" s="2"/>
    </row>
    <row r="114" spans="1:98" ht="199.5" x14ac:dyDescent="0.25">
      <c r="A114" s="276">
        <v>6</v>
      </c>
      <c r="B114" s="269" t="s">
        <v>2223</v>
      </c>
      <c r="C114" s="269" t="s">
        <v>1267</v>
      </c>
      <c r="D114" s="83" t="s">
        <v>267</v>
      </c>
      <c r="E114" s="114" t="s">
        <v>300</v>
      </c>
      <c r="F114" s="83" t="s">
        <v>2373</v>
      </c>
      <c r="G114" s="275">
        <v>89</v>
      </c>
      <c r="H114" s="77"/>
      <c r="I114" s="77"/>
      <c r="J114" s="77"/>
      <c r="K114" s="269" t="s">
        <v>897</v>
      </c>
      <c r="L114" s="189" t="s">
        <v>2385</v>
      </c>
      <c r="M114" s="181"/>
      <c r="N114" s="77"/>
      <c r="O114" s="275" t="s">
        <v>137</v>
      </c>
      <c r="P114" s="77"/>
      <c r="Q114" s="77"/>
      <c r="R114" s="77"/>
      <c r="S114" s="77"/>
      <c r="T114" s="77"/>
      <c r="U114" s="77"/>
      <c r="V114" s="77"/>
      <c r="W114" s="78"/>
      <c r="X114" s="77"/>
      <c r="Y114" s="275">
        <v>1</v>
      </c>
      <c r="Z114" s="275">
        <v>0</v>
      </c>
      <c r="AA114" s="275" t="s">
        <v>1220</v>
      </c>
      <c r="AB114" s="77"/>
      <c r="AC114" s="181"/>
      <c r="AD114" s="77"/>
      <c r="AE114" s="77"/>
      <c r="AF114" s="276" t="s">
        <v>2278</v>
      </c>
      <c r="AG114" s="275" t="s">
        <v>1364</v>
      </c>
      <c r="AH114" s="77"/>
      <c r="AI114" s="275">
        <v>1</v>
      </c>
      <c r="AJ114" s="83" t="str">
        <f t="shared" si="31"/>
        <v>03020891</v>
      </c>
      <c r="AK114" s="276" t="s">
        <v>2405</v>
      </c>
      <c r="AL114" s="275" t="s">
        <v>137</v>
      </c>
      <c r="AM114" s="77"/>
      <c r="AN114" s="189" t="s">
        <v>2375</v>
      </c>
      <c r="AO114" s="275" t="s">
        <v>10</v>
      </c>
      <c r="AP114" s="276" t="s">
        <v>2406</v>
      </c>
      <c r="AQ114" s="76"/>
      <c r="AR114" s="276" t="s">
        <v>2407</v>
      </c>
      <c r="AS114" s="276" t="s">
        <v>2399</v>
      </c>
      <c r="AT114" s="276" t="s">
        <v>2408</v>
      </c>
      <c r="AU114" s="276" t="s">
        <v>2399</v>
      </c>
      <c r="AV114" s="276" t="s">
        <v>1529</v>
      </c>
      <c r="AW114" s="76"/>
      <c r="AX114" s="275">
        <v>2</v>
      </c>
      <c r="AY114" s="276" t="str">
        <f t="shared" si="32"/>
        <v>030208912</v>
      </c>
      <c r="AZ114" s="276" t="s">
        <v>2401</v>
      </c>
      <c r="BA114" s="276" t="s">
        <v>2402</v>
      </c>
      <c r="BB114" s="276" t="s">
        <v>1229</v>
      </c>
      <c r="BC114" s="276" t="s">
        <v>1359</v>
      </c>
      <c r="BD114" s="276" t="s">
        <v>1529</v>
      </c>
      <c r="BE114" s="276" t="s">
        <v>9</v>
      </c>
      <c r="BF114" s="276" t="s">
        <v>2242</v>
      </c>
      <c r="BG114" s="276" t="s">
        <v>2382</v>
      </c>
      <c r="BH114" s="276"/>
      <c r="BI114" s="276" t="s">
        <v>2402</v>
      </c>
      <c r="BJ114" s="114" t="s">
        <v>2403</v>
      </c>
      <c r="BK114" s="114" t="s">
        <v>2404</v>
      </c>
      <c r="BL114" s="77"/>
      <c r="BM114" s="275">
        <v>2015</v>
      </c>
      <c r="BN114" s="186">
        <v>0</v>
      </c>
      <c r="BO114" s="80">
        <v>1</v>
      </c>
      <c r="BP114" s="276" t="s">
        <v>1323</v>
      </c>
      <c r="BQ114" s="124">
        <f t="shared" si="54"/>
        <v>1</v>
      </c>
      <c r="BR114" s="276">
        <v>5</v>
      </c>
      <c r="BS114" s="188">
        <f>+BN114-(((BQ114)/5)*(-1))</f>
        <v>0.2</v>
      </c>
      <c r="BT114" s="187">
        <v>0</v>
      </c>
      <c r="BU114" s="187">
        <f t="shared" si="43"/>
        <v>0</v>
      </c>
      <c r="BV114" s="188">
        <f t="shared" si="44"/>
        <v>0</v>
      </c>
      <c r="BW114" s="188">
        <f>+BN114-(((BQ114)/5)*(-2))</f>
        <v>0.4</v>
      </c>
      <c r="BX114" s="187">
        <v>0</v>
      </c>
      <c r="BY114" s="188">
        <f t="shared" si="45"/>
        <v>0</v>
      </c>
      <c r="BZ114" s="187">
        <f t="shared" si="46"/>
        <v>0</v>
      </c>
      <c r="CA114" s="188">
        <f>+BN114-(((BQ114)/5)*(-3))</f>
        <v>0.60000000000000009</v>
      </c>
      <c r="CB114" s="187"/>
      <c r="CC114" s="187">
        <f t="shared" si="47"/>
        <v>0</v>
      </c>
      <c r="CD114" s="187">
        <f t="shared" si="48"/>
        <v>0</v>
      </c>
      <c r="CE114" s="188">
        <f>+BN114-(((BQ114)/5)*(-4))</f>
        <v>0.8</v>
      </c>
      <c r="CF114" s="187"/>
      <c r="CG114" s="187">
        <f t="shared" si="49"/>
        <v>0</v>
      </c>
      <c r="CH114" s="187">
        <f t="shared" si="50"/>
        <v>0</v>
      </c>
      <c r="CI114" s="188">
        <f>+BN114-(((BQ114)/5)*(-5))</f>
        <v>1</v>
      </c>
      <c r="CJ114" s="187"/>
      <c r="CK114" s="187">
        <f t="shared" si="51"/>
        <v>0</v>
      </c>
      <c r="CL114" s="187">
        <f t="shared" si="52"/>
        <v>0</v>
      </c>
      <c r="CM114" s="77"/>
      <c r="CN114" s="77"/>
      <c r="CO114" s="77"/>
      <c r="CP114" s="77"/>
      <c r="CQ114" s="77"/>
      <c r="CR114" s="2"/>
      <c r="CS114" s="2">
        <v>114</v>
      </c>
      <c r="CT114" s="2"/>
    </row>
    <row r="115" spans="1:98" ht="199.5" x14ac:dyDescent="0.25">
      <c r="A115" s="276">
        <v>6</v>
      </c>
      <c r="B115" s="269" t="s">
        <v>2223</v>
      </c>
      <c r="C115" s="269" t="s">
        <v>1267</v>
      </c>
      <c r="D115" s="83" t="s">
        <v>267</v>
      </c>
      <c r="E115" s="114" t="s">
        <v>300</v>
      </c>
      <c r="F115" s="83" t="s">
        <v>2373</v>
      </c>
      <c r="G115" s="275">
        <v>89</v>
      </c>
      <c r="H115" s="77"/>
      <c r="I115" s="77"/>
      <c r="J115" s="77"/>
      <c r="K115" s="269" t="s">
        <v>897</v>
      </c>
      <c r="L115" s="189" t="s">
        <v>2385</v>
      </c>
      <c r="M115" s="181"/>
      <c r="N115" s="77"/>
      <c r="O115" s="275" t="s">
        <v>137</v>
      </c>
      <c r="P115" s="77"/>
      <c r="Q115" s="77"/>
      <c r="R115" s="77"/>
      <c r="S115" s="77"/>
      <c r="T115" s="77"/>
      <c r="U115" s="77"/>
      <c r="V115" s="77"/>
      <c r="W115" s="78"/>
      <c r="X115" s="77"/>
      <c r="Y115" s="275">
        <v>1</v>
      </c>
      <c r="Z115" s="275">
        <v>0</v>
      </c>
      <c r="AA115" s="275" t="s">
        <v>1220</v>
      </c>
      <c r="AB115" s="77"/>
      <c r="AC115" s="181"/>
      <c r="AD115" s="77"/>
      <c r="AE115" s="77"/>
      <c r="AF115" s="276" t="s">
        <v>2278</v>
      </c>
      <c r="AG115" s="275" t="s">
        <v>1364</v>
      </c>
      <c r="AH115" s="77"/>
      <c r="AI115" s="275">
        <v>1</v>
      </c>
      <c r="AJ115" s="83" t="str">
        <f t="shared" si="31"/>
        <v>03020891</v>
      </c>
      <c r="AK115" s="276" t="s">
        <v>2409</v>
      </c>
      <c r="AL115" s="275" t="s">
        <v>137</v>
      </c>
      <c r="AM115" s="77"/>
      <c r="AN115" s="189" t="s">
        <v>9</v>
      </c>
      <c r="AO115" s="276" t="s">
        <v>1369</v>
      </c>
      <c r="AP115" s="276" t="s">
        <v>2410</v>
      </c>
      <c r="AQ115" s="276" t="s">
        <v>2382</v>
      </c>
      <c r="AR115" s="276" t="s">
        <v>2411</v>
      </c>
      <c r="AS115" s="276" t="s">
        <v>2389</v>
      </c>
      <c r="AT115" s="276" t="s">
        <v>2382</v>
      </c>
      <c r="AU115" s="276" t="s">
        <v>2382</v>
      </c>
      <c r="AV115" s="276" t="s">
        <v>1529</v>
      </c>
      <c r="AW115" s="276"/>
      <c r="AX115" s="275">
        <v>1</v>
      </c>
      <c r="AY115" s="276" t="str">
        <f t="shared" si="32"/>
        <v>030208911</v>
      </c>
      <c r="AZ115" s="276" t="s">
        <v>2390</v>
      </c>
      <c r="BA115" s="276" t="s">
        <v>2391</v>
      </c>
      <c r="BB115" s="276" t="s">
        <v>1229</v>
      </c>
      <c r="BC115" s="276" t="s">
        <v>1359</v>
      </c>
      <c r="BD115" s="276" t="s">
        <v>1529</v>
      </c>
      <c r="BE115" s="276" t="s">
        <v>9</v>
      </c>
      <c r="BF115" s="276" t="s">
        <v>2242</v>
      </c>
      <c r="BG115" s="276" t="s">
        <v>2382</v>
      </c>
      <c r="BH115" s="276"/>
      <c r="BI115" s="276" t="s">
        <v>2402</v>
      </c>
      <c r="BJ115" s="114" t="s">
        <v>2403</v>
      </c>
      <c r="BK115" s="114" t="s">
        <v>2404</v>
      </c>
      <c r="BL115" s="77"/>
      <c r="BM115" s="275">
        <v>2015</v>
      </c>
      <c r="BN115" s="275">
        <v>0</v>
      </c>
      <c r="BO115" s="276">
        <v>31</v>
      </c>
      <c r="BP115" s="276" t="s">
        <v>1323</v>
      </c>
      <c r="BQ115" s="125">
        <f t="shared" si="54"/>
        <v>31</v>
      </c>
      <c r="BR115" s="276">
        <v>5</v>
      </c>
      <c r="BS115" s="182">
        <v>0</v>
      </c>
      <c r="BT115" s="183">
        <v>0</v>
      </c>
      <c r="BU115" s="183">
        <f t="shared" si="43"/>
        <v>0</v>
      </c>
      <c r="BV115" s="174">
        <f t="shared" si="44"/>
        <v>0</v>
      </c>
      <c r="BW115" s="182">
        <v>0</v>
      </c>
      <c r="BX115" s="183">
        <v>0</v>
      </c>
      <c r="BY115" s="182">
        <f t="shared" si="45"/>
        <v>0</v>
      </c>
      <c r="BZ115" s="183">
        <f t="shared" si="46"/>
        <v>0</v>
      </c>
      <c r="CA115" s="182">
        <v>0</v>
      </c>
      <c r="CB115" s="183">
        <v>0</v>
      </c>
      <c r="CC115" s="183">
        <f t="shared" si="47"/>
        <v>0</v>
      </c>
      <c r="CD115" s="183">
        <f t="shared" si="48"/>
        <v>0</v>
      </c>
      <c r="CE115" s="182">
        <v>3</v>
      </c>
      <c r="CF115" s="183"/>
      <c r="CG115" s="183">
        <f t="shared" si="49"/>
        <v>0</v>
      </c>
      <c r="CH115" s="183">
        <f t="shared" si="50"/>
        <v>0</v>
      </c>
      <c r="CI115" s="182">
        <v>4</v>
      </c>
      <c r="CJ115" s="183"/>
      <c r="CK115" s="183">
        <f t="shared" si="51"/>
        <v>0</v>
      </c>
      <c r="CL115" s="183">
        <f t="shared" si="52"/>
        <v>0</v>
      </c>
      <c r="CM115" s="77"/>
      <c r="CN115" s="77"/>
      <c r="CO115" s="77"/>
      <c r="CP115" s="77"/>
      <c r="CQ115" s="77"/>
      <c r="CR115" s="2"/>
      <c r="CS115" s="24">
        <v>115</v>
      </c>
      <c r="CT115" s="2"/>
    </row>
    <row r="116" spans="1:98" ht="199.5" x14ac:dyDescent="0.25">
      <c r="A116" s="276">
        <v>6</v>
      </c>
      <c r="B116" s="269" t="s">
        <v>2223</v>
      </c>
      <c r="C116" s="269" t="s">
        <v>1267</v>
      </c>
      <c r="D116" s="83" t="s">
        <v>267</v>
      </c>
      <c r="E116" s="114" t="s">
        <v>300</v>
      </c>
      <c r="F116" s="83" t="s">
        <v>2373</v>
      </c>
      <c r="G116" s="275">
        <v>89</v>
      </c>
      <c r="H116" s="77"/>
      <c r="I116" s="77"/>
      <c r="J116" s="77"/>
      <c r="K116" s="269" t="s">
        <v>897</v>
      </c>
      <c r="L116" s="189" t="s">
        <v>2385</v>
      </c>
      <c r="M116" s="181"/>
      <c r="N116" s="77"/>
      <c r="O116" s="275" t="s">
        <v>137</v>
      </c>
      <c r="P116" s="77"/>
      <c r="Q116" s="77"/>
      <c r="R116" s="77"/>
      <c r="S116" s="77"/>
      <c r="T116" s="77"/>
      <c r="U116" s="77"/>
      <c r="V116" s="77"/>
      <c r="W116" s="78"/>
      <c r="X116" s="77"/>
      <c r="Y116" s="275">
        <v>1</v>
      </c>
      <c r="Z116" s="275">
        <v>0</v>
      </c>
      <c r="AA116" s="275" t="s">
        <v>1220</v>
      </c>
      <c r="AB116" s="77"/>
      <c r="AC116" s="181"/>
      <c r="AD116" s="77"/>
      <c r="AE116" s="77"/>
      <c r="AF116" s="276" t="s">
        <v>2278</v>
      </c>
      <c r="AG116" s="275" t="s">
        <v>1364</v>
      </c>
      <c r="AH116" s="77"/>
      <c r="AI116" s="275">
        <v>1</v>
      </c>
      <c r="AJ116" s="83" t="str">
        <f t="shared" ref="AJ116:AJ147" si="55">CONCATENATE(K116,AI116)</f>
        <v>03020891</v>
      </c>
      <c r="AK116" s="276" t="s">
        <v>2412</v>
      </c>
      <c r="AL116" s="275" t="s">
        <v>137</v>
      </c>
      <c r="AM116" s="77"/>
      <c r="AN116" s="189" t="s">
        <v>2375</v>
      </c>
      <c r="AO116" s="275" t="s">
        <v>10</v>
      </c>
      <c r="AP116" s="276" t="s">
        <v>2413</v>
      </c>
      <c r="AQ116" s="76"/>
      <c r="AR116" s="276" t="s">
        <v>2414</v>
      </c>
      <c r="AS116" s="276" t="s">
        <v>2389</v>
      </c>
      <c r="AT116" s="276" t="s">
        <v>2415</v>
      </c>
      <c r="AU116" s="276" t="s">
        <v>2389</v>
      </c>
      <c r="AV116" s="276" t="s">
        <v>1529</v>
      </c>
      <c r="AW116" s="76"/>
      <c r="AX116" s="275">
        <v>2</v>
      </c>
      <c r="AY116" s="276" t="str">
        <f t="shared" ref="AY116:AY147" si="56">CONCATENATE(AJ116,AX116)</f>
        <v>030208912</v>
      </c>
      <c r="AZ116" s="276" t="s">
        <v>2390</v>
      </c>
      <c r="BA116" s="276" t="s">
        <v>2391</v>
      </c>
      <c r="BB116" s="276" t="s">
        <v>1229</v>
      </c>
      <c r="BC116" s="276" t="s">
        <v>1359</v>
      </c>
      <c r="BD116" s="276" t="s">
        <v>1529</v>
      </c>
      <c r="BE116" s="276" t="s">
        <v>9</v>
      </c>
      <c r="BF116" s="276" t="s">
        <v>2242</v>
      </c>
      <c r="BG116" s="276" t="s">
        <v>2382</v>
      </c>
      <c r="BH116" s="276"/>
      <c r="BI116" s="276" t="s">
        <v>2402</v>
      </c>
      <c r="BJ116" s="114" t="s">
        <v>2403</v>
      </c>
      <c r="BK116" s="114" t="s">
        <v>2404</v>
      </c>
      <c r="BL116" s="77"/>
      <c r="BM116" s="275">
        <v>2015</v>
      </c>
      <c r="BN116" s="186">
        <v>0</v>
      </c>
      <c r="BO116" s="80">
        <v>1</v>
      </c>
      <c r="BP116" s="276" t="s">
        <v>1323</v>
      </c>
      <c r="BQ116" s="124">
        <f t="shared" si="54"/>
        <v>1</v>
      </c>
      <c r="BR116" s="276">
        <v>5</v>
      </c>
      <c r="BS116" s="188">
        <f>+BN116-(((BQ116)/5)*(-1))</f>
        <v>0.2</v>
      </c>
      <c r="BT116" s="187">
        <v>0</v>
      </c>
      <c r="BU116" s="187">
        <f t="shared" si="43"/>
        <v>0</v>
      </c>
      <c r="BV116" s="188">
        <f t="shared" si="44"/>
        <v>0</v>
      </c>
      <c r="BW116" s="188">
        <f>+BN116-(((BQ116)/5)*(-2))</f>
        <v>0.4</v>
      </c>
      <c r="BX116" s="187">
        <v>0</v>
      </c>
      <c r="BY116" s="188">
        <f t="shared" si="45"/>
        <v>0</v>
      </c>
      <c r="BZ116" s="187">
        <f t="shared" si="46"/>
        <v>0</v>
      </c>
      <c r="CA116" s="188">
        <f>+BN116-(((BQ116)/5)*(-3))</f>
        <v>0.60000000000000009</v>
      </c>
      <c r="CB116" s="187"/>
      <c r="CC116" s="187">
        <f t="shared" si="47"/>
        <v>0</v>
      </c>
      <c r="CD116" s="187">
        <f t="shared" si="48"/>
        <v>0</v>
      </c>
      <c r="CE116" s="188">
        <f>+BN116-(((BQ116)/5)*(-4))</f>
        <v>0.8</v>
      </c>
      <c r="CF116" s="187"/>
      <c r="CG116" s="187">
        <f t="shared" si="49"/>
        <v>0</v>
      </c>
      <c r="CH116" s="187">
        <f t="shared" si="50"/>
        <v>0</v>
      </c>
      <c r="CI116" s="188">
        <f>+BN116-(((BQ116)/5)*(-5))</f>
        <v>1</v>
      </c>
      <c r="CJ116" s="187"/>
      <c r="CK116" s="187">
        <f t="shared" si="51"/>
        <v>0</v>
      </c>
      <c r="CL116" s="187">
        <f t="shared" si="52"/>
        <v>0</v>
      </c>
      <c r="CM116" s="77"/>
      <c r="CN116" s="77"/>
      <c r="CO116" s="77"/>
      <c r="CP116" s="77"/>
      <c r="CQ116" s="77"/>
      <c r="CR116" s="2"/>
      <c r="CS116" s="24">
        <v>116</v>
      </c>
      <c r="CT116" s="2"/>
    </row>
    <row r="117" spans="1:98" ht="128.25" x14ac:dyDescent="0.25">
      <c r="A117" s="276">
        <v>6</v>
      </c>
      <c r="B117" s="269" t="s">
        <v>2223</v>
      </c>
      <c r="C117" s="269" t="s">
        <v>1267</v>
      </c>
      <c r="D117" s="83" t="s">
        <v>267</v>
      </c>
      <c r="E117" s="114" t="s">
        <v>300</v>
      </c>
      <c r="F117" s="83" t="s">
        <v>2373</v>
      </c>
      <c r="G117" s="275">
        <v>90</v>
      </c>
      <c r="H117" s="77"/>
      <c r="I117" s="77"/>
      <c r="J117" s="77"/>
      <c r="K117" s="269" t="s">
        <v>898</v>
      </c>
      <c r="L117" s="189" t="s">
        <v>2416</v>
      </c>
      <c r="M117" s="181"/>
      <c r="N117" s="77"/>
      <c r="O117" s="275" t="s">
        <v>137</v>
      </c>
      <c r="P117" s="77"/>
      <c r="Q117" s="77"/>
      <c r="R117" s="77"/>
      <c r="S117" s="77"/>
      <c r="T117" s="77"/>
      <c r="U117" s="77"/>
      <c r="V117" s="77"/>
      <c r="W117" s="78"/>
      <c r="X117" s="77"/>
      <c r="Y117" s="275">
        <v>0</v>
      </c>
      <c r="Z117" s="275">
        <v>1</v>
      </c>
      <c r="AA117" s="275" t="s">
        <v>1225</v>
      </c>
      <c r="AB117" s="77"/>
      <c r="AC117" s="181"/>
      <c r="AD117" s="77"/>
      <c r="AE117" s="77"/>
      <c r="AF117" s="276" t="s">
        <v>2278</v>
      </c>
      <c r="AG117" s="275" t="s">
        <v>1364</v>
      </c>
      <c r="AH117" s="77"/>
      <c r="AI117" s="275">
        <v>1</v>
      </c>
      <c r="AJ117" s="83" t="str">
        <f t="shared" si="55"/>
        <v>03020901</v>
      </c>
      <c r="AK117" s="276" t="s">
        <v>2417</v>
      </c>
      <c r="AL117" s="275" t="s">
        <v>137</v>
      </c>
      <c r="AM117" s="77"/>
      <c r="AN117" s="189" t="s">
        <v>9</v>
      </c>
      <c r="AO117" s="276" t="s">
        <v>1369</v>
      </c>
      <c r="AP117" s="276" t="s">
        <v>2418</v>
      </c>
      <c r="AQ117" s="276" t="s">
        <v>2382</v>
      </c>
      <c r="AR117" s="276" t="s">
        <v>2419</v>
      </c>
      <c r="AS117" s="276" t="s">
        <v>2420</v>
      </c>
      <c r="AT117" s="276" t="s">
        <v>2382</v>
      </c>
      <c r="AU117" s="276" t="s">
        <v>2382</v>
      </c>
      <c r="AV117" s="276" t="s">
        <v>2285</v>
      </c>
      <c r="AW117" s="276"/>
      <c r="AX117" s="275">
        <v>1</v>
      </c>
      <c r="AY117" s="276" t="str">
        <f t="shared" si="56"/>
        <v>030209011</v>
      </c>
      <c r="AZ117" s="276" t="s">
        <v>2421</v>
      </c>
      <c r="BA117" s="276" t="s">
        <v>2422</v>
      </c>
      <c r="BB117" s="276" t="s">
        <v>1229</v>
      </c>
      <c r="BC117" s="276" t="s">
        <v>1358</v>
      </c>
      <c r="BD117" s="276" t="s">
        <v>2359</v>
      </c>
      <c r="BE117" s="276" t="s">
        <v>2242</v>
      </c>
      <c r="BF117" s="276" t="s">
        <v>2242</v>
      </c>
      <c r="BG117" s="189" t="s">
        <v>2423</v>
      </c>
      <c r="BH117" s="276"/>
      <c r="BI117" s="276" t="s">
        <v>2424</v>
      </c>
      <c r="BJ117" s="276" t="s">
        <v>2424</v>
      </c>
      <c r="BK117" s="276" t="s">
        <v>2424</v>
      </c>
      <c r="BL117" s="77"/>
      <c r="BM117" s="275">
        <v>2014</v>
      </c>
      <c r="BN117" s="275">
        <v>0</v>
      </c>
      <c r="BO117" s="276">
        <v>180</v>
      </c>
      <c r="BP117" s="276"/>
      <c r="BQ117" s="125">
        <f t="shared" si="54"/>
        <v>180</v>
      </c>
      <c r="BR117" s="276">
        <v>5</v>
      </c>
      <c r="BS117" s="177">
        <v>18</v>
      </c>
      <c r="BT117" s="183"/>
      <c r="BU117" s="183">
        <f t="shared" si="43"/>
        <v>0</v>
      </c>
      <c r="BV117" s="174">
        <f t="shared" si="44"/>
        <v>0</v>
      </c>
      <c r="BW117" s="182">
        <v>18</v>
      </c>
      <c r="BX117" s="183"/>
      <c r="BY117" s="182">
        <f t="shared" si="45"/>
        <v>0</v>
      </c>
      <c r="BZ117" s="183">
        <f t="shared" si="46"/>
        <v>0</v>
      </c>
      <c r="CA117" s="182">
        <v>72</v>
      </c>
      <c r="CB117" s="183"/>
      <c r="CC117" s="183">
        <f t="shared" si="47"/>
        <v>0</v>
      </c>
      <c r="CD117" s="183">
        <f t="shared" si="48"/>
        <v>0</v>
      </c>
      <c r="CE117" s="182">
        <v>126</v>
      </c>
      <c r="CF117" s="183"/>
      <c r="CG117" s="183">
        <f t="shared" si="49"/>
        <v>0</v>
      </c>
      <c r="CH117" s="183">
        <f t="shared" si="50"/>
        <v>0</v>
      </c>
      <c r="CI117" s="182">
        <v>180</v>
      </c>
      <c r="CJ117" s="183"/>
      <c r="CK117" s="183">
        <f t="shared" si="51"/>
        <v>0</v>
      </c>
      <c r="CL117" s="183">
        <f t="shared" si="52"/>
        <v>0</v>
      </c>
      <c r="CM117" s="77"/>
      <c r="CN117" s="77"/>
      <c r="CO117" s="77"/>
      <c r="CP117" s="77"/>
      <c r="CQ117" s="77"/>
      <c r="CR117" s="2"/>
      <c r="CS117" s="2">
        <v>117</v>
      </c>
      <c r="CT117" s="2"/>
    </row>
    <row r="118" spans="1:98" ht="128.25" x14ac:dyDescent="0.25">
      <c r="A118" s="276">
        <v>6</v>
      </c>
      <c r="B118" s="269" t="s">
        <v>2223</v>
      </c>
      <c r="C118" s="269" t="s">
        <v>1267</v>
      </c>
      <c r="D118" s="83" t="s">
        <v>267</v>
      </c>
      <c r="E118" s="114" t="s">
        <v>300</v>
      </c>
      <c r="F118" s="83" t="s">
        <v>2373</v>
      </c>
      <c r="G118" s="275">
        <v>90</v>
      </c>
      <c r="H118" s="77"/>
      <c r="I118" s="77"/>
      <c r="J118" s="77"/>
      <c r="K118" s="269" t="s">
        <v>898</v>
      </c>
      <c r="L118" s="189" t="s">
        <v>2416</v>
      </c>
      <c r="M118" s="181"/>
      <c r="N118" s="77"/>
      <c r="O118" s="275" t="s">
        <v>137</v>
      </c>
      <c r="P118" s="77"/>
      <c r="Q118" s="77"/>
      <c r="R118" s="77"/>
      <c r="S118" s="77"/>
      <c r="T118" s="77"/>
      <c r="U118" s="77"/>
      <c r="V118" s="77"/>
      <c r="W118" s="78"/>
      <c r="X118" s="77"/>
      <c r="Y118" s="275">
        <v>0</v>
      </c>
      <c r="Z118" s="275">
        <v>1</v>
      </c>
      <c r="AA118" s="275" t="s">
        <v>1225</v>
      </c>
      <c r="AB118" s="77"/>
      <c r="AC118" s="181"/>
      <c r="AD118" s="77"/>
      <c r="AE118" s="77"/>
      <c r="AF118" s="276" t="s">
        <v>2278</v>
      </c>
      <c r="AG118" s="275" t="s">
        <v>1364</v>
      </c>
      <c r="AH118" s="77"/>
      <c r="AI118" s="275">
        <v>1</v>
      </c>
      <c r="AJ118" s="83" t="str">
        <f t="shared" si="55"/>
        <v>03020901</v>
      </c>
      <c r="AK118" s="276" t="s">
        <v>2425</v>
      </c>
      <c r="AL118" s="275" t="s">
        <v>137</v>
      </c>
      <c r="AM118" s="77"/>
      <c r="AN118" s="189" t="s">
        <v>9</v>
      </c>
      <c r="AO118" s="276" t="s">
        <v>1369</v>
      </c>
      <c r="AP118" s="276" t="s">
        <v>2426</v>
      </c>
      <c r="AQ118" s="276" t="s">
        <v>2382</v>
      </c>
      <c r="AR118" s="276" t="s">
        <v>2427</v>
      </c>
      <c r="AS118" s="276" t="s">
        <v>2420</v>
      </c>
      <c r="AT118" s="276" t="s">
        <v>2382</v>
      </c>
      <c r="AU118" s="276" t="s">
        <v>2428</v>
      </c>
      <c r="AV118" s="276" t="s">
        <v>2285</v>
      </c>
      <c r="AW118" s="276"/>
      <c r="AX118" s="275">
        <v>2</v>
      </c>
      <c r="AY118" s="276" t="str">
        <f t="shared" si="56"/>
        <v>030209012</v>
      </c>
      <c r="AZ118" s="276" t="s">
        <v>2429</v>
      </c>
      <c r="BA118" s="276" t="s">
        <v>2430</v>
      </c>
      <c r="BB118" s="276" t="s">
        <v>1229</v>
      </c>
      <c r="BC118" s="276" t="s">
        <v>1359</v>
      </c>
      <c r="BD118" s="276" t="s">
        <v>2359</v>
      </c>
      <c r="BE118" s="276" t="s">
        <v>9</v>
      </c>
      <c r="BF118" s="276" t="s">
        <v>2242</v>
      </c>
      <c r="BG118" s="276" t="s">
        <v>2382</v>
      </c>
      <c r="BH118" s="276"/>
      <c r="BI118" s="83" t="s">
        <v>2290</v>
      </c>
      <c r="BJ118" s="83" t="s">
        <v>2185</v>
      </c>
      <c r="BK118" s="276" t="s">
        <v>2431</v>
      </c>
      <c r="BL118" s="77"/>
      <c r="BM118" s="275">
        <v>2014</v>
      </c>
      <c r="BN118" s="275">
        <v>0</v>
      </c>
      <c r="BO118" s="113">
        <v>1430</v>
      </c>
      <c r="BP118" s="276"/>
      <c r="BQ118" s="113">
        <f t="shared" si="54"/>
        <v>1430</v>
      </c>
      <c r="BR118" s="276">
        <v>5</v>
      </c>
      <c r="BS118" s="182">
        <v>143</v>
      </c>
      <c r="BT118" s="183"/>
      <c r="BU118" s="183">
        <f t="shared" si="43"/>
        <v>0</v>
      </c>
      <c r="BV118" s="174">
        <f t="shared" si="44"/>
        <v>0</v>
      </c>
      <c r="BW118" s="182">
        <v>143</v>
      </c>
      <c r="BX118" s="183"/>
      <c r="BY118" s="182">
        <f t="shared" si="45"/>
        <v>0</v>
      </c>
      <c r="BZ118" s="183">
        <f t="shared" si="46"/>
        <v>0</v>
      </c>
      <c r="CA118" s="182">
        <v>572</v>
      </c>
      <c r="CB118" s="183"/>
      <c r="CC118" s="183">
        <f t="shared" si="47"/>
        <v>0</v>
      </c>
      <c r="CD118" s="183">
        <f t="shared" si="48"/>
        <v>0</v>
      </c>
      <c r="CE118" s="182">
        <v>1001</v>
      </c>
      <c r="CF118" s="183"/>
      <c r="CG118" s="183">
        <f t="shared" si="49"/>
        <v>0</v>
      </c>
      <c r="CH118" s="183">
        <f t="shared" si="50"/>
        <v>0</v>
      </c>
      <c r="CI118" s="182">
        <v>1430</v>
      </c>
      <c r="CJ118" s="183"/>
      <c r="CK118" s="183">
        <f t="shared" si="51"/>
        <v>0</v>
      </c>
      <c r="CL118" s="183">
        <f t="shared" si="52"/>
        <v>0</v>
      </c>
      <c r="CM118" s="77"/>
      <c r="CN118" s="77"/>
      <c r="CO118" s="77"/>
      <c r="CP118" s="77"/>
      <c r="CQ118" s="77"/>
      <c r="CR118" s="41"/>
      <c r="CS118" s="24">
        <v>118</v>
      </c>
      <c r="CT118" s="41"/>
    </row>
    <row r="119" spans="1:98" ht="171.75" x14ac:dyDescent="0.25">
      <c r="A119" s="276">
        <v>6</v>
      </c>
      <c r="B119" s="269" t="s">
        <v>2223</v>
      </c>
      <c r="C119" s="269" t="s">
        <v>1267</v>
      </c>
      <c r="D119" s="83" t="s">
        <v>267</v>
      </c>
      <c r="E119" s="114" t="s">
        <v>300</v>
      </c>
      <c r="F119" s="83" t="s">
        <v>2373</v>
      </c>
      <c r="G119" s="275">
        <v>91</v>
      </c>
      <c r="H119" s="77"/>
      <c r="I119" s="77"/>
      <c r="J119" s="77"/>
      <c r="K119" s="269" t="s">
        <v>899</v>
      </c>
      <c r="L119" s="83" t="s">
        <v>2432</v>
      </c>
      <c r="M119" s="181"/>
      <c r="N119" s="77"/>
      <c r="O119" s="275" t="s">
        <v>1259</v>
      </c>
      <c r="P119" s="77"/>
      <c r="Q119" s="77"/>
      <c r="R119" s="77"/>
      <c r="S119" s="77"/>
      <c r="T119" s="77"/>
      <c r="U119" s="77"/>
      <c r="V119" s="77"/>
      <c r="W119" s="78"/>
      <c r="X119" s="77"/>
      <c r="Y119" s="275">
        <v>1</v>
      </c>
      <c r="Z119" s="275">
        <v>0</v>
      </c>
      <c r="AA119" s="275" t="s">
        <v>1220</v>
      </c>
      <c r="AB119" s="77"/>
      <c r="AC119" s="181" t="s">
        <v>2433</v>
      </c>
      <c r="AD119" s="116" t="s">
        <v>2434</v>
      </c>
      <c r="AE119" s="83" t="s">
        <v>2435</v>
      </c>
      <c r="AF119" s="276"/>
      <c r="AG119" s="275" t="s">
        <v>1235</v>
      </c>
      <c r="AH119" s="77"/>
      <c r="AI119" s="275">
        <v>1</v>
      </c>
      <c r="AJ119" s="83" t="str">
        <f t="shared" si="55"/>
        <v>03020911</v>
      </c>
      <c r="AK119" s="276" t="s">
        <v>2436</v>
      </c>
      <c r="AL119" s="275" t="s">
        <v>1259</v>
      </c>
      <c r="AM119" s="77"/>
      <c r="AN119" s="189" t="s">
        <v>2437</v>
      </c>
      <c r="AO119" s="276" t="s">
        <v>2438</v>
      </c>
      <c r="AP119" s="189" t="s">
        <v>2439</v>
      </c>
      <c r="AQ119" s="76"/>
      <c r="AR119" s="276" t="s">
        <v>2440</v>
      </c>
      <c r="AS119" s="276" t="s">
        <v>2441</v>
      </c>
      <c r="AT119" s="276" t="s">
        <v>2442</v>
      </c>
      <c r="AU119" s="276" t="s">
        <v>2307</v>
      </c>
      <c r="AV119" s="275" t="s">
        <v>2443</v>
      </c>
      <c r="AW119" s="76"/>
      <c r="AX119" s="275">
        <v>1</v>
      </c>
      <c r="AY119" s="276" t="str">
        <f t="shared" si="56"/>
        <v>030209111</v>
      </c>
      <c r="AZ119" s="276" t="s">
        <v>2444</v>
      </c>
      <c r="BA119" s="276" t="s">
        <v>2445</v>
      </c>
      <c r="BB119" s="276" t="s">
        <v>2446</v>
      </c>
      <c r="BC119" s="276" t="s">
        <v>11</v>
      </c>
      <c r="BD119" s="276" t="s">
        <v>2443</v>
      </c>
      <c r="BE119" s="275" t="s">
        <v>9</v>
      </c>
      <c r="BF119" s="275" t="s">
        <v>9</v>
      </c>
      <c r="BG119" s="77"/>
      <c r="BH119" s="77"/>
      <c r="BI119" s="83" t="s">
        <v>2290</v>
      </c>
      <c r="BJ119" s="83" t="s">
        <v>2447</v>
      </c>
      <c r="BK119" s="83" t="s">
        <v>2447</v>
      </c>
      <c r="BL119" s="275">
        <v>2486654</v>
      </c>
      <c r="BM119" s="276">
        <v>2015</v>
      </c>
      <c r="BN119" s="276">
        <v>20.85</v>
      </c>
      <c r="BO119" s="276">
        <v>25</v>
      </c>
      <c r="BP119" s="276" t="s">
        <v>1323</v>
      </c>
      <c r="BQ119" s="276">
        <f t="shared" si="54"/>
        <v>4.1499999999999986</v>
      </c>
      <c r="BR119" s="276">
        <v>5</v>
      </c>
      <c r="BS119" s="173">
        <f>+BN119-(((BQ119)/5)*(-1))</f>
        <v>21.68</v>
      </c>
      <c r="BT119" s="173">
        <v>23.26</v>
      </c>
      <c r="BU119" s="173">
        <f t="shared" si="43"/>
        <v>2.41</v>
      </c>
      <c r="BV119" s="173">
        <f t="shared" si="44"/>
        <v>0.58072289156626533</v>
      </c>
      <c r="BW119" s="173">
        <f>+BN119-(((BQ119)/5)*(-2))</f>
        <v>22.51</v>
      </c>
      <c r="BX119" s="173">
        <v>0</v>
      </c>
      <c r="BY119" s="173">
        <f t="shared" si="45"/>
        <v>-20.85</v>
      </c>
      <c r="BZ119" s="173">
        <f t="shared" si="46"/>
        <v>-5.0240963855421708</v>
      </c>
      <c r="CA119" s="173">
        <f>+BN119-(((BQ119)/5)*(-3))</f>
        <v>23.34</v>
      </c>
      <c r="CB119" s="173"/>
      <c r="CC119" s="173">
        <f t="shared" si="47"/>
        <v>-20.85</v>
      </c>
      <c r="CD119" s="173">
        <f t="shared" si="48"/>
        <v>-5.0240963855421708</v>
      </c>
      <c r="CE119" s="173">
        <f>+BN119-(((BQ119)/5)*(-4))</f>
        <v>24.17</v>
      </c>
      <c r="CF119" s="173"/>
      <c r="CG119" s="173">
        <f t="shared" si="49"/>
        <v>-20.85</v>
      </c>
      <c r="CH119" s="173">
        <f t="shared" si="50"/>
        <v>-5.0240963855421708</v>
      </c>
      <c r="CI119" s="173">
        <f>+BN119-(((BQ119)/5)*(-5))</f>
        <v>25</v>
      </c>
      <c r="CJ119" s="173"/>
      <c r="CK119" s="173">
        <f t="shared" si="51"/>
        <v>-20.85</v>
      </c>
      <c r="CL119" s="173">
        <f t="shared" si="52"/>
        <v>-5.0240963855421708</v>
      </c>
      <c r="CM119" s="77"/>
      <c r="CN119" s="77"/>
      <c r="CO119" s="77"/>
      <c r="CP119" s="77"/>
      <c r="CQ119" s="77"/>
      <c r="CR119" s="41"/>
      <c r="CS119" s="24">
        <v>119</v>
      </c>
      <c r="CT119" s="41"/>
    </row>
    <row r="120" spans="1:98" ht="171.75" x14ac:dyDescent="0.25">
      <c r="A120" s="276">
        <v>6</v>
      </c>
      <c r="B120" s="269" t="s">
        <v>2223</v>
      </c>
      <c r="C120" s="269" t="s">
        <v>1267</v>
      </c>
      <c r="D120" s="83" t="s">
        <v>267</v>
      </c>
      <c r="E120" s="114" t="s">
        <v>300</v>
      </c>
      <c r="F120" s="83" t="s">
        <v>2373</v>
      </c>
      <c r="G120" s="275">
        <v>91</v>
      </c>
      <c r="H120" s="77"/>
      <c r="I120" s="77"/>
      <c r="J120" s="77"/>
      <c r="K120" s="269" t="s">
        <v>899</v>
      </c>
      <c r="L120" s="83" t="s">
        <v>2432</v>
      </c>
      <c r="M120" s="181"/>
      <c r="N120" s="77"/>
      <c r="O120" s="275" t="s">
        <v>1259</v>
      </c>
      <c r="P120" s="77"/>
      <c r="Q120" s="77"/>
      <c r="R120" s="77"/>
      <c r="S120" s="77"/>
      <c r="T120" s="77"/>
      <c r="U120" s="77"/>
      <c r="V120" s="77"/>
      <c r="W120" s="78"/>
      <c r="X120" s="77"/>
      <c r="Y120" s="275">
        <v>1</v>
      </c>
      <c r="Z120" s="275">
        <v>0</v>
      </c>
      <c r="AA120" s="275" t="s">
        <v>1220</v>
      </c>
      <c r="AB120" s="77"/>
      <c r="AC120" s="181" t="s">
        <v>2433</v>
      </c>
      <c r="AD120" s="116" t="s">
        <v>2434</v>
      </c>
      <c r="AE120" s="83" t="s">
        <v>2435</v>
      </c>
      <c r="AF120" s="276"/>
      <c r="AG120" s="275" t="s">
        <v>1235</v>
      </c>
      <c r="AH120" s="77"/>
      <c r="AI120" s="275">
        <v>1</v>
      </c>
      <c r="AJ120" s="83" t="str">
        <f t="shared" si="55"/>
        <v>03020911</v>
      </c>
      <c r="AK120" s="276" t="s">
        <v>2436</v>
      </c>
      <c r="AL120" s="275" t="s">
        <v>1259</v>
      </c>
      <c r="AM120" s="77"/>
      <c r="AN120" s="189" t="s">
        <v>2437</v>
      </c>
      <c r="AO120" s="276" t="s">
        <v>2438</v>
      </c>
      <c r="AP120" s="189" t="s">
        <v>2439</v>
      </c>
      <c r="AQ120" s="76"/>
      <c r="AR120" s="276" t="s">
        <v>2440</v>
      </c>
      <c r="AS120" s="276" t="s">
        <v>2441</v>
      </c>
      <c r="AT120" s="276" t="s">
        <v>2442</v>
      </c>
      <c r="AU120" s="276" t="s">
        <v>2307</v>
      </c>
      <c r="AV120" s="275" t="s">
        <v>2443</v>
      </c>
      <c r="AW120" s="76"/>
      <c r="AX120" s="275">
        <v>2</v>
      </c>
      <c r="AY120" s="276" t="str">
        <f t="shared" si="56"/>
        <v>030209112</v>
      </c>
      <c r="AZ120" s="78" t="s">
        <v>2316</v>
      </c>
      <c r="BA120" s="83" t="s">
        <v>2317</v>
      </c>
      <c r="BB120" s="276" t="s">
        <v>2248</v>
      </c>
      <c r="BC120" s="276" t="s">
        <v>11</v>
      </c>
      <c r="BD120" s="276" t="s">
        <v>2318</v>
      </c>
      <c r="BE120" s="83" t="s">
        <v>2242</v>
      </c>
      <c r="BF120" s="276" t="s">
        <v>2242</v>
      </c>
      <c r="BG120" s="189" t="s">
        <v>2319</v>
      </c>
      <c r="BH120" s="276" t="s">
        <v>2320</v>
      </c>
      <c r="BI120" s="276" t="s">
        <v>12</v>
      </c>
      <c r="BJ120" s="83" t="s">
        <v>2321</v>
      </c>
      <c r="BK120" s="83" t="s">
        <v>2322</v>
      </c>
      <c r="BL120" s="276">
        <v>2222333</v>
      </c>
      <c r="BM120" s="276"/>
      <c r="BN120" s="276"/>
      <c r="BO120" s="276"/>
      <c r="BP120" s="276"/>
      <c r="BQ120" s="276"/>
      <c r="BR120" s="276"/>
      <c r="BS120" s="173">
        <f>+BN120-(((BQ120)/5)*(-1))</f>
        <v>0</v>
      </c>
      <c r="BT120" s="173"/>
      <c r="BU120" s="173"/>
      <c r="BV120" s="173"/>
      <c r="BW120" s="173">
        <f>+BN120-(((BQ120)/5)*(-2))</f>
        <v>0</v>
      </c>
      <c r="BX120" s="173"/>
      <c r="BY120" s="173"/>
      <c r="BZ120" s="173"/>
      <c r="CA120" s="173">
        <f>+BN120-(((BQ120)/5)*(-3))</f>
        <v>0</v>
      </c>
      <c r="CB120" s="173"/>
      <c r="CC120" s="173"/>
      <c r="CD120" s="173"/>
      <c r="CE120" s="173">
        <f>+BN120-(((BQ120)/5)*(-4))</f>
        <v>0</v>
      </c>
      <c r="CF120" s="173"/>
      <c r="CG120" s="173"/>
      <c r="CH120" s="173"/>
      <c r="CI120" s="173">
        <f>+BN120-(((BQ120)/5)*(-5))</f>
        <v>0</v>
      </c>
      <c r="CJ120" s="173"/>
      <c r="CK120" s="173"/>
      <c r="CL120" s="173"/>
      <c r="CM120" s="77"/>
      <c r="CN120" s="77"/>
      <c r="CO120" s="77"/>
      <c r="CP120" s="77"/>
      <c r="CQ120" s="77"/>
      <c r="CR120" s="42"/>
      <c r="CS120" s="2">
        <v>120</v>
      </c>
      <c r="CT120" s="42"/>
    </row>
    <row r="121" spans="1:98" ht="114" x14ac:dyDescent="0.25">
      <c r="A121" s="276">
        <v>6</v>
      </c>
      <c r="B121" s="269" t="s">
        <v>2223</v>
      </c>
      <c r="C121" s="269" t="s">
        <v>1267</v>
      </c>
      <c r="D121" s="83" t="s">
        <v>267</v>
      </c>
      <c r="E121" s="114" t="s">
        <v>300</v>
      </c>
      <c r="F121" s="83" t="s">
        <v>2373</v>
      </c>
      <c r="G121" s="275">
        <v>92</v>
      </c>
      <c r="H121" s="77"/>
      <c r="I121" s="77"/>
      <c r="J121" s="77"/>
      <c r="K121" s="269" t="s">
        <v>900</v>
      </c>
      <c r="L121" s="83" t="s">
        <v>305</v>
      </c>
      <c r="M121" s="181"/>
      <c r="N121" s="77"/>
      <c r="O121" s="275" t="s">
        <v>62</v>
      </c>
      <c r="P121" s="77"/>
      <c r="Q121" s="77"/>
      <c r="R121" s="77"/>
      <c r="S121" s="77"/>
      <c r="T121" s="77"/>
      <c r="U121" s="77"/>
      <c r="V121" s="77"/>
      <c r="W121" s="78"/>
      <c r="X121" s="77"/>
      <c r="Y121" s="275">
        <v>1</v>
      </c>
      <c r="Z121" s="275">
        <v>0</v>
      </c>
      <c r="AA121" s="275" t="s">
        <v>1220</v>
      </c>
      <c r="AB121" s="77"/>
      <c r="AC121" s="181"/>
      <c r="AD121" s="77"/>
      <c r="AE121" s="77"/>
      <c r="AF121" s="276" t="s">
        <v>2278</v>
      </c>
      <c r="AG121" s="275" t="s">
        <v>1364</v>
      </c>
      <c r="AH121" s="77"/>
      <c r="AI121" s="275">
        <v>1</v>
      </c>
      <c r="AJ121" s="83" t="str">
        <f t="shared" si="55"/>
        <v>03020921</v>
      </c>
      <c r="AK121" s="276" t="s">
        <v>2448</v>
      </c>
      <c r="AL121" s="275" t="s">
        <v>62</v>
      </c>
      <c r="AM121" s="77"/>
      <c r="AN121" s="189" t="s">
        <v>2449</v>
      </c>
      <c r="AO121" s="275" t="s">
        <v>1369</v>
      </c>
      <c r="AP121" s="189" t="s">
        <v>2450</v>
      </c>
      <c r="AQ121" s="276" t="s">
        <v>2382</v>
      </c>
      <c r="AR121" s="276" t="s">
        <v>2451</v>
      </c>
      <c r="AS121" s="276" t="s">
        <v>2452</v>
      </c>
      <c r="AT121" s="276" t="s">
        <v>2382</v>
      </c>
      <c r="AU121" s="276" t="s">
        <v>2382</v>
      </c>
      <c r="AV121" s="275" t="s">
        <v>2453</v>
      </c>
      <c r="AW121" s="276"/>
      <c r="AX121" s="275">
        <v>1</v>
      </c>
      <c r="AY121" s="276" t="str">
        <f t="shared" si="56"/>
        <v>030209211</v>
      </c>
      <c r="AZ121" s="275" t="s">
        <v>2454</v>
      </c>
      <c r="BA121" s="276" t="s">
        <v>2455</v>
      </c>
      <c r="BB121" s="276" t="s">
        <v>1392</v>
      </c>
      <c r="BC121" s="275" t="s">
        <v>11</v>
      </c>
      <c r="BD121" s="275" t="s">
        <v>2453</v>
      </c>
      <c r="BE121" s="276" t="s">
        <v>2456</v>
      </c>
      <c r="BF121" s="275" t="s">
        <v>9</v>
      </c>
      <c r="BG121" s="276" t="s">
        <v>2457</v>
      </c>
      <c r="BH121" s="275"/>
      <c r="BI121" s="83" t="s">
        <v>2290</v>
      </c>
      <c r="BJ121" s="83" t="s">
        <v>2185</v>
      </c>
      <c r="BK121" s="83" t="s">
        <v>2455</v>
      </c>
      <c r="BL121" s="78">
        <v>2445754</v>
      </c>
      <c r="BM121" s="78">
        <v>2014</v>
      </c>
      <c r="BN121" s="275">
        <v>20</v>
      </c>
      <c r="BO121" s="276">
        <v>40</v>
      </c>
      <c r="BP121" s="276" t="s">
        <v>1323</v>
      </c>
      <c r="BQ121" s="276">
        <f>+BO121-BN121</f>
        <v>20</v>
      </c>
      <c r="BR121" s="276">
        <v>5</v>
      </c>
      <c r="BS121" s="276">
        <f>+BN121-(((BQ121)/5)*(-1))</f>
        <v>24</v>
      </c>
      <c r="BT121" s="276">
        <v>2</v>
      </c>
      <c r="BU121" s="276">
        <f>+BT121-BN121</f>
        <v>-18</v>
      </c>
      <c r="BV121" s="276">
        <f t="shared" ref="BV121:BV134" si="57">+BU121/BQ121</f>
        <v>-0.9</v>
      </c>
      <c r="BW121" s="276">
        <f>+BN121-(((BQ121)/5)*(-2))</f>
        <v>28</v>
      </c>
      <c r="BX121" s="276">
        <v>3</v>
      </c>
      <c r="BY121" s="276">
        <f>+BX121-BN121</f>
        <v>-17</v>
      </c>
      <c r="BZ121" s="276">
        <f t="shared" ref="BZ121:BZ134" si="58">+BY121/BQ121</f>
        <v>-0.85</v>
      </c>
      <c r="CA121" s="276">
        <f>+BN121-(((BQ121)/5)*(-3))</f>
        <v>32</v>
      </c>
      <c r="CB121" s="87">
        <v>0</v>
      </c>
      <c r="CC121" s="276">
        <f>+CB121-BN121</f>
        <v>-20</v>
      </c>
      <c r="CD121" s="276">
        <f t="shared" ref="CD121:CD134" si="59">+CC121/BQ121</f>
        <v>-1</v>
      </c>
      <c r="CE121" s="276">
        <f>+BN121-(((BQ121)/5)*(-4))</f>
        <v>36</v>
      </c>
      <c r="CF121" s="87">
        <v>0</v>
      </c>
      <c r="CG121" s="276">
        <f>+CF121-BN121</f>
        <v>-20</v>
      </c>
      <c r="CH121" s="276">
        <f t="shared" ref="CH121:CH134" si="60">+CG121/BQ121</f>
        <v>-1</v>
      </c>
      <c r="CI121" s="276">
        <f>+BN121-(((BQ121)/5)*(-5))</f>
        <v>40</v>
      </c>
      <c r="CJ121" s="87">
        <v>0</v>
      </c>
      <c r="CK121" s="276">
        <f>+CJ121-BN121</f>
        <v>-20</v>
      </c>
      <c r="CL121" s="276">
        <f t="shared" ref="CL121:CL134" si="61">+CK121/BQ121</f>
        <v>-1</v>
      </c>
      <c r="CM121" s="276"/>
      <c r="CN121" s="276"/>
      <c r="CO121" s="276"/>
      <c r="CP121" s="77"/>
      <c r="CQ121" s="77"/>
      <c r="CR121" s="42"/>
      <c r="CS121" s="24">
        <v>121</v>
      </c>
      <c r="CT121" s="42"/>
    </row>
    <row r="122" spans="1:98" ht="85.5" x14ac:dyDescent="0.25">
      <c r="A122" s="276">
        <v>6</v>
      </c>
      <c r="B122" s="269" t="s">
        <v>2223</v>
      </c>
      <c r="C122" s="269" t="s">
        <v>1267</v>
      </c>
      <c r="D122" s="83" t="s">
        <v>267</v>
      </c>
      <c r="E122" s="114" t="s">
        <v>300</v>
      </c>
      <c r="F122" s="83" t="s">
        <v>2373</v>
      </c>
      <c r="G122" s="275">
        <v>92</v>
      </c>
      <c r="H122" s="77"/>
      <c r="I122" s="77"/>
      <c r="J122" s="77"/>
      <c r="K122" s="269" t="s">
        <v>900</v>
      </c>
      <c r="L122" s="83" t="s">
        <v>305</v>
      </c>
      <c r="M122" s="181"/>
      <c r="N122" s="77"/>
      <c r="O122" s="275" t="s">
        <v>2458</v>
      </c>
      <c r="P122" s="77"/>
      <c r="Q122" s="77"/>
      <c r="R122" s="77"/>
      <c r="S122" s="77"/>
      <c r="T122" s="77"/>
      <c r="U122" s="77"/>
      <c r="V122" s="77"/>
      <c r="W122" s="78"/>
      <c r="X122" s="77"/>
      <c r="Y122" s="275">
        <v>1</v>
      </c>
      <c r="Z122" s="275">
        <v>0</v>
      </c>
      <c r="AA122" s="275" t="s">
        <v>1220</v>
      </c>
      <c r="AB122" s="77"/>
      <c r="AC122" s="181"/>
      <c r="AD122" s="77"/>
      <c r="AE122" s="77"/>
      <c r="AF122" s="276" t="s">
        <v>2278</v>
      </c>
      <c r="AG122" s="275" t="s">
        <v>1364</v>
      </c>
      <c r="AH122" s="77"/>
      <c r="AI122" s="275">
        <v>1</v>
      </c>
      <c r="AJ122" s="83" t="str">
        <f t="shared" si="55"/>
        <v>03020921</v>
      </c>
      <c r="AK122" s="276" t="s">
        <v>2459</v>
      </c>
      <c r="AL122" s="275" t="s">
        <v>62</v>
      </c>
      <c r="AM122" s="77"/>
      <c r="AN122" s="189" t="s">
        <v>2449</v>
      </c>
      <c r="AO122" s="275" t="s">
        <v>1369</v>
      </c>
      <c r="AP122" s="189" t="s">
        <v>2460</v>
      </c>
      <c r="AQ122" s="276" t="s">
        <v>2382</v>
      </c>
      <c r="AR122" s="276" t="s">
        <v>2459</v>
      </c>
      <c r="AS122" s="276" t="s">
        <v>2452</v>
      </c>
      <c r="AT122" s="276" t="s">
        <v>2382</v>
      </c>
      <c r="AU122" s="276" t="s">
        <v>2382</v>
      </c>
      <c r="AV122" s="275" t="s">
        <v>2179</v>
      </c>
      <c r="AW122" s="276"/>
      <c r="AX122" s="275">
        <v>1</v>
      </c>
      <c r="AY122" s="276" t="str">
        <f t="shared" si="56"/>
        <v>030209211</v>
      </c>
      <c r="AZ122" s="275" t="s">
        <v>2454</v>
      </c>
      <c r="BA122" s="276" t="s">
        <v>2455</v>
      </c>
      <c r="BB122" s="276" t="s">
        <v>1392</v>
      </c>
      <c r="BC122" s="275" t="s">
        <v>11</v>
      </c>
      <c r="BD122" s="275" t="s">
        <v>2179</v>
      </c>
      <c r="BE122" s="276" t="s">
        <v>2456</v>
      </c>
      <c r="BF122" s="275" t="s">
        <v>9</v>
      </c>
      <c r="BG122" s="276" t="s">
        <v>2457</v>
      </c>
      <c r="BH122" s="275"/>
      <c r="BI122" s="276" t="s">
        <v>2290</v>
      </c>
      <c r="BJ122" s="276" t="s">
        <v>2185</v>
      </c>
      <c r="BK122" s="83" t="s">
        <v>2455</v>
      </c>
      <c r="BL122" s="78">
        <v>2445754</v>
      </c>
      <c r="BM122" s="78">
        <v>2014</v>
      </c>
      <c r="BN122" s="275">
        <v>20</v>
      </c>
      <c r="BO122" s="276">
        <v>220</v>
      </c>
      <c r="BP122" s="276" t="s">
        <v>1323</v>
      </c>
      <c r="BQ122" s="276">
        <f>+BO122-BN122</f>
        <v>200</v>
      </c>
      <c r="BR122" s="276">
        <v>5</v>
      </c>
      <c r="BS122" s="276">
        <f>+BN122-(((BQ122)/5)*(-1))</f>
        <v>60</v>
      </c>
      <c r="BT122" s="276">
        <v>45</v>
      </c>
      <c r="BU122" s="276">
        <f>+BT122-BN122</f>
        <v>25</v>
      </c>
      <c r="BV122" s="276">
        <f t="shared" si="57"/>
        <v>0.125</v>
      </c>
      <c r="BW122" s="276">
        <f>+BN122-(((BQ122)/5)*(-2))</f>
        <v>100</v>
      </c>
      <c r="BX122" s="276">
        <v>37</v>
      </c>
      <c r="BY122" s="276">
        <f>+BX122-BN122</f>
        <v>17</v>
      </c>
      <c r="BZ122" s="276">
        <f t="shared" si="58"/>
        <v>8.5000000000000006E-2</v>
      </c>
      <c r="CA122" s="276">
        <f>+BN122-(((BQ122)/5)*(-3))</f>
        <v>140</v>
      </c>
      <c r="CB122" s="87">
        <v>0</v>
      </c>
      <c r="CC122" s="276">
        <f>+CB122-BN122</f>
        <v>-20</v>
      </c>
      <c r="CD122" s="276">
        <f t="shared" si="59"/>
        <v>-0.1</v>
      </c>
      <c r="CE122" s="276">
        <f>+BN122-(((BQ122)/5)*(-4))</f>
        <v>180</v>
      </c>
      <c r="CF122" s="87">
        <v>0</v>
      </c>
      <c r="CG122" s="276">
        <f>+CF122-BN122</f>
        <v>-20</v>
      </c>
      <c r="CH122" s="276">
        <f t="shared" si="60"/>
        <v>-0.1</v>
      </c>
      <c r="CI122" s="276">
        <f>+BN122-(((BQ122)/5)*(-5))</f>
        <v>220</v>
      </c>
      <c r="CJ122" s="87">
        <v>0</v>
      </c>
      <c r="CK122" s="276">
        <f>+CJ122-BN122</f>
        <v>-20</v>
      </c>
      <c r="CL122" s="276">
        <f t="shared" si="61"/>
        <v>-0.1</v>
      </c>
      <c r="CM122" s="276"/>
      <c r="CN122" s="276"/>
      <c r="CO122" s="276"/>
      <c r="CP122" s="276"/>
      <c r="CQ122" s="276"/>
      <c r="CR122" s="43"/>
      <c r="CS122" s="24">
        <v>122</v>
      </c>
      <c r="CT122" s="43"/>
    </row>
    <row r="123" spans="1:98" ht="409.5" x14ac:dyDescent="0.25">
      <c r="A123" s="276">
        <v>8</v>
      </c>
      <c r="B123" s="269" t="s">
        <v>4575</v>
      </c>
      <c r="C123" s="269" t="s">
        <v>1267</v>
      </c>
      <c r="D123" s="189" t="s">
        <v>267</v>
      </c>
      <c r="E123" s="276" t="s">
        <v>4338</v>
      </c>
      <c r="F123" s="189" t="s">
        <v>4339</v>
      </c>
      <c r="G123" s="172">
        <v>1</v>
      </c>
      <c r="H123" s="276" t="s">
        <v>307</v>
      </c>
      <c r="I123" s="276">
        <v>94</v>
      </c>
      <c r="J123" s="276" t="s">
        <v>4340</v>
      </c>
      <c r="K123" s="276" t="s">
        <v>902</v>
      </c>
      <c r="L123" s="189" t="s">
        <v>308</v>
      </c>
      <c r="M123" s="276" t="s">
        <v>271</v>
      </c>
      <c r="N123" s="189" t="s">
        <v>4341</v>
      </c>
      <c r="O123" s="189" t="s">
        <v>62</v>
      </c>
      <c r="P123" s="276" t="s">
        <v>63</v>
      </c>
      <c r="Q123" s="276" t="s">
        <v>4341</v>
      </c>
      <c r="R123" s="276">
        <v>1</v>
      </c>
      <c r="S123" s="276">
        <v>1</v>
      </c>
      <c r="T123" s="276" t="s">
        <v>65</v>
      </c>
      <c r="U123" s="276"/>
      <c r="V123" s="276"/>
      <c r="W123" s="79" t="s">
        <v>4342</v>
      </c>
      <c r="X123" s="173" t="e">
        <f>100/COUNTIFS(($B$4:$B$28),C123,($D$4:$D$28),E123)</f>
        <v>#DIV/0!</v>
      </c>
      <c r="Y123" s="276">
        <f t="shared" ref="Y123:Y130" si="62">COUNTIF(T123,"RS")</f>
        <v>1</v>
      </c>
      <c r="Z123" s="276">
        <f>SUMIFS(Q123,Q123,"PD",Q123,"PC")</f>
        <v>0</v>
      </c>
      <c r="AA123" s="276" t="s">
        <v>1220</v>
      </c>
      <c r="AB123" s="276">
        <v>1</v>
      </c>
      <c r="AC123" s="275">
        <v>4</v>
      </c>
      <c r="AD123" s="189" t="s">
        <v>4343</v>
      </c>
      <c r="AE123" s="189" t="s">
        <v>4344</v>
      </c>
      <c r="AF123" s="79"/>
      <c r="AG123" s="276" t="s">
        <v>1236</v>
      </c>
      <c r="AH123" s="77"/>
      <c r="AI123" s="275">
        <v>1</v>
      </c>
      <c r="AJ123" s="83" t="str">
        <f t="shared" si="55"/>
        <v>03030941</v>
      </c>
      <c r="AK123" s="276" t="s">
        <v>4345</v>
      </c>
      <c r="AL123" s="276" t="s">
        <v>1259</v>
      </c>
      <c r="AM123" s="276"/>
      <c r="AN123" s="276" t="s">
        <v>4537</v>
      </c>
      <c r="AO123" s="276" t="s">
        <v>10</v>
      </c>
      <c r="AP123" s="83" t="s">
        <v>4538</v>
      </c>
      <c r="AQ123" s="256"/>
      <c r="AR123" s="83" t="s">
        <v>4346</v>
      </c>
      <c r="AS123" s="276" t="s">
        <v>4106</v>
      </c>
      <c r="AT123" s="83" t="s">
        <v>4347</v>
      </c>
      <c r="AU123" s="276" t="s">
        <v>4106</v>
      </c>
      <c r="AV123" s="276" t="s">
        <v>1515</v>
      </c>
      <c r="AW123" s="189" t="s">
        <v>4348</v>
      </c>
      <c r="AX123" s="275">
        <v>1</v>
      </c>
      <c r="AY123" s="276" t="str">
        <f t="shared" si="56"/>
        <v>030309411</v>
      </c>
      <c r="AZ123" s="276" t="s">
        <v>2501</v>
      </c>
      <c r="BA123" s="83" t="s">
        <v>16</v>
      </c>
      <c r="BB123" s="276" t="s">
        <v>1514</v>
      </c>
      <c r="BC123" s="276" t="s">
        <v>11</v>
      </c>
      <c r="BD123" s="276" t="s">
        <v>1515</v>
      </c>
      <c r="BE123" s="276" t="s">
        <v>9</v>
      </c>
      <c r="BF123" s="276" t="s">
        <v>17</v>
      </c>
      <c r="BG123" s="276" t="s">
        <v>4349</v>
      </c>
      <c r="BH123" s="276" t="s">
        <v>4350</v>
      </c>
      <c r="BI123" s="276" t="s">
        <v>12</v>
      </c>
      <c r="BJ123" s="276" t="s">
        <v>3162</v>
      </c>
      <c r="BK123" s="276" t="s">
        <v>3163</v>
      </c>
      <c r="BL123" s="275" t="s">
        <v>3164</v>
      </c>
      <c r="BM123" s="127">
        <v>42339</v>
      </c>
      <c r="BN123" s="126">
        <v>0.86018669919903901</v>
      </c>
      <c r="BO123" s="139">
        <v>0.9</v>
      </c>
      <c r="BP123" s="139">
        <v>0.95</v>
      </c>
      <c r="BQ123" s="259">
        <f>(BO123-BN123)*100</f>
        <v>3.9813300800961016</v>
      </c>
      <c r="BR123" s="275">
        <v>5</v>
      </c>
      <c r="BS123" s="260">
        <f>+BN123-(((BQ123)/100/5)*(-1))</f>
        <v>0.86814935935923121</v>
      </c>
      <c r="BT123" s="170">
        <v>0.89371572101224805</v>
      </c>
      <c r="BU123" s="261">
        <f>(BT123-BN123)*100</f>
        <v>3.3529021813209048</v>
      </c>
      <c r="BV123" s="139">
        <f t="shared" si="57"/>
        <v>0.84215629296427796</v>
      </c>
      <c r="BW123" s="170">
        <f>+BN123-(((BQ123)/100/5)*(-2))</f>
        <v>0.87611201951942341</v>
      </c>
      <c r="BX123" s="170">
        <v>0.91221456787744504</v>
      </c>
      <c r="BY123" s="88">
        <f>(BX123-BN123)*100</f>
        <v>5.2027868678406026</v>
      </c>
      <c r="BZ123" s="170">
        <f t="shared" si="58"/>
        <v>1.3067961618783985</v>
      </c>
      <c r="CA123" s="170">
        <f>+BN123-(((BQ123)/100/5)*(-3))</f>
        <v>0.88407467967961562</v>
      </c>
      <c r="CB123" s="188"/>
      <c r="CC123" s="88">
        <f>(CB123-BN123)*100</f>
        <v>-86.0186699199039</v>
      </c>
      <c r="CD123" s="126">
        <f t="shared" si="59"/>
        <v>-21.605510768860334</v>
      </c>
      <c r="CE123" s="170">
        <f>+BN123-(((BQ123)/100/5)*(-4))</f>
        <v>0.89203733983980782</v>
      </c>
      <c r="CF123" s="188"/>
      <c r="CG123" s="88">
        <f>(CF123-BN123)*100</f>
        <v>-86.0186699199039</v>
      </c>
      <c r="CH123" s="126">
        <f t="shared" si="60"/>
        <v>-21.605510768860334</v>
      </c>
      <c r="CI123" s="170">
        <f>+BN123-(((BQ123)/100/5)*(-5))</f>
        <v>0.9</v>
      </c>
      <c r="CJ123" s="188"/>
      <c r="CK123" s="88">
        <f>(CJ123-BN123)*100</f>
        <v>-86.0186699199039</v>
      </c>
      <c r="CL123" s="186">
        <f t="shared" si="61"/>
        <v>-21.605510768860334</v>
      </c>
      <c r="CM123" s="89" t="s">
        <v>11</v>
      </c>
      <c r="CN123" s="188"/>
      <c r="CO123" s="188" t="s">
        <v>1365</v>
      </c>
      <c r="CP123" s="188"/>
      <c r="CQ123" s="188"/>
      <c r="CR123" s="43"/>
      <c r="CS123" s="2">
        <v>123</v>
      </c>
      <c r="CT123" s="43"/>
    </row>
    <row r="124" spans="1:98" ht="370.5" x14ac:dyDescent="0.25">
      <c r="A124" s="276">
        <v>8</v>
      </c>
      <c r="B124" s="269" t="s">
        <v>4575</v>
      </c>
      <c r="C124" s="269" t="s">
        <v>1267</v>
      </c>
      <c r="D124" s="189" t="s">
        <v>267</v>
      </c>
      <c r="E124" s="276" t="s">
        <v>4338</v>
      </c>
      <c r="F124" s="189" t="s">
        <v>4339</v>
      </c>
      <c r="G124" s="172">
        <v>1</v>
      </c>
      <c r="H124" s="276" t="s">
        <v>307</v>
      </c>
      <c r="I124" s="276">
        <v>94</v>
      </c>
      <c r="J124" s="276" t="s">
        <v>4340</v>
      </c>
      <c r="K124" s="276" t="s">
        <v>902</v>
      </c>
      <c r="L124" s="189" t="s">
        <v>308</v>
      </c>
      <c r="M124" s="276"/>
      <c r="N124" s="189"/>
      <c r="O124" s="189" t="s">
        <v>62</v>
      </c>
      <c r="P124" s="276"/>
      <c r="Q124" s="276"/>
      <c r="R124" s="276"/>
      <c r="S124" s="276">
        <v>1</v>
      </c>
      <c r="T124" s="276" t="s">
        <v>65</v>
      </c>
      <c r="U124" s="276"/>
      <c r="V124" s="276"/>
      <c r="W124" s="79"/>
      <c r="X124" s="173"/>
      <c r="Y124" s="276">
        <f t="shared" si="62"/>
        <v>1</v>
      </c>
      <c r="Z124" s="276">
        <f>SUMIFS(Q124,Q124,"PD",Q124,"PC")</f>
        <v>0</v>
      </c>
      <c r="AA124" s="276" t="s">
        <v>1220</v>
      </c>
      <c r="AB124" s="276"/>
      <c r="AC124" s="275">
        <v>4</v>
      </c>
      <c r="AD124" s="189" t="s">
        <v>4351</v>
      </c>
      <c r="AE124" s="189" t="s">
        <v>4352</v>
      </c>
      <c r="AF124" s="79"/>
      <c r="AG124" s="276" t="s">
        <v>1236</v>
      </c>
      <c r="AH124" s="77"/>
      <c r="AI124" s="275">
        <v>2</v>
      </c>
      <c r="AJ124" s="83" t="str">
        <f t="shared" si="55"/>
        <v>03030942</v>
      </c>
      <c r="AK124" s="276" t="s">
        <v>4353</v>
      </c>
      <c r="AL124" s="276" t="s">
        <v>1259</v>
      </c>
      <c r="AM124" s="276"/>
      <c r="AN124" s="276" t="s">
        <v>4354</v>
      </c>
      <c r="AO124" s="276" t="s">
        <v>10</v>
      </c>
      <c r="AP124" s="83" t="s">
        <v>4355</v>
      </c>
      <c r="AQ124" s="117"/>
      <c r="AR124" s="83" t="s">
        <v>4356</v>
      </c>
      <c r="AS124" s="276" t="s">
        <v>3173</v>
      </c>
      <c r="AT124" s="83" t="s">
        <v>4357</v>
      </c>
      <c r="AU124" s="276" t="s">
        <v>3173</v>
      </c>
      <c r="AV124" s="276" t="s">
        <v>4358</v>
      </c>
      <c r="AW124" s="76"/>
      <c r="AX124" s="275">
        <v>1</v>
      </c>
      <c r="AY124" s="276" t="str">
        <f t="shared" si="56"/>
        <v>030309421</v>
      </c>
      <c r="AZ124" s="276" t="s">
        <v>4359</v>
      </c>
      <c r="BA124" s="83" t="s">
        <v>4360</v>
      </c>
      <c r="BB124" s="276" t="s">
        <v>1229</v>
      </c>
      <c r="BC124" s="276" t="s">
        <v>11</v>
      </c>
      <c r="BD124" s="276" t="s">
        <v>4358</v>
      </c>
      <c r="BE124" s="276" t="s">
        <v>9</v>
      </c>
      <c r="BF124" s="276" t="s">
        <v>71</v>
      </c>
      <c r="BG124" s="276" t="s">
        <v>4361</v>
      </c>
      <c r="BH124" s="83"/>
      <c r="BI124" s="276" t="s">
        <v>4334</v>
      </c>
      <c r="BJ124" s="276" t="s">
        <v>4335</v>
      </c>
      <c r="BK124" s="276" t="s">
        <v>4362</v>
      </c>
      <c r="BL124" s="275" t="s">
        <v>4363</v>
      </c>
      <c r="BM124" s="127">
        <v>42339</v>
      </c>
      <c r="BN124" s="170">
        <v>3.1439153664716162E-2</v>
      </c>
      <c r="BO124" s="186">
        <v>0.03</v>
      </c>
      <c r="BP124" s="186">
        <v>0.03</v>
      </c>
      <c r="BQ124" s="87">
        <f>(BO124-BN124)*100</f>
        <v>-0.14391536647161626</v>
      </c>
      <c r="BR124" s="275">
        <v>5</v>
      </c>
      <c r="BS124" s="188">
        <f>+BN124-(((BQ124)/100/5)*(-1))</f>
        <v>3.1151322931772928E-2</v>
      </c>
      <c r="BT124" s="140">
        <v>3.2000000000000001E-2</v>
      </c>
      <c r="BU124" s="88">
        <f>(BT124-BN124)*100</f>
        <v>5.6084633528383915E-2</v>
      </c>
      <c r="BV124" s="188">
        <f t="shared" si="57"/>
        <v>-0.38970566454031313</v>
      </c>
      <c r="BW124" s="188">
        <f>+BN124-(((BQ124)/100/5)*(-2))</f>
        <v>3.0863492198829695E-2</v>
      </c>
      <c r="BX124" s="140"/>
      <c r="BY124" s="88">
        <f>(BX124-BN124)*100</f>
        <v>-3.143915366471616</v>
      </c>
      <c r="BZ124" s="89">
        <f t="shared" si="58"/>
        <v>21.845584968104678</v>
      </c>
      <c r="CA124" s="188">
        <f>+BN124-(((BQ124)/100/5)*(-3))</f>
        <v>3.0575661465886465E-2</v>
      </c>
      <c r="CB124" s="188"/>
      <c r="CC124" s="88">
        <f>(CB124-BN124)*100</f>
        <v>-3.143915366471616</v>
      </c>
      <c r="CD124" s="188">
        <f t="shared" si="59"/>
        <v>21.845584968104678</v>
      </c>
      <c r="CE124" s="188">
        <f>+BN124-(((BQ124)/100/5)*(-4))</f>
        <v>3.0287830732943232E-2</v>
      </c>
      <c r="CF124" s="188"/>
      <c r="CG124" s="88">
        <f>(CF124-BN124)*100</f>
        <v>-3.143915366471616</v>
      </c>
      <c r="CH124" s="188">
        <f t="shared" si="60"/>
        <v>21.845584968104678</v>
      </c>
      <c r="CI124" s="188">
        <f>+BN124-(((BQ124)/5/100)*(-5))</f>
        <v>0.03</v>
      </c>
      <c r="CJ124" s="188"/>
      <c r="CK124" s="88">
        <f>(CJ124-BN124)*100</f>
        <v>-3.143915366471616</v>
      </c>
      <c r="CL124" s="89">
        <f t="shared" si="61"/>
        <v>21.845584968104678</v>
      </c>
      <c r="CM124" s="89"/>
      <c r="CN124" s="188"/>
      <c r="CO124" s="188"/>
      <c r="CP124" s="188"/>
      <c r="CQ124" s="188"/>
      <c r="CR124" s="44"/>
      <c r="CS124" s="24">
        <v>124</v>
      </c>
      <c r="CT124" s="44"/>
    </row>
    <row r="125" spans="1:98" ht="213.75" x14ac:dyDescent="0.25">
      <c r="A125" s="276">
        <v>8</v>
      </c>
      <c r="B125" s="269" t="s">
        <v>4575</v>
      </c>
      <c r="C125" s="269" t="s">
        <v>1267</v>
      </c>
      <c r="D125" s="189" t="s">
        <v>267</v>
      </c>
      <c r="E125" s="276" t="s">
        <v>4338</v>
      </c>
      <c r="F125" s="189" t="s">
        <v>4339</v>
      </c>
      <c r="G125" s="172">
        <v>2</v>
      </c>
      <c r="H125" s="276" t="s">
        <v>309</v>
      </c>
      <c r="I125" s="276">
        <v>95</v>
      </c>
      <c r="J125" s="276" t="s">
        <v>4364</v>
      </c>
      <c r="K125" s="276" t="s">
        <v>903</v>
      </c>
      <c r="L125" s="189" t="s">
        <v>310</v>
      </c>
      <c r="M125" s="276" t="s">
        <v>271</v>
      </c>
      <c r="N125" s="189" t="s">
        <v>4341</v>
      </c>
      <c r="O125" s="189" t="s">
        <v>137</v>
      </c>
      <c r="P125" s="276" t="s">
        <v>63</v>
      </c>
      <c r="Q125" s="276" t="s">
        <v>4341</v>
      </c>
      <c r="R125" s="276"/>
      <c r="S125" s="276">
        <v>1</v>
      </c>
      <c r="T125" s="276" t="s">
        <v>65</v>
      </c>
      <c r="U125" s="276"/>
      <c r="V125" s="276"/>
      <c r="W125" s="79" t="s">
        <v>4342</v>
      </c>
      <c r="X125" s="173" t="e">
        <f>100/COUNTIFS(($B$4:$B$28),C125,($D$4:$D$28),E125)</f>
        <v>#DIV/0!</v>
      </c>
      <c r="Y125" s="276">
        <f t="shared" si="62"/>
        <v>1</v>
      </c>
      <c r="Z125" s="276">
        <f>SUMIFS(Q125,Q125,"PD",Q125,"PC")</f>
        <v>0</v>
      </c>
      <c r="AA125" s="276" t="s">
        <v>1220</v>
      </c>
      <c r="AB125" s="276">
        <v>1</v>
      </c>
      <c r="AC125" s="275">
        <v>4</v>
      </c>
      <c r="AD125" s="189" t="s">
        <v>4365</v>
      </c>
      <c r="AE125" s="189" t="s">
        <v>4366</v>
      </c>
      <c r="AF125" s="79"/>
      <c r="AG125" s="276" t="s">
        <v>1236</v>
      </c>
      <c r="AH125" s="77"/>
      <c r="AI125" s="275">
        <v>1</v>
      </c>
      <c r="AJ125" s="83" t="str">
        <f t="shared" si="55"/>
        <v>03030951</v>
      </c>
      <c r="AK125" s="276" t="s">
        <v>4367</v>
      </c>
      <c r="AL125" s="276" t="s">
        <v>137</v>
      </c>
      <c r="AM125" s="276"/>
      <c r="AN125" s="276" t="s">
        <v>17</v>
      </c>
      <c r="AO125" s="276" t="s">
        <v>1369</v>
      </c>
      <c r="AP125" s="189" t="s">
        <v>4368</v>
      </c>
      <c r="AQ125" s="276"/>
      <c r="AR125" s="276" t="s">
        <v>4369</v>
      </c>
      <c r="AS125" s="276" t="s">
        <v>3173</v>
      </c>
      <c r="AT125" s="114" t="s">
        <v>4329</v>
      </c>
      <c r="AU125" s="114" t="s">
        <v>4329</v>
      </c>
      <c r="AV125" s="276" t="s">
        <v>2514</v>
      </c>
      <c r="AW125" s="189" t="s">
        <v>4370</v>
      </c>
      <c r="AX125" s="275">
        <v>1</v>
      </c>
      <c r="AY125" s="276" t="str">
        <f t="shared" si="56"/>
        <v>030309511</v>
      </c>
      <c r="AZ125" s="276" t="s">
        <v>4371</v>
      </c>
      <c r="BA125" s="83" t="s">
        <v>4372</v>
      </c>
      <c r="BB125" s="276" t="s">
        <v>1229</v>
      </c>
      <c r="BC125" s="276" t="s">
        <v>11</v>
      </c>
      <c r="BD125" s="276" t="s">
        <v>2514</v>
      </c>
      <c r="BE125" s="276" t="s">
        <v>9</v>
      </c>
      <c r="BF125" s="276" t="s">
        <v>17</v>
      </c>
      <c r="BG125" s="276" t="s">
        <v>4373</v>
      </c>
      <c r="BH125" s="83"/>
      <c r="BI125" s="276" t="s">
        <v>4374</v>
      </c>
      <c r="BJ125" s="276" t="s">
        <v>4375</v>
      </c>
      <c r="BK125" s="83" t="s">
        <v>4376</v>
      </c>
      <c r="BL125" s="276">
        <v>2912411</v>
      </c>
      <c r="BM125" s="127">
        <v>42339</v>
      </c>
      <c r="BN125" s="113">
        <v>75747</v>
      </c>
      <c r="BO125" s="175">
        <f>230000*0.8</f>
        <v>184000</v>
      </c>
      <c r="BP125" s="257"/>
      <c r="BQ125" s="258">
        <f>+BO125-BN125</f>
        <v>108253</v>
      </c>
      <c r="BR125" s="275">
        <v>5</v>
      </c>
      <c r="BS125" s="254">
        <f>+BN125-(((BQ125)/5)*(-1))</f>
        <v>97397.6</v>
      </c>
      <c r="BT125" s="174">
        <f>26579+BN125</f>
        <v>102326</v>
      </c>
      <c r="BU125" s="254">
        <f>+BT125-BN125</f>
        <v>26579</v>
      </c>
      <c r="BV125" s="188">
        <f t="shared" si="57"/>
        <v>0.24552668286329246</v>
      </c>
      <c r="BW125" s="254">
        <f>+BN125-(((BQ125)/5)*(-2))</f>
        <v>119048.2</v>
      </c>
      <c r="BX125" s="174">
        <f>+BT125+26202</f>
        <v>128528</v>
      </c>
      <c r="BY125" s="254">
        <f>+BX125-BN125</f>
        <v>52781</v>
      </c>
      <c r="BZ125" s="89">
        <f t="shared" si="58"/>
        <v>0.48757078325773884</v>
      </c>
      <c r="CA125" s="254">
        <f>+BN125-(((BQ125)/5)*(-3))</f>
        <v>140698.79999999999</v>
      </c>
      <c r="CB125" s="254"/>
      <c r="CC125" s="254">
        <f>+CB125-BN125</f>
        <v>-75747</v>
      </c>
      <c r="CD125" s="188">
        <f t="shared" si="59"/>
        <v>-0.69972194765964912</v>
      </c>
      <c r="CE125" s="254">
        <f>+BN125-(((BQ125)/5)*(-4))</f>
        <v>162349.4</v>
      </c>
      <c r="CF125" s="254"/>
      <c r="CG125" s="254">
        <f>+CF125-BN125</f>
        <v>-75747</v>
      </c>
      <c r="CH125" s="188">
        <f t="shared" si="60"/>
        <v>-0.69972194765964912</v>
      </c>
      <c r="CI125" s="254">
        <f>+BN125-(((BQ125)/5)*(-5))</f>
        <v>184000</v>
      </c>
      <c r="CJ125" s="254"/>
      <c r="CK125" s="254">
        <f>+CJ125-BN125</f>
        <v>-75747</v>
      </c>
      <c r="CL125" s="89">
        <f t="shared" si="61"/>
        <v>-0.69972194765964912</v>
      </c>
      <c r="CM125" s="89"/>
      <c r="CN125" s="188"/>
      <c r="CO125" s="188"/>
      <c r="CP125" s="188"/>
      <c r="CQ125" s="188"/>
      <c r="CR125" s="45"/>
      <c r="CS125" s="24">
        <v>125</v>
      </c>
      <c r="CT125" s="45"/>
    </row>
    <row r="126" spans="1:98" ht="213.75" x14ac:dyDescent="0.25">
      <c r="A126" s="276">
        <v>8</v>
      </c>
      <c r="B126" s="269" t="s">
        <v>4575</v>
      </c>
      <c r="C126" s="269" t="s">
        <v>1267</v>
      </c>
      <c r="D126" s="189" t="s">
        <v>267</v>
      </c>
      <c r="E126" s="276" t="s">
        <v>4338</v>
      </c>
      <c r="F126" s="189" t="s">
        <v>4339</v>
      </c>
      <c r="G126" s="172">
        <v>2</v>
      </c>
      <c r="H126" s="276" t="s">
        <v>309</v>
      </c>
      <c r="I126" s="276">
        <v>95</v>
      </c>
      <c r="J126" s="276" t="s">
        <v>4364</v>
      </c>
      <c r="K126" s="276" t="s">
        <v>903</v>
      </c>
      <c r="L126" s="189" t="s">
        <v>310</v>
      </c>
      <c r="M126" s="276"/>
      <c r="N126" s="189"/>
      <c r="O126" s="189" t="s">
        <v>62</v>
      </c>
      <c r="P126" s="276" t="s">
        <v>63</v>
      </c>
      <c r="Q126" s="276" t="s">
        <v>4341</v>
      </c>
      <c r="R126" s="276"/>
      <c r="S126" s="276">
        <v>1</v>
      </c>
      <c r="T126" s="276" t="s">
        <v>65</v>
      </c>
      <c r="U126" s="276"/>
      <c r="V126" s="276"/>
      <c r="W126" s="79"/>
      <c r="X126" s="173"/>
      <c r="Y126" s="276">
        <f t="shared" si="62"/>
        <v>1</v>
      </c>
      <c r="Z126" s="276">
        <f>SUMIFS(Q126,Q126,"PD",Q126,"PC")</f>
        <v>0</v>
      </c>
      <c r="AA126" s="276" t="s">
        <v>1220</v>
      </c>
      <c r="AB126" s="276"/>
      <c r="AC126" s="275">
        <v>4</v>
      </c>
      <c r="AD126" s="189" t="s">
        <v>4365</v>
      </c>
      <c r="AE126" s="189" t="s">
        <v>4366</v>
      </c>
      <c r="AF126" s="79"/>
      <c r="AG126" s="276" t="s">
        <v>1236</v>
      </c>
      <c r="AH126" s="77"/>
      <c r="AI126" s="275">
        <v>2</v>
      </c>
      <c r="AJ126" s="83" t="str">
        <f t="shared" si="55"/>
        <v>03030952</v>
      </c>
      <c r="AK126" s="276" t="s">
        <v>4377</v>
      </c>
      <c r="AL126" s="189" t="s">
        <v>1259</v>
      </c>
      <c r="AM126" s="189"/>
      <c r="AN126" s="276" t="s">
        <v>4378</v>
      </c>
      <c r="AO126" s="276" t="s">
        <v>10</v>
      </c>
      <c r="AP126" s="83" t="s">
        <v>4379</v>
      </c>
      <c r="AQ126" s="76"/>
      <c r="AR126" s="83" t="s">
        <v>4380</v>
      </c>
      <c r="AS126" s="276" t="s">
        <v>4106</v>
      </c>
      <c r="AT126" s="83" t="s">
        <v>4381</v>
      </c>
      <c r="AU126" s="276" t="s">
        <v>4106</v>
      </c>
      <c r="AV126" s="276" t="s">
        <v>1515</v>
      </c>
      <c r="AW126" s="83" t="s">
        <v>4382</v>
      </c>
      <c r="AX126" s="275">
        <v>1</v>
      </c>
      <c r="AY126" s="276" t="str">
        <f t="shared" si="56"/>
        <v>030309521</v>
      </c>
      <c r="AZ126" s="276" t="s">
        <v>2501</v>
      </c>
      <c r="BA126" s="83" t="s">
        <v>16</v>
      </c>
      <c r="BB126" s="276" t="s">
        <v>1514</v>
      </c>
      <c r="BC126" s="276" t="s">
        <v>11</v>
      </c>
      <c r="BD126" s="276" t="s">
        <v>1515</v>
      </c>
      <c r="BE126" s="276" t="s">
        <v>9</v>
      </c>
      <c r="BF126" s="276" t="s">
        <v>17</v>
      </c>
      <c r="BG126" s="276" t="s">
        <v>4383</v>
      </c>
      <c r="BH126" s="276" t="s">
        <v>4350</v>
      </c>
      <c r="BI126" s="276" t="s">
        <v>3161</v>
      </c>
      <c r="BJ126" s="276" t="s">
        <v>3162</v>
      </c>
      <c r="BK126" s="276" t="s">
        <v>3163</v>
      </c>
      <c r="BL126" s="275" t="s">
        <v>3164</v>
      </c>
      <c r="BM126" s="127">
        <v>42339</v>
      </c>
      <c r="BN126" s="170">
        <v>0.99399169537875998</v>
      </c>
      <c r="BO126" s="139">
        <v>1</v>
      </c>
      <c r="BP126" s="139">
        <v>1</v>
      </c>
      <c r="BQ126" s="87">
        <f>(BO126-BN126)*100</f>
        <v>0.60083046212400237</v>
      </c>
      <c r="BR126" s="275">
        <v>5</v>
      </c>
      <c r="BS126" s="188">
        <f>+BN126-(((BQ126)/100/5)*(-1))</f>
        <v>0.99519335630300798</v>
      </c>
      <c r="BT126" s="170">
        <v>0.99415921946880503</v>
      </c>
      <c r="BU126" s="88">
        <f>(BT126-BN126)*100</f>
        <v>1.6752409004505697E-2</v>
      </c>
      <c r="BV126" s="188">
        <f t="shared" si="57"/>
        <v>2.7882089974739416E-2</v>
      </c>
      <c r="BW126" s="188">
        <f>+BN126-(((BQ126)/100/5)*(-2))</f>
        <v>0.99639501722725599</v>
      </c>
      <c r="BX126" s="170">
        <v>0.99375505704619604</v>
      </c>
      <c r="BY126" s="88">
        <f>(BX126-BN126)*100</f>
        <v>-2.3663833256393207E-2</v>
      </c>
      <c r="BZ126" s="89">
        <f t="shared" si="58"/>
        <v>-3.9385208886944467E-2</v>
      </c>
      <c r="CA126" s="188">
        <f>+BN126-(((BQ126)/100/5)*(-3))</f>
        <v>0.99759667815150399</v>
      </c>
      <c r="CB126" s="188"/>
      <c r="CC126" s="88">
        <f>(CB126-BN126)*100</f>
        <v>-99.399169537875991</v>
      </c>
      <c r="CD126" s="188">
        <f t="shared" si="59"/>
        <v>-165.43630159244739</v>
      </c>
      <c r="CE126" s="188">
        <f>+BN126-(((BQ126)/100/5)*(-4))</f>
        <v>0.998798339075752</v>
      </c>
      <c r="CF126" s="188"/>
      <c r="CG126" s="88">
        <f>(CF126-BN126)*100</f>
        <v>-99.399169537875991</v>
      </c>
      <c r="CH126" s="188">
        <f t="shared" si="60"/>
        <v>-165.43630159244739</v>
      </c>
      <c r="CI126" s="188">
        <f>+BN126-(((BQ126)/100/5)*(-5))</f>
        <v>1</v>
      </c>
      <c r="CJ126" s="188"/>
      <c r="CK126" s="88">
        <f>(CJ126-BN126)*100</f>
        <v>-99.399169537875991</v>
      </c>
      <c r="CL126" s="89">
        <f t="shared" si="61"/>
        <v>-165.43630159244739</v>
      </c>
      <c r="CM126" s="89" t="s">
        <v>11</v>
      </c>
      <c r="CN126" s="188"/>
      <c r="CO126" s="188" t="s">
        <v>1366</v>
      </c>
      <c r="CP126" s="188"/>
      <c r="CQ126" s="188"/>
      <c r="CR126" s="44"/>
      <c r="CS126" s="2">
        <v>126</v>
      </c>
      <c r="CT126" s="44"/>
    </row>
    <row r="127" spans="1:98" ht="156.75" customHeight="1" x14ac:dyDescent="0.25">
      <c r="A127" s="276">
        <v>8</v>
      </c>
      <c r="B127" s="269" t="s">
        <v>4575</v>
      </c>
      <c r="C127" s="269" t="s">
        <v>1267</v>
      </c>
      <c r="D127" s="189" t="s">
        <v>267</v>
      </c>
      <c r="E127" s="276" t="s">
        <v>4338</v>
      </c>
      <c r="F127" s="189" t="s">
        <v>4339</v>
      </c>
      <c r="G127" s="172">
        <v>2</v>
      </c>
      <c r="H127" s="276" t="s">
        <v>309</v>
      </c>
      <c r="I127" s="276">
        <v>95</v>
      </c>
      <c r="J127" s="276" t="s">
        <v>4364</v>
      </c>
      <c r="K127" s="276" t="s">
        <v>903</v>
      </c>
      <c r="L127" s="189" t="s">
        <v>310</v>
      </c>
      <c r="M127" s="276"/>
      <c r="N127" s="189"/>
      <c r="O127" s="189" t="s">
        <v>62</v>
      </c>
      <c r="P127" s="276" t="s">
        <v>63</v>
      </c>
      <c r="Q127" s="276" t="s">
        <v>4341</v>
      </c>
      <c r="R127" s="276"/>
      <c r="S127" s="276">
        <v>1</v>
      </c>
      <c r="T127" s="276" t="s">
        <v>65</v>
      </c>
      <c r="U127" s="276"/>
      <c r="V127" s="276"/>
      <c r="W127" s="79"/>
      <c r="X127" s="173"/>
      <c r="Y127" s="276">
        <f t="shared" si="62"/>
        <v>1</v>
      </c>
      <c r="Z127" s="276">
        <f>SUMIFS(Q127,Q127,"PD",Q127,"PC")</f>
        <v>0</v>
      </c>
      <c r="AA127" s="276" t="s">
        <v>1220</v>
      </c>
      <c r="AB127" s="276"/>
      <c r="AC127" s="275">
        <v>4</v>
      </c>
      <c r="AD127" s="189" t="s">
        <v>4365</v>
      </c>
      <c r="AE127" s="189" t="s">
        <v>4366</v>
      </c>
      <c r="AF127" s="79"/>
      <c r="AG127" s="276" t="s">
        <v>1236</v>
      </c>
      <c r="AH127" s="77"/>
      <c r="AI127" s="275">
        <v>3</v>
      </c>
      <c r="AJ127" s="83" t="str">
        <f t="shared" si="55"/>
        <v>03030953</v>
      </c>
      <c r="AK127" s="276" t="s">
        <v>4384</v>
      </c>
      <c r="AL127" s="189" t="s">
        <v>1259</v>
      </c>
      <c r="AM127" s="189"/>
      <c r="AN127" s="276" t="s">
        <v>4378</v>
      </c>
      <c r="AO127" s="276" t="s">
        <v>10</v>
      </c>
      <c r="AP127" s="83" t="s">
        <v>4385</v>
      </c>
      <c r="AQ127" s="76"/>
      <c r="AR127" s="83" t="s">
        <v>4386</v>
      </c>
      <c r="AS127" s="276" t="s">
        <v>4106</v>
      </c>
      <c r="AT127" s="83" t="s">
        <v>4381</v>
      </c>
      <c r="AU127" s="276" t="s">
        <v>4106</v>
      </c>
      <c r="AV127" s="276" t="s">
        <v>2673</v>
      </c>
      <c r="AW127" s="83" t="s">
        <v>4387</v>
      </c>
      <c r="AX127" s="275">
        <v>1</v>
      </c>
      <c r="AY127" s="276" t="str">
        <f t="shared" si="56"/>
        <v>030309531</v>
      </c>
      <c r="AZ127" s="276" t="s">
        <v>2501</v>
      </c>
      <c r="BA127" s="83" t="s">
        <v>16</v>
      </c>
      <c r="BB127" s="276" t="s">
        <v>1514</v>
      </c>
      <c r="BC127" s="276" t="s">
        <v>11</v>
      </c>
      <c r="BD127" s="276" t="s">
        <v>1515</v>
      </c>
      <c r="BE127" s="276" t="s">
        <v>9</v>
      </c>
      <c r="BF127" s="276" t="s">
        <v>17</v>
      </c>
      <c r="BG127" s="276" t="s">
        <v>4383</v>
      </c>
      <c r="BH127" s="276" t="s">
        <v>4350</v>
      </c>
      <c r="BI127" s="276" t="s">
        <v>3161</v>
      </c>
      <c r="BJ127" s="276" t="s">
        <v>3162</v>
      </c>
      <c r="BK127" s="276" t="s">
        <v>3163</v>
      </c>
      <c r="BL127" s="275" t="s">
        <v>3164</v>
      </c>
      <c r="BM127" s="127">
        <v>42705</v>
      </c>
      <c r="BN127" s="170">
        <v>0.98835914124096003</v>
      </c>
      <c r="BO127" s="126">
        <v>1</v>
      </c>
      <c r="BP127" s="139">
        <v>1</v>
      </c>
      <c r="BQ127" s="87">
        <f>(BO127-BN127)*100</f>
        <v>1.1640858759039974</v>
      </c>
      <c r="BR127" s="275">
        <v>5</v>
      </c>
      <c r="BS127" s="188">
        <f>+BN127-(((BQ127)/100/5)*(-1))</f>
        <v>0.99068731299276802</v>
      </c>
      <c r="BT127" s="170">
        <v>0.98835914124096402</v>
      </c>
      <c r="BU127" s="88">
        <f>(BT127-BN127)*100</f>
        <v>3.9968028886505635E-13</v>
      </c>
      <c r="BV127" s="188">
        <f t="shared" si="57"/>
        <v>3.4334261512680541E-13</v>
      </c>
      <c r="BW127" s="188">
        <f>+BN127-(((BQ127)/100/5)*(-2))</f>
        <v>0.99301548474457602</v>
      </c>
      <c r="BX127" s="188">
        <v>0.98686932864148103</v>
      </c>
      <c r="BY127" s="88">
        <f>(BX127-BN127)*100</f>
        <v>-0.14898125994790012</v>
      </c>
      <c r="BZ127" s="89">
        <f t="shared" si="58"/>
        <v>-0.12798133113006405</v>
      </c>
      <c r="CA127" s="188">
        <f>+BN127-(((BQ127)/100/5)*(-3))</f>
        <v>0.99534365649638401</v>
      </c>
      <c r="CB127" s="188"/>
      <c r="CC127" s="88">
        <f>(CB127-BN127)*100</f>
        <v>-98.835914124096007</v>
      </c>
      <c r="CD127" s="188">
        <f t="shared" si="59"/>
        <v>-84.904315196971808</v>
      </c>
      <c r="CE127" s="188">
        <f>+BN127-(((BQ127)/100/5)*(-4))</f>
        <v>0.99767182824819201</v>
      </c>
      <c r="CF127" s="188"/>
      <c r="CG127" s="88">
        <f>(CF127-BN127)*100</f>
        <v>-98.835914124096007</v>
      </c>
      <c r="CH127" s="188">
        <f t="shared" si="60"/>
        <v>-84.904315196971808</v>
      </c>
      <c r="CI127" s="188">
        <f>+BN127-(((BQ127)/100/5)*(-5))</f>
        <v>1</v>
      </c>
      <c r="CJ127" s="188"/>
      <c r="CK127" s="88">
        <f>(CJ127-BN127)*100</f>
        <v>-98.835914124096007</v>
      </c>
      <c r="CL127" s="89">
        <f t="shared" si="61"/>
        <v>-84.904315196971808</v>
      </c>
      <c r="CM127" s="89" t="s">
        <v>11</v>
      </c>
      <c r="CN127" s="188"/>
      <c r="CO127" s="188" t="s">
        <v>1366</v>
      </c>
      <c r="CP127" s="188"/>
      <c r="CQ127" s="188"/>
      <c r="CR127" s="44"/>
      <c r="CS127" s="24">
        <v>127</v>
      </c>
      <c r="CT127" s="44"/>
    </row>
    <row r="128" spans="1:98" ht="256.5" x14ac:dyDescent="0.25">
      <c r="A128" s="276">
        <v>8</v>
      </c>
      <c r="B128" s="269" t="s">
        <v>4575</v>
      </c>
      <c r="C128" s="269" t="s">
        <v>1267</v>
      </c>
      <c r="D128" s="189" t="s">
        <v>267</v>
      </c>
      <c r="E128" s="276" t="s">
        <v>4338</v>
      </c>
      <c r="F128" s="189" t="s">
        <v>4339</v>
      </c>
      <c r="G128" s="172">
        <v>4</v>
      </c>
      <c r="H128" s="276" t="s">
        <v>4388</v>
      </c>
      <c r="I128" s="276">
        <v>97</v>
      </c>
      <c r="J128" s="276" t="s">
        <v>4389</v>
      </c>
      <c r="K128" s="276" t="s">
        <v>905</v>
      </c>
      <c r="L128" s="189" t="s">
        <v>313</v>
      </c>
      <c r="M128" s="276" t="s">
        <v>271</v>
      </c>
      <c r="N128" s="189" t="s">
        <v>4341</v>
      </c>
      <c r="O128" s="189" t="s">
        <v>62</v>
      </c>
      <c r="P128" s="276" t="s">
        <v>63</v>
      </c>
      <c r="Q128" s="276" t="s">
        <v>4341</v>
      </c>
      <c r="R128" s="276">
        <v>1</v>
      </c>
      <c r="S128" s="276">
        <v>1</v>
      </c>
      <c r="T128" s="276" t="s">
        <v>65</v>
      </c>
      <c r="U128" s="276"/>
      <c r="V128" s="276"/>
      <c r="W128" s="79" t="s">
        <v>4342</v>
      </c>
      <c r="X128" s="173" t="e">
        <f t="shared" ref="X128:X139" si="63">100/COUNTIFS(($B$4:$B$28),C128,($D$4:$D$28),E128)</f>
        <v>#DIV/0!</v>
      </c>
      <c r="Y128" s="276">
        <f t="shared" si="62"/>
        <v>1</v>
      </c>
      <c r="Z128" s="276">
        <v>0</v>
      </c>
      <c r="AA128" s="276" t="s">
        <v>1220</v>
      </c>
      <c r="AB128" s="276">
        <v>1</v>
      </c>
      <c r="AC128" s="275">
        <v>4</v>
      </c>
      <c r="AD128" s="189" t="s">
        <v>4390</v>
      </c>
      <c r="AE128" s="189" t="s">
        <v>4391</v>
      </c>
      <c r="AF128" s="79"/>
      <c r="AG128" s="276" t="s">
        <v>1236</v>
      </c>
      <c r="AH128" s="77"/>
      <c r="AI128" s="275">
        <v>1</v>
      </c>
      <c r="AJ128" s="83" t="str">
        <f t="shared" si="55"/>
        <v>03030971</v>
      </c>
      <c r="AK128" s="276" t="s">
        <v>4392</v>
      </c>
      <c r="AL128" s="189" t="s">
        <v>1259</v>
      </c>
      <c r="AM128" s="189"/>
      <c r="AN128" s="276" t="s">
        <v>4378</v>
      </c>
      <c r="AO128" s="83" t="s">
        <v>10</v>
      </c>
      <c r="AP128" s="83" t="s">
        <v>4393</v>
      </c>
      <c r="AQ128" s="76"/>
      <c r="AR128" s="83" t="s">
        <v>4394</v>
      </c>
      <c r="AS128" s="276" t="s">
        <v>4106</v>
      </c>
      <c r="AT128" s="83" t="s">
        <v>4395</v>
      </c>
      <c r="AU128" s="276" t="s">
        <v>4106</v>
      </c>
      <c r="AV128" s="276" t="s">
        <v>1515</v>
      </c>
      <c r="AW128" s="83" t="s">
        <v>4396</v>
      </c>
      <c r="AX128" s="275">
        <v>1</v>
      </c>
      <c r="AY128" s="276" t="str">
        <f t="shared" si="56"/>
        <v>030309711</v>
      </c>
      <c r="AZ128" s="276" t="s">
        <v>2501</v>
      </c>
      <c r="BA128" s="83" t="s">
        <v>16</v>
      </c>
      <c r="BB128" s="276" t="s">
        <v>1514</v>
      </c>
      <c r="BC128" s="276" t="s">
        <v>11</v>
      </c>
      <c r="BD128" s="276" t="s">
        <v>1515</v>
      </c>
      <c r="BE128" s="276" t="s">
        <v>9</v>
      </c>
      <c r="BF128" s="276" t="s">
        <v>17</v>
      </c>
      <c r="BG128" s="276" t="s">
        <v>4383</v>
      </c>
      <c r="BH128" s="276" t="s">
        <v>4350</v>
      </c>
      <c r="BI128" s="276" t="s">
        <v>3161</v>
      </c>
      <c r="BJ128" s="276" t="s">
        <v>3162</v>
      </c>
      <c r="BK128" s="276" t="s">
        <v>3163</v>
      </c>
      <c r="BL128" s="275" t="s">
        <v>3164</v>
      </c>
      <c r="BM128" s="127">
        <v>42339</v>
      </c>
      <c r="BN128" s="170">
        <v>0.354121808183888</v>
      </c>
      <c r="BO128" s="139">
        <v>0.5</v>
      </c>
      <c r="BP128" s="257"/>
      <c r="BQ128" s="87">
        <f>(BO128-BN128)*100</f>
        <v>14.5878191816112</v>
      </c>
      <c r="BR128" s="275">
        <v>5</v>
      </c>
      <c r="BS128" s="188">
        <f>+BN128-(((BQ128)/100/5)*(-1))</f>
        <v>0.3832974465471104</v>
      </c>
      <c r="BT128" s="170">
        <v>0.40738700250980198</v>
      </c>
      <c r="BU128" s="88">
        <f>(BT128-BN128)*100</f>
        <v>5.3265194325913976</v>
      </c>
      <c r="BV128" s="188">
        <f t="shared" si="57"/>
        <v>0.3651347309888367</v>
      </c>
      <c r="BW128" s="188">
        <f>+BN128-(((BQ128)/100/5)*(-2))</f>
        <v>0.4124730849103328</v>
      </c>
      <c r="BX128" s="170">
        <v>0.42167348305798302</v>
      </c>
      <c r="BY128" s="255">
        <f>(BX128-BN128)*100</f>
        <v>6.7551674874095022</v>
      </c>
      <c r="BZ128" s="89">
        <f t="shared" si="58"/>
        <v>0.46306904433836049</v>
      </c>
      <c r="CA128" s="188">
        <f>+BN128-(((BQ128)/100/5)*(-3))</f>
        <v>0.4416487232735552</v>
      </c>
      <c r="CB128" s="188"/>
      <c r="CC128" s="88">
        <f>(CB128-BN128)*100</f>
        <v>-35.412180818388798</v>
      </c>
      <c r="CD128" s="188">
        <f t="shared" si="59"/>
        <v>-2.4275171207926625</v>
      </c>
      <c r="CE128" s="188">
        <f>+BN128-(((BQ128)/100/5)*(-4))</f>
        <v>0.4708243616367776</v>
      </c>
      <c r="CF128" s="188"/>
      <c r="CG128" s="88">
        <f>(CF128-BN128)*100</f>
        <v>-35.412180818388798</v>
      </c>
      <c r="CH128" s="188">
        <f t="shared" si="60"/>
        <v>-2.4275171207926625</v>
      </c>
      <c r="CI128" s="188">
        <f>+BN128-(((BQ128)/100/5)*(-5))</f>
        <v>0.5</v>
      </c>
      <c r="CJ128" s="188"/>
      <c r="CK128" s="88">
        <f>(CJ128-BN128)*100</f>
        <v>-35.412180818388798</v>
      </c>
      <c r="CL128" s="89">
        <f t="shared" si="61"/>
        <v>-2.4275171207926625</v>
      </c>
      <c r="CM128" s="89"/>
      <c r="CN128" s="188"/>
      <c r="CO128" s="188"/>
      <c r="CP128" s="188"/>
      <c r="CQ128" s="188"/>
      <c r="CR128" s="44"/>
      <c r="CS128" s="24">
        <v>128</v>
      </c>
      <c r="CT128" s="44"/>
    </row>
    <row r="129" spans="1:98" ht="156.75" x14ac:dyDescent="0.25">
      <c r="A129" s="276">
        <v>8</v>
      </c>
      <c r="B129" s="269" t="s">
        <v>4575</v>
      </c>
      <c r="C129" s="269" t="s">
        <v>1267</v>
      </c>
      <c r="D129" s="189" t="s">
        <v>267</v>
      </c>
      <c r="E129" s="276" t="s">
        <v>4338</v>
      </c>
      <c r="F129" s="189" t="s">
        <v>4339</v>
      </c>
      <c r="G129" s="172">
        <v>4</v>
      </c>
      <c r="H129" s="276" t="s">
        <v>4388</v>
      </c>
      <c r="I129" s="276">
        <v>97</v>
      </c>
      <c r="J129" s="276" t="s">
        <v>4389</v>
      </c>
      <c r="K129" s="276" t="s">
        <v>905</v>
      </c>
      <c r="L129" s="189" t="s">
        <v>313</v>
      </c>
      <c r="M129" s="276" t="s">
        <v>271</v>
      </c>
      <c r="N129" s="189" t="s">
        <v>4341</v>
      </c>
      <c r="O129" s="189" t="s">
        <v>62</v>
      </c>
      <c r="P129" s="276" t="s">
        <v>63</v>
      </c>
      <c r="Q129" s="276" t="s">
        <v>4341</v>
      </c>
      <c r="R129" s="276">
        <v>1</v>
      </c>
      <c r="S129" s="276">
        <v>1</v>
      </c>
      <c r="T129" s="276" t="s">
        <v>65</v>
      </c>
      <c r="U129" s="276"/>
      <c r="V129" s="276"/>
      <c r="W129" s="79" t="s">
        <v>4342</v>
      </c>
      <c r="X129" s="173" t="e">
        <f t="shared" si="63"/>
        <v>#DIV/0!</v>
      </c>
      <c r="Y129" s="276">
        <f t="shared" si="62"/>
        <v>1</v>
      </c>
      <c r="Z129" s="276">
        <v>0</v>
      </c>
      <c r="AA129" s="276" t="s">
        <v>1220</v>
      </c>
      <c r="AB129" s="276">
        <v>1</v>
      </c>
      <c r="AC129" s="275">
        <v>4</v>
      </c>
      <c r="AD129" s="189" t="s">
        <v>4390</v>
      </c>
      <c r="AE129" s="189" t="s">
        <v>4391</v>
      </c>
      <c r="AF129" s="79"/>
      <c r="AG129" s="276" t="s">
        <v>1236</v>
      </c>
      <c r="AH129" s="77"/>
      <c r="AI129" s="275">
        <v>1</v>
      </c>
      <c r="AJ129" s="83" t="str">
        <f t="shared" si="55"/>
        <v>03030971</v>
      </c>
      <c r="AK129" s="276" t="s">
        <v>4397</v>
      </c>
      <c r="AL129" s="189" t="s">
        <v>1259</v>
      </c>
      <c r="AM129" s="189"/>
      <c r="AN129" s="276" t="s">
        <v>4378</v>
      </c>
      <c r="AO129" s="83" t="s">
        <v>10</v>
      </c>
      <c r="AP129" s="276" t="s">
        <v>4397</v>
      </c>
      <c r="AQ129" s="77"/>
      <c r="AR129" s="83" t="s">
        <v>4398</v>
      </c>
      <c r="AS129" s="276" t="s">
        <v>4106</v>
      </c>
      <c r="AT129" s="83" t="s">
        <v>4399</v>
      </c>
      <c r="AU129" s="276" t="s">
        <v>4106</v>
      </c>
      <c r="AV129" s="276" t="s">
        <v>1515</v>
      </c>
      <c r="AW129" s="83" t="s">
        <v>4400</v>
      </c>
      <c r="AX129" s="275">
        <v>1</v>
      </c>
      <c r="AY129" s="276" t="str">
        <f t="shared" si="56"/>
        <v>030309711</v>
      </c>
      <c r="AZ129" s="276" t="s">
        <v>2501</v>
      </c>
      <c r="BA129" s="83" t="s">
        <v>16</v>
      </c>
      <c r="BB129" s="276" t="s">
        <v>1514</v>
      </c>
      <c r="BC129" s="276" t="s">
        <v>11</v>
      </c>
      <c r="BD129" s="276" t="s">
        <v>1515</v>
      </c>
      <c r="BE129" s="276" t="s">
        <v>9</v>
      </c>
      <c r="BF129" s="276" t="s">
        <v>17</v>
      </c>
      <c r="BG129" s="276" t="s">
        <v>4383</v>
      </c>
      <c r="BH129" s="276" t="s">
        <v>4350</v>
      </c>
      <c r="BI129" s="276" t="s">
        <v>3161</v>
      </c>
      <c r="BJ129" s="276" t="s">
        <v>3162</v>
      </c>
      <c r="BK129" s="276" t="s">
        <v>3163</v>
      </c>
      <c r="BL129" s="275" t="s">
        <v>3164</v>
      </c>
      <c r="BM129" s="127">
        <v>42339</v>
      </c>
      <c r="BN129" s="170">
        <v>0.34547192189999998</v>
      </c>
      <c r="BO129" s="170">
        <v>0.437</v>
      </c>
      <c r="BP129" s="257"/>
      <c r="BQ129" s="87">
        <f>(BO129-BN129)*100</f>
        <v>9.1528078100000023</v>
      </c>
      <c r="BR129" s="275">
        <v>5</v>
      </c>
      <c r="BS129" s="188">
        <f>+BN129-(((BQ129)/100/5)*(-1))</f>
        <v>0.36377753751999997</v>
      </c>
      <c r="BT129" s="170">
        <v>0.35694720152620601</v>
      </c>
      <c r="BU129" s="88">
        <f>(BT129-BN129)*100</f>
        <v>1.1475279626206036</v>
      </c>
      <c r="BV129" s="188">
        <f t="shared" si="57"/>
        <v>0.12537441913364106</v>
      </c>
      <c r="BW129" s="188">
        <f>+BN129-(((BQ129)/100/5)*(-2))</f>
        <v>0.38208315313999996</v>
      </c>
      <c r="BX129" s="188">
        <v>0.383625658087276</v>
      </c>
      <c r="BY129" s="88">
        <f>(BX129-BN129)*100</f>
        <v>3.8153736187276022</v>
      </c>
      <c r="BZ129" s="89">
        <f t="shared" si="58"/>
        <v>0.41685280603828184</v>
      </c>
      <c r="CA129" s="188">
        <f>+BN129-(((BQ129)/100/5)*(-3))</f>
        <v>0.40038876875999996</v>
      </c>
      <c r="CB129" s="188"/>
      <c r="CC129" s="88">
        <f>(CB129-BN129)*100</f>
        <v>-34.547192189999997</v>
      </c>
      <c r="CD129" s="188">
        <f t="shared" si="59"/>
        <v>-3.7744911624010151</v>
      </c>
      <c r="CE129" s="188">
        <f>+BN129-(((BQ129)/100/5)*(-4))</f>
        <v>0.41869438438000001</v>
      </c>
      <c r="CF129" s="188"/>
      <c r="CG129" s="88">
        <f>(CF129-BN129)/100</f>
        <v>-3.4547192189999998E-3</v>
      </c>
      <c r="CH129" s="188">
        <f t="shared" si="60"/>
        <v>-3.774491162401015E-4</v>
      </c>
      <c r="CI129" s="188">
        <f>+BN129-(((BQ129)/100/5)*(-5))</f>
        <v>0.437</v>
      </c>
      <c r="CJ129" s="188"/>
      <c r="CK129" s="88">
        <f>(CJ129-BN129)/100</f>
        <v>-3.4547192189999998E-3</v>
      </c>
      <c r="CL129" s="89">
        <f t="shared" si="61"/>
        <v>-3.774491162401015E-4</v>
      </c>
      <c r="CM129" s="89"/>
      <c r="CN129" s="188"/>
      <c r="CO129" s="188"/>
      <c r="CP129" s="188"/>
      <c r="CQ129" s="188"/>
      <c r="CR129" s="44"/>
      <c r="CS129" s="2">
        <v>129</v>
      </c>
      <c r="CT129" s="44"/>
    </row>
    <row r="130" spans="1:98" ht="156.75" x14ac:dyDescent="0.25">
      <c r="A130" s="276">
        <v>8</v>
      </c>
      <c r="B130" s="269" t="s">
        <v>4575</v>
      </c>
      <c r="C130" s="269" t="s">
        <v>1267</v>
      </c>
      <c r="D130" s="189" t="s">
        <v>267</v>
      </c>
      <c r="E130" s="276" t="s">
        <v>4338</v>
      </c>
      <c r="F130" s="189" t="s">
        <v>4339</v>
      </c>
      <c r="G130" s="172">
        <v>5</v>
      </c>
      <c r="H130" s="276" t="s">
        <v>4401</v>
      </c>
      <c r="I130" s="276">
        <v>98</v>
      </c>
      <c r="J130" s="276" t="s">
        <v>4402</v>
      </c>
      <c r="K130" s="276" t="s">
        <v>906</v>
      </c>
      <c r="L130" s="189" t="s">
        <v>314</v>
      </c>
      <c r="M130" s="276" t="s">
        <v>271</v>
      </c>
      <c r="N130" s="189" t="s">
        <v>4341</v>
      </c>
      <c r="O130" s="189" t="s">
        <v>62</v>
      </c>
      <c r="P130" s="276" t="s">
        <v>63</v>
      </c>
      <c r="Q130" s="276" t="s">
        <v>4341</v>
      </c>
      <c r="R130" s="276">
        <v>1</v>
      </c>
      <c r="S130" s="276">
        <v>1</v>
      </c>
      <c r="T130" s="276" t="s">
        <v>65</v>
      </c>
      <c r="U130" s="276"/>
      <c r="V130" s="276"/>
      <c r="W130" s="79" t="s">
        <v>4342</v>
      </c>
      <c r="X130" s="173" t="e">
        <f t="shared" si="63"/>
        <v>#DIV/0!</v>
      </c>
      <c r="Y130" s="276">
        <f t="shared" si="62"/>
        <v>1</v>
      </c>
      <c r="Z130" s="276">
        <v>0</v>
      </c>
      <c r="AA130" s="276" t="s">
        <v>1220</v>
      </c>
      <c r="AB130" s="276">
        <v>1</v>
      </c>
      <c r="AC130" s="275">
        <v>4</v>
      </c>
      <c r="AD130" s="189" t="s">
        <v>4390</v>
      </c>
      <c r="AE130" s="189" t="s">
        <v>4391</v>
      </c>
      <c r="AF130" s="79"/>
      <c r="AG130" s="276" t="s">
        <v>1236</v>
      </c>
      <c r="AH130" s="77"/>
      <c r="AI130" s="275">
        <v>1</v>
      </c>
      <c r="AJ130" s="83" t="str">
        <f t="shared" si="55"/>
        <v>03030981</v>
      </c>
      <c r="AK130" s="276" t="s">
        <v>4403</v>
      </c>
      <c r="AL130" s="276" t="s">
        <v>137</v>
      </c>
      <c r="AM130" s="189"/>
      <c r="AN130" s="276" t="s">
        <v>17</v>
      </c>
      <c r="AO130" s="276" t="s">
        <v>1369</v>
      </c>
      <c r="AP130" s="189" t="s">
        <v>4404</v>
      </c>
      <c r="AQ130" s="76"/>
      <c r="AR130" s="83" t="s">
        <v>4405</v>
      </c>
      <c r="AS130" s="276" t="s">
        <v>3173</v>
      </c>
      <c r="AT130" s="114" t="s">
        <v>4329</v>
      </c>
      <c r="AU130" s="114" t="s">
        <v>4329</v>
      </c>
      <c r="AV130" s="276" t="s">
        <v>1802</v>
      </c>
      <c r="AW130" s="76"/>
      <c r="AX130" s="275">
        <v>1</v>
      </c>
      <c r="AY130" s="276" t="str">
        <f t="shared" si="56"/>
        <v>030309811</v>
      </c>
      <c r="AZ130" s="276" t="s">
        <v>4359</v>
      </c>
      <c r="BA130" s="83" t="s">
        <v>4360</v>
      </c>
      <c r="BB130" s="276" t="s">
        <v>1229</v>
      </c>
      <c r="BC130" s="276" t="s">
        <v>11</v>
      </c>
      <c r="BD130" s="276" t="s">
        <v>1802</v>
      </c>
      <c r="BE130" s="276" t="s">
        <v>9</v>
      </c>
      <c r="BF130" s="276" t="s">
        <v>17</v>
      </c>
      <c r="BG130" s="276" t="s">
        <v>4406</v>
      </c>
      <c r="BH130" s="189" t="s">
        <v>4407</v>
      </c>
      <c r="BI130" s="276" t="s">
        <v>4334</v>
      </c>
      <c r="BJ130" s="189" t="s">
        <v>3727</v>
      </c>
      <c r="BK130" s="276" t="s">
        <v>4362</v>
      </c>
      <c r="BL130" s="275" t="s">
        <v>4363</v>
      </c>
      <c r="BM130" s="127">
        <v>42339</v>
      </c>
      <c r="BN130" s="113">
        <v>71147</v>
      </c>
      <c r="BO130" s="113">
        <v>90000</v>
      </c>
      <c r="BP130" s="113"/>
      <c r="BQ130" s="258">
        <f>+BO130-BN130</f>
        <v>18853</v>
      </c>
      <c r="BR130" s="275">
        <v>5</v>
      </c>
      <c r="BS130" s="174">
        <f>+BN130-(((BQ130)/5)*(-1))</f>
        <v>74917.600000000006</v>
      </c>
      <c r="BT130" s="174">
        <v>77153</v>
      </c>
      <c r="BU130" s="174">
        <f>+BT130-BN130</f>
        <v>6006</v>
      </c>
      <c r="BV130" s="188">
        <f t="shared" si="57"/>
        <v>0.3185699888611892</v>
      </c>
      <c r="BW130" s="174">
        <f>+BN130-(((BQ130)/5)*(-2))</f>
        <v>78688.2</v>
      </c>
      <c r="BX130" s="174">
        <v>85876</v>
      </c>
      <c r="BY130" s="174">
        <f>+BX130-BN130</f>
        <v>14729</v>
      </c>
      <c r="BZ130" s="89">
        <f t="shared" si="58"/>
        <v>0.78125497268339261</v>
      </c>
      <c r="CA130" s="254">
        <f>+BN130-(((BQ130)/5)*(-3))</f>
        <v>82458.8</v>
      </c>
      <c r="CB130" s="188"/>
      <c r="CC130" s="254">
        <f>+CB130-BN130</f>
        <v>-71147</v>
      </c>
      <c r="CD130" s="188">
        <f t="shared" si="59"/>
        <v>-3.7737760568609771</v>
      </c>
      <c r="CE130" s="262">
        <f>+BN130-(((BQ130)/5)*(-4))</f>
        <v>86229.4</v>
      </c>
      <c r="CF130" s="188"/>
      <c r="CG130" s="262">
        <f>+CF130-BN130</f>
        <v>-71147</v>
      </c>
      <c r="CH130" s="188">
        <f t="shared" si="60"/>
        <v>-3.7737760568609771</v>
      </c>
      <c r="CI130" s="262">
        <f>+BN130-(((BQ130)/5)*(-5))</f>
        <v>90000</v>
      </c>
      <c r="CJ130" s="188"/>
      <c r="CK130" s="262">
        <f>+CJ130-BN130</f>
        <v>-71147</v>
      </c>
      <c r="CL130" s="89">
        <f t="shared" si="61"/>
        <v>-3.7737760568609771</v>
      </c>
      <c r="CM130" s="89"/>
      <c r="CN130" s="188"/>
      <c r="CO130" s="188"/>
      <c r="CP130" s="188"/>
      <c r="CQ130" s="188"/>
      <c r="CR130" s="44"/>
      <c r="CS130" s="24">
        <v>130</v>
      </c>
      <c r="CT130" s="44"/>
    </row>
    <row r="131" spans="1:98" ht="142.5" x14ac:dyDescent="0.25">
      <c r="A131" s="276">
        <v>8</v>
      </c>
      <c r="B131" s="269" t="s">
        <v>4575</v>
      </c>
      <c r="C131" s="269" t="s">
        <v>1267</v>
      </c>
      <c r="D131" s="189" t="s">
        <v>267</v>
      </c>
      <c r="E131" s="276" t="s">
        <v>4338</v>
      </c>
      <c r="F131" s="189" t="s">
        <v>4339</v>
      </c>
      <c r="G131" s="172">
        <v>6</v>
      </c>
      <c r="H131" s="276" t="s">
        <v>4408</v>
      </c>
      <c r="I131" s="276">
        <v>99</v>
      </c>
      <c r="J131" s="276" t="s">
        <v>4409</v>
      </c>
      <c r="K131" s="276" t="s">
        <v>907</v>
      </c>
      <c r="L131" s="189" t="s">
        <v>315</v>
      </c>
      <c r="M131" s="276" t="s">
        <v>271</v>
      </c>
      <c r="N131" s="189" t="s">
        <v>4341</v>
      </c>
      <c r="O131" s="189" t="s">
        <v>137</v>
      </c>
      <c r="P131" s="276" t="s">
        <v>63</v>
      </c>
      <c r="Q131" s="276" t="s">
        <v>4341</v>
      </c>
      <c r="R131" s="276"/>
      <c r="S131" s="276">
        <v>1</v>
      </c>
      <c r="T131" s="276" t="s">
        <v>138</v>
      </c>
      <c r="U131" s="276"/>
      <c r="V131" s="276"/>
      <c r="W131" s="276"/>
      <c r="X131" s="173" t="e">
        <f t="shared" si="63"/>
        <v>#DIV/0!</v>
      </c>
      <c r="Y131" s="276">
        <v>0</v>
      </c>
      <c r="Z131" s="276">
        <v>1</v>
      </c>
      <c r="AA131" s="276" t="s">
        <v>1220</v>
      </c>
      <c r="AB131" s="276"/>
      <c r="AC131" s="275"/>
      <c r="AD131" s="189"/>
      <c r="AE131" s="189"/>
      <c r="AF131" s="79"/>
      <c r="AG131" s="276" t="s">
        <v>1364</v>
      </c>
      <c r="AH131" s="77"/>
      <c r="AI131" s="275">
        <v>1</v>
      </c>
      <c r="AJ131" s="83" t="str">
        <f t="shared" si="55"/>
        <v>03030991</v>
      </c>
      <c r="AK131" s="83" t="s">
        <v>4410</v>
      </c>
      <c r="AL131" s="276" t="s">
        <v>78</v>
      </c>
      <c r="AM131" s="189"/>
      <c r="AN131" s="276" t="s">
        <v>9</v>
      </c>
      <c r="AO131" s="276" t="s">
        <v>1369</v>
      </c>
      <c r="AP131" s="189" t="s">
        <v>4411</v>
      </c>
      <c r="AQ131" s="76"/>
      <c r="AR131" s="83" t="s">
        <v>4412</v>
      </c>
      <c r="AS131" s="276" t="s">
        <v>3173</v>
      </c>
      <c r="AT131" s="114" t="s">
        <v>4329</v>
      </c>
      <c r="AU131" s="114" t="s">
        <v>4329</v>
      </c>
      <c r="AV131" s="275" t="s">
        <v>4413</v>
      </c>
      <c r="AW131" s="189" t="s">
        <v>4370</v>
      </c>
      <c r="AX131" s="275">
        <v>1</v>
      </c>
      <c r="AY131" s="276" t="str">
        <f t="shared" si="56"/>
        <v>030309911</v>
      </c>
      <c r="AZ131" s="276" t="s">
        <v>4414</v>
      </c>
      <c r="BA131" s="189" t="s">
        <v>4415</v>
      </c>
      <c r="BB131" s="276" t="s">
        <v>1229</v>
      </c>
      <c r="BC131" s="276" t="s">
        <v>11</v>
      </c>
      <c r="BD131" s="275" t="s">
        <v>4413</v>
      </c>
      <c r="BE131" s="275" t="s">
        <v>9</v>
      </c>
      <c r="BF131" s="275" t="s">
        <v>9</v>
      </c>
      <c r="BG131" s="83" t="s">
        <v>4416</v>
      </c>
      <c r="BH131" s="78"/>
      <c r="BI131" s="276" t="s">
        <v>4374</v>
      </c>
      <c r="BJ131" s="189" t="s">
        <v>4417</v>
      </c>
      <c r="BK131" s="276" t="s">
        <v>4418</v>
      </c>
      <c r="BL131" s="275">
        <v>2440231</v>
      </c>
      <c r="BM131" s="127">
        <v>42339</v>
      </c>
      <c r="BN131" s="275">
        <v>1</v>
      </c>
      <c r="BO131" s="275">
        <v>4</v>
      </c>
      <c r="BP131" s="275">
        <v>4</v>
      </c>
      <c r="BQ131" s="258">
        <f>+BO131-BN131</f>
        <v>3</v>
      </c>
      <c r="BR131" s="275">
        <v>5</v>
      </c>
      <c r="BS131" s="176">
        <f>+BN131-(((BQ131)/5)*(-1))</f>
        <v>1.6</v>
      </c>
      <c r="BT131" s="176">
        <v>2</v>
      </c>
      <c r="BU131" s="176">
        <f>+BT131-BN131</f>
        <v>1</v>
      </c>
      <c r="BV131" s="188">
        <f t="shared" si="57"/>
        <v>0.33333333333333331</v>
      </c>
      <c r="BW131" s="176">
        <f>+BN131-(((BQ131)/5)*(-2))</f>
        <v>2.2000000000000002</v>
      </c>
      <c r="BX131" s="176">
        <v>2</v>
      </c>
      <c r="BY131" s="176">
        <f>+BX131-BN131</f>
        <v>1</v>
      </c>
      <c r="BZ131" s="89">
        <f t="shared" si="58"/>
        <v>0.33333333333333331</v>
      </c>
      <c r="CA131" s="176">
        <f>+BN131-(((BQ131)/5)*(-3))</f>
        <v>2.8</v>
      </c>
      <c r="CB131" s="188"/>
      <c r="CC131" s="94">
        <f>+CB131-BN131</f>
        <v>-1</v>
      </c>
      <c r="CD131" s="188">
        <f t="shared" si="59"/>
        <v>-0.33333333333333331</v>
      </c>
      <c r="CE131" s="176">
        <f>+BN131-(((BQ131)/5)*(-4))</f>
        <v>3.4</v>
      </c>
      <c r="CF131" s="188"/>
      <c r="CG131" s="176">
        <f>+CF131-BN131</f>
        <v>-1</v>
      </c>
      <c r="CH131" s="188">
        <f t="shared" si="60"/>
        <v>-0.33333333333333331</v>
      </c>
      <c r="CI131" s="176">
        <f>+BN131-(((BQ131)/5)*(-5))</f>
        <v>4</v>
      </c>
      <c r="CJ131" s="188"/>
      <c r="CK131" s="176">
        <f>+CJ131-BN131</f>
        <v>-1</v>
      </c>
      <c r="CL131" s="89">
        <f t="shared" si="61"/>
        <v>-0.33333333333333331</v>
      </c>
      <c r="CM131" s="89"/>
      <c r="CN131" s="188"/>
      <c r="CO131" s="188"/>
      <c r="CP131" s="188"/>
      <c r="CQ131" s="188"/>
      <c r="CR131" s="44"/>
      <c r="CS131" s="24">
        <v>131</v>
      </c>
      <c r="CT131" s="44"/>
    </row>
    <row r="132" spans="1:98" ht="409.5" x14ac:dyDescent="0.25">
      <c r="A132" s="276">
        <v>8</v>
      </c>
      <c r="B132" s="269" t="s">
        <v>4575</v>
      </c>
      <c r="C132" s="269" t="s">
        <v>1267</v>
      </c>
      <c r="D132" s="189" t="s">
        <v>267</v>
      </c>
      <c r="E132" s="276" t="s">
        <v>4419</v>
      </c>
      <c r="F132" s="189" t="s">
        <v>4420</v>
      </c>
      <c r="G132" s="172">
        <v>3</v>
      </c>
      <c r="H132" s="276" t="s">
        <v>4421</v>
      </c>
      <c r="I132" s="276">
        <v>103</v>
      </c>
      <c r="J132" s="276" t="s">
        <v>4422</v>
      </c>
      <c r="K132" s="276" t="s">
        <v>911</v>
      </c>
      <c r="L132" s="189" t="s">
        <v>320</v>
      </c>
      <c r="M132" s="276" t="s">
        <v>271</v>
      </c>
      <c r="N132" s="189" t="s">
        <v>4341</v>
      </c>
      <c r="O132" s="189" t="s">
        <v>78</v>
      </c>
      <c r="P132" s="276" t="s">
        <v>63</v>
      </c>
      <c r="Q132" s="276" t="s">
        <v>4341</v>
      </c>
      <c r="R132" s="276"/>
      <c r="S132" s="276">
        <v>1</v>
      </c>
      <c r="T132" s="276" t="s">
        <v>79</v>
      </c>
      <c r="U132" s="276"/>
      <c r="V132" s="276"/>
      <c r="W132" s="276"/>
      <c r="X132" s="173" t="e">
        <f t="shared" si="63"/>
        <v>#DIV/0!</v>
      </c>
      <c r="Y132" s="276">
        <v>0</v>
      </c>
      <c r="Z132" s="276">
        <v>1</v>
      </c>
      <c r="AA132" s="276" t="s">
        <v>1220</v>
      </c>
      <c r="AB132" s="276"/>
      <c r="AC132" s="275">
        <v>4</v>
      </c>
      <c r="AD132" s="189" t="s">
        <v>4423</v>
      </c>
      <c r="AE132" s="189" t="s">
        <v>4424</v>
      </c>
      <c r="AF132" s="79"/>
      <c r="AG132" s="276" t="s">
        <v>1236</v>
      </c>
      <c r="AH132" s="77"/>
      <c r="AI132" s="275">
        <v>1</v>
      </c>
      <c r="AJ132" s="83" t="str">
        <f t="shared" si="55"/>
        <v>03041031</v>
      </c>
      <c r="AK132" s="189" t="s">
        <v>4425</v>
      </c>
      <c r="AL132" s="276" t="s">
        <v>1259</v>
      </c>
      <c r="AM132" s="189"/>
      <c r="AN132" s="276" t="s">
        <v>1257</v>
      </c>
      <c r="AO132" s="276" t="s">
        <v>10</v>
      </c>
      <c r="AP132" s="189" t="s">
        <v>4426</v>
      </c>
      <c r="AQ132" s="76"/>
      <c r="AR132" s="189" t="s">
        <v>4427</v>
      </c>
      <c r="AS132" s="276" t="s">
        <v>3173</v>
      </c>
      <c r="AT132" s="189" t="s">
        <v>4428</v>
      </c>
      <c r="AU132" s="276" t="s">
        <v>3173</v>
      </c>
      <c r="AV132" s="275" t="s">
        <v>2484</v>
      </c>
      <c r="AW132" s="189" t="s">
        <v>4370</v>
      </c>
      <c r="AX132" s="275">
        <v>1</v>
      </c>
      <c r="AY132" s="276" t="str">
        <f t="shared" si="56"/>
        <v>030410311</v>
      </c>
      <c r="AZ132" s="276" t="s">
        <v>4429</v>
      </c>
      <c r="BA132" s="189" t="s">
        <v>4430</v>
      </c>
      <c r="BB132" s="276" t="s">
        <v>1229</v>
      </c>
      <c r="BC132" s="276" t="s">
        <v>11</v>
      </c>
      <c r="BD132" s="275" t="s">
        <v>2484</v>
      </c>
      <c r="BE132" s="276" t="s">
        <v>9</v>
      </c>
      <c r="BF132" s="276" t="s">
        <v>17</v>
      </c>
      <c r="BG132" s="189" t="s">
        <v>4431</v>
      </c>
      <c r="BH132" s="77"/>
      <c r="BI132" s="276" t="s">
        <v>4374</v>
      </c>
      <c r="BJ132" s="189" t="s">
        <v>4432</v>
      </c>
      <c r="BK132" s="276" t="s">
        <v>4433</v>
      </c>
      <c r="BL132" s="275" t="s">
        <v>4363</v>
      </c>
      <c r="BM132" s="127">
        <v>42705</v>
      </c>
      <c r="BN132" s="89">
        <v>1.9E-2</v>
      </c>
      <c r="BO132" s="186">
        <v>0.3</v>
      </c>
      <c r="BP132" s="186">
        <v>0.6</v>
      </c>
      <c r="BQ132" s="87">
        <f>(BO132-BN132)*100</f>
        <v>28.099999999999998</v>
      </c>
      <c r="BR132" s="275">
        <v>5</v>
      </c>
      <c r="BS132" s="188">
        <f>+BN132-(((BQ132)/100/5)*(-1))</f>
        <v>7.5199999999999989E-2</v>
      </c>
      <c r="BT132" s="188">
        <v>1.9E-2</v>
      </c>
      <c r="BU132" s="188">
        <f>+BT132-BN132</f>
        <v>0</v>
      </c>
      <c r="BV132" s="188">
        <f t="shared" si="57"/>
        <v>0</v>
      </c>
      <c r="BW132" s="188">
        <f>+BN132-(((BQ132)/100/5)*(-2))</f>
        <v>0.13139999999999999</v>
      </c>
      <c r="BX132" s="188">
        <v>2.3E-2</v>
      </c>
      <c r="BY132" s="88">
        <f>(BX132-BN132)*100</f>
        <v>0.4</v>
      </c>
      <c r="BZ132" s="89">
        <f t="shared" si="58"/>
        <v>1.4234875444839859E-2</v>
      </c>
      <c r="CA132" s="188">
        <f>+BN132-(((BQ132)/100/5)*(-3))</f>
        <v>0.18759999999999996</v>
      </c>
      <c r="CB132" s="188"/>
      <c r="CC132" s="88">
        <f>(CB132-BN132)*100</f>
        <v>-1.9</v>
      </c>
      <c r="CD132" s="188">
        <f t="shared" si="59"/>
        <v>-6.7615658362989328E-2</v>
      </c>
      <c r="CE132" s="188">
        <f>+BN132-(((BQ132)/100/5)*(-4))</f>
        <v>0.24379999999999996</v>
      </c>
      <c r="CF132" s="188"/>
      <c r="CG132" s="88">
        <f>(CF132-BN132)*100</f>
        <v>-1.9</v>
      </c>
      <c r="CH132" s="188">
        <f t="shared" si="60"/>
        <v>-6.7615658362989328E-2</v>
      </c>
      <c r="CI132" s="126">
        <f>+BN132-(((BQ132)/100/5)*(-5))</f>
        <v>0.3</v>
      </c>
      <c r="CJ132" s="188"/>
      <c r="CK132" s="88">
        <f>(CJ132-BN132)*100</f>
        <v>-1.9</v>
      </c>
      <c r="CL132" s="89">
        <f t="shared" si="61"/>
        <v>-6.7615658362989328E-2</v>
      </c>
      <c r="CM132" s="89"/>
      <c r="CN132" s="188"/>
      <c r="CO132" s="188"/>
      <c r="CP132" s="188"/>
      <c r="CQ132" s="188"/>
      <c r="CR132" s="2"/>
      <c r="CS132" s="2">
        <v>132</v>
      </c>
      <c r="CT132" s="2"/>
    </row>
    <row r="133" spans="1:98" ht="142.5" customHeight="1" x14ac:dyDescent="0.25">
      <c r="A133" s="276">
        <v>8</v>
      </c>
      <c r="B133" s="269" t="s">
        <v>4575</v>
      </c>
      <c r="C133" s="269" t="s">
        <v>1267</v>
      </c>
      <c r="D133" s="189" t="s">
        <v>267</v>
      </c>
      <c r="E133" s="276" t="s">
        <v>4419</v>
      </c>
      <c r="F133" s="189" t="s">
        <v>4420</v>
      </c>
      <c r="G133" s="172">
        <v>3</v>
      </c>
      <c r="H133" s="276" t="s">
        <v>4421</v>
      </c>
      <c r="I133" s="276">
        <v>103</v>
      </c>
      <c r="J133" s="276" t="s">
        <v>4422</v>
      </c>
      <c r="K133" s="276" t="s">
        <v>911</v>
      </c>
      <c r="L133" s="189" t="s">
        <v>320</v>
      </c>
      <c r="M133" s="276"/>
      <c r="N133" s="189"/>
      <c r="O133" s="189" t="s">
        <v>78</v>
      </c>
      <c r="P133" s="276" t="s">
        <v>63</v>
      </c>
      <c r="Q133" s="276" t="s">
        <v>4341</v>
      </c>
      <c r="R133" s="276"/>
      <c r="S133" s="276">
        <v>1</v>
      </c>
      <c r="T133" s="276" t="s">
        <v>79</v>
      </c>
      <c r="U133" s="276"/>
      <c r="V133" s="276"/>
      <c r="W133" s="276"/>
      <c r="X133" s="173" t="e">
        <f t="shared" si="63"/>
        <v>#DIV/0!</v>
      </c>
      <c r="Y133" s="276">
        <v>0</v>
      </c>
      <c r="Z133" s="276">
        <v>1</v>
      </c>
      <c r="AA133" s="276" t="s">
        <v>1220</v>
      </c>
      <c r="AB133" s="276"/>
      <c r="AC133" s="275">
        <v>4</v>
      </c>
      <c r="AD133" s="189" t="s">
        <v>4423</v>
      </c>
      <c r="AE133" s="189" t="s">
        <v>4424</v>
      </c>
      <c r="AF133" s="79"/>
      <c r="AG133" s="276" t="s">
        <v>1236</v>
      </c>
      <c r="AH133" s="77"/>
      <c r="AI133" s="275">
        <v>2</v>
      </c>
      <c r="AJ133" s="83" t="str">
        <f t="shared" si="55"/>
        <v>03041032</v>
      </c>
      <c r="AK133" s="189" t="s">
        <v>4434</v>
      </c>
      <c r="AL133" s="276" t="s">
        <v>1259</v>
      </c>
      <c r="AM133" s="189"/>
      <c r="AN133" s="276" t="s">
        <v>1257</v>
      </c>
      <c r="AO133" s="276" t="s">
        <v>10</v>
      </c>
      <c r="AP133" s="189" t="s">
        <v>4435</v>
      </c>
      <c r="AQ133" s="76"/>
      <c r="AR133" s="189" t="s">
        <v>4436</v>
      </c>
      <c r="AS133" s="276" t="s">
        <v>3173</v>
      </c>
      <c r="AT133" s="189"/>
      <c r="AU133" s="276"/>
      <c r="AV133" s="275" t="s">
        <v>2484</v>
      </c>
      <c r="AW133" s="189" t="s">
        <v>4370</v>
      </c>
      <c r="AX133" s="275">
        <v>1</v>
      </c>
      <c r="AY133" s="276" t="str">
        <f t="shared" si="56"/>
        <v>030410321</v>
      </c>
      <c r="AZ133" s="276" t="s">
        <v>4437</v>
      </c>
      <c r="BA133" s="189" t="s">
        <v>4438</v>
      </c>
      <c r="BB133" s="276" t="s">
        <v>1229</v>
      </c>
      <c r="BC133" s="276" t="s">
        <v>11</v>
      </c>
      <c r="BD133" s="275" t="s">
        <v>2484</v>
      </c>
      <c r="BE133" s="276" t="s">
        <v>9</v>
      </c>
      <c r="BF133" s="276" t="s">
        <v>17</v>
      </c>
      <c r="BG133" s="189" t="s">
        <v>4431</v>
      </c>
      <c r="BH133" s="77"/>
      <c r="BI133" s="276" t="s">
        <v>4374</v>
      </c>
      <c r="BJ133" s="189" t="s">
        <v>4439</v>
      </c>
      <c r="BK133" s="276" t="s">
        <v>4433</v>
      </c>
      <c r="BL133" s="275">
        <v>2912842</v>
      </c>
      <c r="BM133" s="127">
        <v>42339</v>
      </c>
      <c r="BN133" s="113">
        <v>71916</v>
      </c>
      <c r="BO133" s="175">
        <v>95000</v>
      </c>
      <c r="BP133" s="175">
        <v>123000</v>
      </c>
      <c r="BQ133" s="263">
        <f>+BO133-BN133</f>
        <v>23084</v>
      </c>
      <c r="BR133" s="275">
        <v>5</v>
      </c>
      <c r="BS133" s="264">
        <f>+BN133-(((BQ133)/5)*(-1))</f>
        <v>76532.800000000003</v>
      </c>
      <c r="BT133" s="174">
        <v>77149</v>
      </c>
      <c r="BU133" s="265">
        <f>+BT133-BN133</f>
        <v>5233</v>
      </c>
      <c r="BV133" s="188">
        <f t="shared" si="57"/>
        <v>0.22669381389707158</v>
      </c>
      <c r="BW133" s="254">
        <f>+BN133-(((BQ133)/5)*(-2))</f>
        <v>81149.600000000006</v>
      </c>
      <c r="BX133" s="174">
        <v>80041</v>
      </c>
      <c r="BY133" s="265">
        <f>+BX133-BN133</f>
        <v>8125</v>
      </c>
      <c r="BZ133" s="89">
        <f t="shared" si="58"/>
        <v>0.35197539421244151</v>
      </c>
      <c r="CA133" s="264">
        <f>+BN133-(((BQ133)/5)*(-3))</f>
        <v>85766.399999999994</v>
      </c>
      <c r="CB133" s="188"/>
      <c r="CC133" s="264">
        <f>+CB133-BN133</f>
        <v>-71916</v>
      </c>
      <c r="CD133" s="188">
        <f t="shared" si="59"/>
        <v>-3.1154046092531624</v>
      </c>
      <c r="CE133" s="265">
        <f>+BN133-(((BQ133)/5)*(-4))</f>
        <v>90383.2</v>
      </c>
      <c r="CF133" s="188"/>
      <c r="CG133" s="264">
        <f>+CF133-BN133</f>
        <v>-71916</v>
      </c>
      <c r="CH133" s="188">
        <f t="shared" si="60"/>
        <v>-3.1154046092531624</v>
      </c>
      <c r="CI133" s="264">
        <f>+BN133-(((BQ133)/5)*(-5))</f>
        <v>95000</v>
      </c>
      <c r="CJ133" s="188"/>
      <c r="CK133" s="264">
        <f>+CJ133-BN133</f>
        <v>-71916</v>
      </c>
      <c r="CL133" s="89">
        <f t="shared" si="61"/>
        <v>-3.1154046092531624</v>
      </c>
      <c r="CM133" s="89"/>
      <c r="CN133" s="188"/>
      <c r="CO133" s="188"/>
      <c r="CP133" s="188"/>
      <c r="CQ133" s="188"/>
      <c r="CR133" s="2"/>
      <c r="CS133" s="24">
        <v>133</v>
      </c>
      <c r="CT133" s="2"/>
    </row>
    <row r="134" spans="1:98" ht="186" customHeight="1" x14ac:dyDescent="0.25">
      <c r="A134" s="276">
        <v>8</v>
      </c>
      <c r="B134" s="269" t="s">
        <v>4575</v>
      </c>
      <c r="C134" s="269" t="s">
        <v>1267</v>
      </c>
      <c r="D134" s="189" t="s">
        <v>267</v>
      </c>
      <c r="E134" s="276" t="s">
        <v>4419</v>
      </c>
      <c r="F134" s="189" t="s">
        <v>4420</v>
      </c>
      <c r="G134" s="172">
        <v>3</v>
      </c>
      <c r="H134" s="276" t="s">
        <v>4421</v>
      </c>
      <c r="I134" s="276">
        <v>103</v>
      </c>
      <c r="J134" s="276" t="s">
        <v>4422</v>
      </c>
      <c r="K134" s="276" t="s">
        <v>911</v>
      </c>
      <c r="L134" s="189" t="s">
        <v>320</v>
      </c>
      <c r="M134" s="276"/>
      <c r="N134" s="189"/>
      <c r="O134" s="189" t="s">
        <v>78</v>
      </c>
      <c r="P134" s="276" t="s">
        <v>63</v>
      </c>
      <c r="Q134" s="276" t="s">
        <v>4341</v>
      </c>
      <c r="R134" s="276"/>
      <c r="S134" s="276">
        <v>1</v>
      </c>
      <c r="T134" s="276" t="s">
        <v>79</v>
      </c>
      <c r="U134" s="276"/>
      <c r="V134" s="276"/>
      <c r="W134" s="276"/>
      <c r="X134" s="173" t="e">
        <f t="shared" si="63"/>
        <v>#DIV/0!</v>
      </c>
      <c r="Y134" s="276">
        <v>0</v>
      </c>
      <c r="Z134" s="276">
        <v>1</v>
      </c>
      <c r="AA134" s="276" t="s">
        <v>1220</v>
      </c>
      <c r="AB134" s="276"/>
      <c r="AC134" s="275">
        <v>4</v>
      </c>
      <c r="AD134" s="189" t="s">
        <v>4423</v>
      </c>
      <c r="AE134" s="189" t="s">
        <v>4424</v>
      </c>
      <c r="AF134" s="79"/>
      <c r="AG134" s="276" t="s">
        <v>1236</v>
      </c>
      <c r="AH134" s="77"/>
      <c r="AI134" s="275">
        <v>3</v>
      </c>
      <c r="AJ134" s="83" t="str">
        <f t="shared" si="55"/>
        <v>03041033</v>
      </c>
      <c r="AK134" s="189" t="s">
        <v>4440</v>
      </c>
      <c r="AL134" s="276" t="s">
        <v>1259</v>
      </c>
      <c r="AM134" s="189"/>
      <c r="AN134" s="276" t="str">
        <f>+AN133</f>
        <v>Departamento</v>
      </c>
      <c r="AO134" s="276" t="str">
        <f>+AO133</f>
        <v>Porcentaje</v>
      </c>
      <c r="AP134" s="189" t="s">
        <v>4441</v>
      </c>
      <c r="AQ134" s="76"/>
      <c r="AR134" s="189" t="s">
        <v>4442</v>
      </c>
      <c r="AS134" s="276" t="s">
        <v>3173</v>
      </c>
      <c r="AT134" s="189" t="s">
        <v>4428</v>
      </c>
      <c r="AU134" s="276" t="s">
        <v>3173</v>
      </c>
      <c r="AV134" s="275" t="s">
        <v>3058</v>
      </c>
      <c r="AW134" s="189" t="s">
        <v>4370</v>
      </c>
      <c r="AX134" s="275">
        <v>1</v>
      </c>
      <c r="AY134" s="276" t="str">
        <f t="shared" si="56"/>
        <v>030410331</v>
      </c>
      <c r="AZ134" s="276" t="s">
        <v>4429</v>
      </c>
      <c r="BA134" s="189" t="s">
        <v>4430</v>
      </c>
      <c r="BB134" s="276" t="s">
        <v>1229</v>
      </c>
      <c r="BC134" s="276" t="s">
        <v>11</v>
      </c>
      <c r="BD134" s="275" t="s">
        <v>2673</v>
      </c>
      <c r="BE134" s="276" t="s">
        <v>9</v>
      </c>
      <c r="BF134" s="276" t="s">
        <v>17</v>
      </c>
      <c r="BG134" s="189" t="s">
        <v>4431</v>
      </c>
      <c r="BH134" s="77"/>
      <c r="BI134" s="276" t="s">
        <v>4374</v>
      </c>
      <c r="BJ134" s="189" t="s">
        <v>4443</v>
      </c>
      <c r="BK134" s="276" t="s">
        <v>4433</v>
      </c>
      <c r="BL134" s="275" t="s">
        <v>4363</v>
      </c>
      <c r="BM134" s="127">
        <v>42705</v>
      </c>
      <c r="BN134" s="124">
        <v>7.2999999999999995E-2</v>
      </c>
      <c r="BO134" s="186">
        <v>0.16</v>
      </c>
      <c r="BP134" s="186">
        <v>0.68</v>
      </c>
      <c r="BQ134" s="266">
        <f>(BO134-BN134)*100</f>
        <v>8.7000000000000011</v>
      </c>
      <c r="BR134" s="275">
        <v>5</v>
      </c>
      <c r="BS134" s="188">
        <f>+BN134-(((BQ134)/100/5)*(-1))</f>
        <v>9.0399999999999994E-2</v>
      </c>
      <c r="BT134" s="188">
        <v>7.2999999999999995E-2</v>
      </c>
      <c r="BU134" s="88">
        <f>(BT134-BN134)*100</f>
        <v>0</v>
      </c>
      <c r="BV134" s="188">
        <f t="shared" si="57"/>
        <v>0</v>
      </c>
      <c r="BW134" s="188">
        <f>+BN134-(((BQ134)/100/5)*(-2))</f>
        <v>0.10780000000000001</v>
      </c>
      <c r="BX134" s="188">
        <f>+BT134+6.7%</f>
        <v>0.14000000000000001</v>
      </c>
      <c r="BY134" s="88">
        <f>(BX134-BN134)*100</f>
        <v>6.700000000000002</v>
      </c>
      <c r="BZ134" s="89">
        <f t="shared" si="58"/>
        <v>0.7701149425287358</v>
      </c>
      <c r="CA134" s="188">
        <f>+BN134-(((BQ134)/100/5)*(-3))</f>
        <v>0.12520000000000001</v>
      </c>
      <c r="CB134" s="188"/>
      <c r="CC134" s="88">
        <f>(CB134-BN134)*100</f>
        <v>-7.3</v>
      </c>
      <c r="CD134" s="188">
        <f t="shared" si="59"/>
        <v>-0.83908045977011481</v>
      </c>
      <c r="CE134" s="188">
        <f>+BN134-(((BQ134)/100/5)*(-4))</f>
        <v>0.1426</v>
      </c>
      <c r="CF134" s="188"/>
      <c r="CG134" s="88">
        <f>(CF134-BN134)*100</f>
        <v>-7.3</v>
      </c>
      <c r="CH134" s="188">
        <f t="shared" si="60"/>
        <v>-0.83908045977011481</v>
      </c>
      <c r="CI134" s="139">
        <f>+BN134-(((BQ134)/100/5)*(-5))</f>
        <v>0.16</v>
      </c>
      <c r="CJ134" s="188"/>
      <c r="CK134" s="88">
        <f>(CJ134-BN134)*100</f>
        <v>-7.3</v>
      </c>
      <c r="CL134" s="89">
        <f t="shared" si="61"/>
        <v>-0.83908045977011481</v>
      </c>
      <c r="CM134" s="89"/>
      <c r="CN134" s="188"/>
      <c r="CO134" s="188"/>
      <c r="CP134" s="188"/>
      <c r="CQ134" s="188"/>
      <c r="CR134" s="46"/>
      <c r="CS134" s="24">
        <v>134</v>
      </c>
      <c r="CT134" s="46"/>
    </row>
    <row r="135" spans="1:98" ht="186" customHeight="1" x14ac:dyDescent="0.25">
      <c r="A135" s="276">
        <v>8</v>
      </c>
      <c r="B135" s="269" t="s">
        <v>4575</v>
      </c>
      <c r="C135" s="269" t="s">
        <v>1267</v>
      </c>
      <c r="D135" s="189" t="s">
        <v>267</v>
      </c>
      <c r="E135" s="276" t="s">
        <v>4419</v>
      </c>
      <c r="F135" s="189" t="s">
        <v>4420</v>
      </c>
      <c r="G135" s="172">
        <v>4</v>
      </c>
      <c r="H135" s="276" t="s">
        <v>4444</v>
      </c>
      <c r="I135" s="276">
        <v>104</v>
      </c>
      <c r="J135" s="276" t="s">
        <v>4445</v>
      </c>
      <c r="K135" s="276" t="s">
        <v>912</v>
      </c>
      <c r="L135" s="189" t="s">
        <v>321</v>
      </c>
      <c r="M135" s="276" t="s">
        <v>271</v>
      </c>
      <c r="N135" s="189" t="s">
        <v>4341</v>
      </c>
      <c r="O135" s="189" t="s">
        <v>78</v>
      </c>
      <c r="P135" s="276" t="s">
        <v>63</v>
      </c>
      <c r="Q135" s="276" t="s">
        <v>4341</v>
      </c>
      <c r="R135" s="276"/>
      <c r="S135" s="276"/>
      <c r="T135" s="276" t="s">
        <v>79</v>
      </c>
      <c r="U135" s="276"/>
      <c r="V135" s="276"/>
      <c r="W135" s="276"/>
      <c r="X135" s="173" t="e">
        <f t="shared" si="63"/>
        <v>#DIV/0!</v>
      </c>
      <c r="Y135" s="276">
        <v>0</v>
      </c>
      <c r="Z135" s="276">
        <v>1</v>
      </c>
      <c r="AA135" s="276" t="s">
        <v>1221</v>
      </c>
      <c r="AB135" s="276"/>
      <c r="AC135" s="275"/>
      <c r="AD135" s="189"/>
      <c r="AE135" s="189"/>
      <c r="AF135" s="79"/>
      <c r="AG135" s="276" t="s">
        <v>1364</v>
      </c>
      <c r="AH135" s="77"/>
      <c r="AI135" s="275">
        <v>1</v>
      </c>
      <c r="AJ135" s="83" t="str">
        <f t="shared" si="55"/>
        <v>03041041</v>
      </c>
      <c r="AK135" s="83" t="s">
        <v>4446</v>
      </c>
      <c r="AL135" s="276" t="s">
        <v>78</v>
      </c>
      <c r="AM135" s="189"/>
      <c r="AN135" s="276" t="s">
        <v>17</v>
      </c>
      <c r="AO135" s="276" t="s">
        <v>10</v>
      </c>
      <c r="AP135" s="189" t="s">
        <v>4447</v>
      </c>
      <c r="AQ135" s="76"/>
      <c r="AR135" s="83" t="s">
        <v>4448</v>
      </c>
      <c r="AS135" s="276" t="s">
        <v>3173</v>
      </c>
      <c r="AT135" s="189" t="s">
        <v>4449</v>
      </c>
      <c r="AU135" s="276" t="s">
        <v>3173</v>
      </c>
      <c r="AV135" s="275" t="s">
        <v>2514</v>
      </c>
      <c r="AW135" s="189" t="s">
        <v>4450</v>
      </c>
      <c r="AX135" s="275">
        <v>1</v>
      </c>
      <c r="AY135" s="276" t="str">
        <f t="shared" si="56"/>
        <v>030410411</v>
      </c>
      <c r="AZ135" s="276" t="s">
        <v>4451</v>
      </c>
      <c r="BA135" s="189" t="s">
        <v>4452</v>
      </c>
      <c r="BB135" s="276" t="s">
        <v>1229</v>
      </c>
      <c r="BC135" s="276" t="s">
        <v>11</v>
      </c>
      <c r="BD135" s="275" t="s">
        <v>2514</v>
      </c>
      <c r="BE135" s="276" t="s">
        <v>9</v>
      </c>
      <c r="BF135" s="276" t="s">
        <v>17</v>
      </c>
      <c r="BG135" s="189" t="s">
        <v>4453</v>
      </c>
      <c r="BH135" s="83"/>
      <c r="BI135" s="276" t="s">
        <v>3173</v>
      </c>
      <c r="BJ135" s="189" t="s">
        <v>4454</v>
      </c>
      <c r="BK135" s="189" t="s">
        <v>4455</v>
      </c>
      <c r="BL135" s="275">
        <v>2900493</v>
      </c>
      <c r="BM135" s="127">
        <v>42339</v>
      </c>
      <c r="BN135" s="89">
        <v>0.37886514750500289</v>
      </c>
      <c r="BO135" s="257"/>
      <c r="BP135" s="257"/>
      <c r="BQ135" s="87">
        <f>(BO135-BN135)*100</f>
        <v>-37.886514750500289</v>
      </c>
      <c r="BR135" s="275">
        <v>5</v>
      </c>
      <c r="BS135" s="188"/>
      <c r="BT135" s="188">
        <v>0.45069999999999999</v>
      </c>
      <c r="BU135" s="88">
        <f>(BT135-BN135)*100</f>
        <v>7.1834852494997108</v>
      </c>
      <c r="BV135" s="188"/>
      <c r="BW135" s="188"/>
      <c r="BX135" s="188">
        <v>0.3977</v>
      </c>
      <c r="BY135" s="88">
        <f>(BX135-BN135)*100</f>
        <v>1.8834852494997112</v>
      </c>
      <c r="BZ135" s="89"/>
      <c r="CA135" s="188"/>
      <c r="CB135" s="188"/>
      <c r="CC135" s="88">
        <f>(CB135-BN135)*100</f>
        <v>-37.886514750500289</v>
      </c>
      <c r="CD135" s="188"/>
      <c r="CE135" s="188"/>
      <c r="CF135" s="188"/>
      <c r="CG135" s="88">
        <f>(CF135-BN135)*100</f>
        <v>-37.886514750500289</v>
      </c>
      <c r="CH135" s="188"/>
      <c r="CI135" s="188"/>
      <c r="CJ135" s="188"/>
      <c r="CK135" s="88">
        <f>(CJ135-BN135)*100</f>
        <v>-37.886514750500289</v>
      </c>
      <c r="CL135" s="89"/>
      <c r="CM135" s="89"/>
      <c r="CN135" s="188"/>
      <c r="CO135" s="188"/>
      <c r="CP135" s="188"/>
      <c r="CQ135" s="188"/>
      <c r="CR135" s="46"/>
      <c r="CS135" s="2">
        <v>135</v>
      </c>
      <c r="CT135" s="46"/>
    </row>
    <row r="136" spans="1:98" ht="213.75" x14ac:dyDescent="0.25">
      <c r="A136" s="276">
        <v>8</v>
      </c>
      <c r="B136" s="269" t="s">
        <v>4575</v>
      </c>
      <c r="C136" s="269" t="s">
        <v>1267</v>
      </c>
      <c r="D136" s="189" t="s">
        <v>267</v>
      </c>
      <c r="E136" s="276" t="s">
        <v>4419</v>
      </c>
      <c r="F136" s="189" t="s">
        <v>4420</v>
      </c>
      <c r="G136" s="172">
        <v>5</v>
      </c>
      <c r="H136" s="276" t="s">
        <v>4456</v>
      </c>
      <c r="I136" s="276">
        <v>105</v>
      </c>
      <c r="J136" s="276" t="s">
        <v>4457</v>
      </c>
      <c r="K136" s="276" t="s">
        <v>913</v>
      </c>
      <c r="L136" s="189" t="s">
        <v>322</v>
      </c>
      <c r="M136" s="276" t="s">
        <v>271</v>
      </c>
      <c r="N136" s="189" t="s">
        <v>4341</v>
      </c>
      <c r="O136" s="189" t="s">
        <v>137</v>
      </c>
      <c r="P136" s="276" t="s">
        <v>63</v>
      </c>
      <c r="Q136" s="276" t="s">
        <v>4341</v>
      </c>
      <c r="R136" s="276"/>
      <c r="S136" s="276"/>
      <c r="T136" s="276" t="s">
        <v>138</v>
      </c>
      <c r="U136" s="276"/>
      <c r="V136" s="276"/>
      <c r="W136" s="276"/>
      <c r="X136" s="173" t="e">
        <f t="shared" si="63"/>
        <v>#DIV/0!</v>
      </c>
      <c r="Y136" s="276">
        <v>0</v>
      </c>
      <c r="Z136" s="276">
        <v>1</v>
      </c>
      <c r="AA136" s="276" t="s">
        <v>1220</v>
      </c>
      <c r="AB136" s="276"/>
      <c r="AC136" s="275"/>
      <c r="AD136" s="189"/>
      <c r="AE136" s="189"/>
      <c r="AF136" s="79"/>
      <c r="AG136" s="276" t="s">
        <v>1364</v>
      </c>
      <c r="AH136" s="77"/>
      <c r="AI136" s="275">
        <v>1</v>
      </c>
      <c r="AJ136" s="83" t="str">
        <f t="shared" si="55"/>
        <v>03041051</v>
      </c>
      <c r="AK136" s="189" t="s">
        <v>4458</v>
      </c>
      <c r="AL136" s="276" t="s">
        <v>78</v>
      </c>
      <c r="AM136" s="189"/>
      <c r="AN136" s="276" t="s">
        <v>17</v>
      </c>
      <c r="AO136" s="276" t="s">
        <v>10</v>
      </c>
      <c r="AP136" s="189" t="s">
        <v>4459</v>
      </c>
      <c r="AQ136" s="76"/>
      <c r="AR136" s="189" t="s">
        <v>4460</v>
      </c>
      <c r="AS136" s="276" t="s">
        <v>3173</v>
      </c>
      <c r="AT136" s="189" t="s">
        <v>4461</v>
      </c>
      <c r="AU136" s="276" t="s">
        <v>3173</v>
      </c>
      <c r="AV136" s="275" t="s">
        <v>3858</v>
      </c>
      <c r="AW136" s="189" t="s">
        <v>4462</v>
      </c>
      <c r="AX136" s="275">
        <v>1</v>
      </c>
      <c r="AY136" s="276" t="str">
        <f t="shared" si="56"/>
        <v>030410511</v>
      </c>
      <c r="AZ136" s="276" t="s">
        <v>4359</v>
      </c>
      <c r="BA136" s="83" t="s">
        <v>4463</v>
      </c>
      <c r="BB136" s="276" t="s">
        <v>1229</v>
      </c>
      <c r="BC136" s="276" t="s">
        <v>11</v>
      </c>
      <c r="BD136" s="276" t="s">
        <v>3858</v>
      </c>
      <c r="BE136" s="276" t="s">
        <v>9</v>
      </c>
      <c r="BF136" s="276" t="s">
        <v>17</v>
      </c>
      <c r="BG136" s="189" t="s">
        <v>4464</v>
      </c>
      <c r="BH136" s="83"/>
      <c r="BI136" s="276" t="s">
        <v>3173</v>
      </c>
      <c r="BJ136" s="189" t="s">
        <v>4465</v>
      </c>
      <c r="BK136" s="276" t="s">
        <v>4362</v>
      </c>
      <c r="BL136" s="275" t="s">
        <v>4363</v>
      </c>
      <c r="BM136" s="127">
        <v>42339</v>
      </c>
      <c r="BN136" s="188">
        <v>3.2096774193548387E-2</v>
      </c>
      <c r="BO136" s="80">
        <v>0.8</v>
      </c>
      <c r="BP136" s="89">
        <v>0.12839999999999999</v>
      </c>
      <c r="BQ136" s="266">
        <f>(BO136-BN136)*100</f>
        <v>76.790322580645167</v>
      </c>
      <c r="BR136" s="275">
        <v>5</v>
      </c>
      <c r="BS136" s="188">
        <f>+BN136-(((BQ136)/100/5)*(-1))</f>
        <v>0.18567741935483872</v>
      </c>
      <c r="BT136" s="188">
        <v>3.4000000000000002E-2</v>
      </c>
      <c r="BU136" s="88">
        <f>(BT136-BN136)*100</f>
        <v>0.19032258064516153</v>
      </c>
      <c r="BV136" s="188">
        <f t="shared" ref="BV136:BV148" si="64">+BU136/BQ136</f>
        <v>2.4784709094728026E-3</v>
      </c>
      <c r="BW136" s="188">
        <f>+BN136-(((BQ136)/100/5)*(-2))</f>
        <v>0.33925806451612905</v>
      </c>
      <c r="BX136" s="188"/>
      <c r="BY136" s="88">
        <f>(BX136-BN136)*100</f>
        <v>-3.2096774193548385</v>
      </c>
      <c r="BZ136" s="89">
        <f t="shared" ref="BZ136:BZ148" si="65">+BY136/BQ136</f>
        <v>-4.1797941608905688E-2</v>
      </c>
      <c r="CA136" s="188">
        <f>+BN136-(((BQ136)/100/5)*(-3))</f>
        <v>0.49283870967741938</v>
      </c>
      <c r="CB136" s="188"/>
      <c r="CC136" s="88">
        <f>(CB136-BN136)*100</f>
        <v>-3.2096774193548385</v>
      </c>
      <c r="CD136" s="188">
        <f t="shared" ref="CD136:CD148" si="66">+CC136/BQ136</f>
        <v>-4.1797941608905688E-2</v>
      </c>
      <c r="CE136" s="188">
        <f>+BN136-(((BQ136)/100/5)*(-4))</f>
        <v>0.64641935483870971</v>
      </c>
      <c r="CF136" s="188"/>
      <c r="CG136" s="88">
        <f>(CF136-BN136)*100</f>
        <v>-3.2096774193548385</v>
      </c>
      <c r="CH136" s="188">
        <f t="shared" ref="CH136:CH148" si="67">+CG136/BQ136</f>
        <v>-4.1797941608905688E-2</v>
      </c>
      <c r="CI136" s="126">
        <f>+BN136-(((BQ136)/100/5)*(-5))</f>
        <v>0.8</v>
      </c>
      <c r="CJ136" s="188"/>
      <c r="CK136" s="88">
        <f>(CJ136-BN136)*100</f>
        <v>-3.2096774193548385</v>
      </c>
      <c r="CL136" s="89">
        <f t="shared" ref="CL136:CL148" si="68">+CK136/BQ136</f>
        <v>-4.1797941608905688E-2</v>
      </c>
      <c r="CM136" s="89"/>
      <c r="CN136" s="188"/>
      <c r="CO136" s="188"/>
      <c r="CP136" s="188"/>
      <c r="CQ136" s="188"/>
      <c r="CR136" s="44"/>
      <c r="CS136" s="24">
        <v>136</v>
      </c>
      <c r="CT136" s="44"/>
    </row>
    <row r="137" spans="1:98" ht="256.5" x14ac:dyDescent="0.25">
      <c r="A137" s="276">
        <v>8</v>
      </c>
      <c r="B137" s="269" t="s">
        <v>4575</v>
      </c>
      <c r="C137" s="269" t="s">
        <v>1267</v>
      </c>
      <c r="D137" s="189" t="s">
        <v>267</v>
      </c>
      <c r="E137" s="276" t="s">
        <v>4419</v>
      </c>
      <c r="F137" s="189" t="s">
        <v>4420</v>
      </c>
      <c r="G137" s="172">
        <v>6</v>
      </c>
      <c r="H137" s="276" t="s">
        <v>4466</v>
      </c>
      <c r="I137" s="276">
        <v>106</v>
      </c>
      <c r="J137" s="276" t="s">
        <v>4467</v>
      </c>
      <c r="K137" s="276" t="s">
        <v>914</v>
      </c>
      <c r="L137" s="189" t="s">
        <v>323</v>
      </c>
      <c r="M137" s="276" t="s">
        <v>271</v>
      </c>
      <c r="N137" s="189" t="s">
        <v>4341</v>
      </c>
      <c r="O137" s="189" t="s">
        <v>137</v>
      </c>
      <c r="P137" s="276" t="s">
        <v>63</v>
      </c>
      <c r="Q137" s="276" t="s">
        <v>4341</v>
      </c>
      <c r="R137" s="276"/>
      <c r="S137" s="276"/>
      <c r="T137" s="276" t="s">
        <v>65</v>
      </c>
      <c r="U137" s="276"/>
      <c r="V137" s="276"/>
      <c r="W137" s="79" t="s">
        <v>4342</v>
      </c>
      <c r="X137" s="173" t="e">
        <f t="shared" si="63"/>
        <v>#DIV/0!</v>
      </c>
      <c r="Y137" s="276">
        <v>0</v>
      </c>
      <c r="Z137" s="276">
        <v>1</v>
      </c>
      <c r="AA137" s="276" t="s">
        <v>1220</v>
      </c>
      <c r="AB137" s="276">
        <v>1</v>
      </c>
      <c r="AC137" s="275"/>
      <c r="AD137" s="189"/>
      <c r="AE137" s="189"/>
      <c r="AF137" s="79"/>
      <c r="AG137" s="276" t="s">
        <v>1364</v>
      </c>
      <c r="AH137" s="77"/>
      <c r="AI137" s="275">
        <v>1</v>
      </c>
      <c r="AJ137" s="83" t="str">
        <f t="shared" si="55"/>
        <v>03041061</v>
      </c>
      <c r="AK137" s="189" t="s">
        <v>4468</v>
      </c>
      <c r="AL137" s="276" t="s">
        <v>137</v>
      </c>
      <c r="AM137" s="189"/>
      <c r="AN137" s="276" t="s">
        <v>17</v>
      </c>
      <c r="AO137" s="276" t="s">
        <v>1369</v>
      </c>
      <c r="AP137" s="189" t="s">
        <v>4469</v>
      </c>
      <c r="AQ137" s="76"/>
      <c r="AR137" s="189" t="s">
        <v>4470</v>
      </c>
      <c r="AS137" s="276" t="s">
        <v>3173</v>
      </c>
      <c r="AT137" s="114" t="s">
        <v>4329</v>
      </c>
      <c r="AU137" s="114" t="s">
        <v>4329</v>
      </c>
      <c r="AV137" s="276" t="s">
        <v>3858</v>
      </c>
      <c r="AW137" s="189" t="s">
        <v>4471</v>
      </c>
      <c r="AX137" s="275">
        <v>1</v>
      </c>
      <c r="AY137" s="276" t="str">
        <f t="shared" si="56"/>
        <v>030410611</v>
      </c>
      <c r="AZ137" s="276" t="s">
        <v>4359</v>
      </c>
      <c r="BA137" s="83" t="s">
        <v>4472</v>
      </c>
      <c r="BB137" s="276" t="s">
        <v>1229</v>
      </c>
      <c r="BC137" s="276" t="s">
        <v>11</v>
      </c>
      <c r="BD137" s="276" t="s">
        <v>2179</v>
      </c>
      <c r="BE137" s="276" t="s">
        <v>9</v>
      </c>
      <c r="BF137" s="276" t="s">
        <v>17</v>
      </c>
      <c r="BG137" s="276" t="s">
        <v>4473</v>
      </c>
      <c r="BH137" s="83"/>
      <c r="BI137" s="276" t="s">
        <v>3173</v>
      </c>
      <c r="BJ137" s="189" t="s">
        <v>4465</v>
      </c>
      <c r="BK137" s="276" t="s">
        <v>4362</v>
      </c>
      <c r="BL137" s="275" t="s">
        <v>4363</v>
      </c>
      <c r="BM137" s="127">
        <v>42339</v>
      </c>
      <c r="BN137" s="113">
        <v>18055</v>
      </c>
      <c r="BO137" s="113">
        <v>100000</v>
      </c>
      <c r="BP137" s="113">
        <v>213000</v>
      </c>
      <c r="BQ137" s="258">
        <f t="shared" ref="BQ137:BQ147" si="69">+BO137-BN137</f>
        <v>81945</v>
      </c>
      <c r="BR137" s="275">
        <v>5</v>
      </c>
      <c r="BS137" s="254">
        <f t="shared" ref="BS137:BS147" si="70">+BN137-(((BQ137)/5)*(-1))</f>
        <v>34444</v>
      </c>
      <c r="BT137" s="174">
        <f>+BN137+9678</f>
        <v>27733</v>
      </c>
      <c r="BU137" s="254">
        <f t="shared" ref="BU137:BU147" si="71">+BT137-BN137</f>
        <v>9678</v>
      </c>
      <c r="BV137" s="188">
        <f t="shared" si="64"/>
        <v>0.11810360607724693</v>
      </c>
      <c r="BW137" s="254">
        <f t="shared" ref="BW137:BW147" si="72">+BN137-(((BQ137)/5)*(-2))</f>
        <v>50833</v>
      </c>
      <c r="BX137" s="254">
        <f>+BT137+9967</f>
        <v>37700</v>
      </c>
      <c r="BY137" s="254">
        <f t="shared" ref="BY137:BY147" si="73">+BX137-BN137</f>
        <v>19645</v>
      </c>
      <c r="BZ137" s="89">
        <f t="shared" si="65"/>
        <v>0.23973396790530233</v>
      </c>
      <c r="CA137" s="254">
        <f t="shared" ref="CA137:CA147" si="74">+BN137-(((BQ137)/5)*(-3))</f>
        <v>67222</v>
      </c>
      <c r="CB137" s="254"/>
      <c r="CC137" s="254">
        <f t="shared" ref="CC137:CC147" si="75">+CB137-BN137</f>
        <v>-18055</v>
      </c>
      <c r="CD137" s="188">
        <f t="shared" si="66"/>
        <v>-0.22033070962230764</v>
      </c>
      <c r="CE137" s="254">
        <f t="shared" ref="CE137:CE147" si="76">+BN137-(((BQ137)/5)*(-4))</f>
        <v>83611</v>
      </c>
      <c r="CF137" s="254"/>
      <c r="CG137" s="254">
        <f t="shared" ref="CG137:CG147" si="77">+CF137-BN137</f>
        <v>-18055</v>
      </c>
      <c r="CH137" s="188">
        <f t="shared" si="67"/>
        <v>-0.22033070962230764</v>
      </c>
      <c r="CI137" s="254">
        <f t="shared" ref="CI137:CI147" si="78">+BN137-(((BQ137)/5)*(-5))</f>
        <v>100000</v>
      </c>
      <c r="CJ137" s="254"/>
      <c r="CK137" s="254">
        <f t="shared" ref="CK137:CK147" si="79">+CJ137-BN137</f>
        <v>-18055</v>
      </c>
      <c r="CL137" s="89">
        <f t="shared" si="68"/>
        <v>-0.22033070962230764</v>
      </c>
      <c r="CM137" s="89"/>
      <c r="CN137" s="188"/>
      <c r="CO137" s="188"/>
      <c r="CP137" s="188"/>
      <c r="CQ137" s="188"/>
      <c r="CR137" s="47"/>
      <c r="CS137" s="24">
        <v>137</v>
      </c>
      <c r="CT137" s="47"/>
    </row>
    <row r="138" spans="1:98" ht="213.75" x14ac:dyDescent="0.25">
      <c r="A138" s="276">
        <v>8</v>
      </c>
      <c r="B138" s="269" t="s">
        <v>4575</v>
      </c>
      <c r="C138" s="269" t="s">
        <v>1267</v>
      </c>
      <c r="D138" s="189" t="s">
        <v>267</v>
      </c>
      <c r="E138" s="276" t="s">
        <v>4419</v>
      </c>
      <c r="F138" s="189" t="s">
        <v>4420</v>
      </c>
      <c r="G138" s="172">
        <v>8</v>
      </c>
      <c r="H138" s="276" t="s">
        <v>4474</v>
      </c>
      <c r="I138" s="276">
        <v>108</v>
      </c>
      <c r="J138" s="276" t="s">
        <v>4475</v>
      </c>
      <c r="K138" s="276" t="s">
        <v>916</v>
      </c>
      <c r="L138" s="189" t="s">
        <v>325</v>
      </c>
      <c r="M138" s="276" t="s">
        <v>271</v>
      </c>
      <c r="N138" s="189" t="s">
        <v>4341</v>
      </c>
      <c r="O138" s="189" t="s">
        <v>137</v>
      </c>
      <c r="P138" s="276" t="s">
        <v>63</v>
      </c>
      <c r="Q138" s="276" t="s">
        <v>4341</v>
      </c>
      <c r="R138" s="276"/>
      <c r="S138" s="276"/>
      <c r="T138" s="276" t="s">
        <v>65</v>
      </c>
      <c r="U138" s="276"/>
      <c r="V138" s="276"/>
      <c r="W138" s="79" t="s">
        <v>4342</v>
      </c>
      <c r="X138" s="173" t="e">
        <f t="shared" si="63"/>
        <v>#DIV/0!</v>
      </c>
      <c r="Y138" s="276">
        <v>0</v>
      </c>
      <c r="Z138" s="276">
        <v>1</v>
      </c>
      <c r="AA138" s="276" t="s">
        <v>1220</v>
      </c>
      <c r="AB138" s="276">
        <v>1</v>
      </c>
      <c r="AC138" s="275"/>
      <c r="AD138" s="189"/>
      <c r="AE138" s="189"/>
      <c r="AF138" s="79"/>
      <c r="AG138" s="276" t="s">
        <v>1364</v>
      </c>
      <c r="AH138" s="77"/>
      <c r="AI138" s="275">
        <v>1</v>
      </c>
      <c r="AJ138" s="83" t="str">
        <f t="shared" si="55"/>
        <v>03041081</v>
      </c>
      <c r="AK138" s="189" t="s">
        <v>4476</v>
      </c>
      <c r="AL138" s="276" t="s">
        <v>137</v>
      </c>
      <c r="AM138" s="189"/>
      <c r="AN138" s="276" t="s">
        <v>4477</v>
      </c>
      <c r="AO138" s="276" t="s">
        <v>1369</v>
      </c>
      <c r="AP138" s="189" t="s">
        <v>4478</v>
      </c>
      <c r="AQ138" s="76"/>
      <c r="AR138" s="189" t="s">
        <v>4479</v>
      </c>
      <c r="AS138" s="276" t="s">
        <v>3173</v>
      </c>
      <c r="AT138" s="114" t="s">
        <v>4329</v>
      </c>
      <c r="AU138" s="114" t="s">
        <v>4329</v>
      </c>
      <c r="AV138" s="276" t="s">
        <v>3858</v>
      </c>
      <c r="AW138" s="189" t="s">
        <v>4480</v>
      </c>
      <c r="AX138" s="275">
        <v>1</v>
      </c>
      <c r="AY138" s="276" t="str">
        <f t="shared" si="56"/>
        <v>030410811</v>
      </c>
      <c r="AZ138" s="276" t="s">
        <v>4481</v>
      </c>
      <c r="BA138" s="189" t="s">
        <v>4482</v>
      </c>
      <c r="BB138" s="276" t="s">
        <v>1229</v>
      </c>
      <c r="BC138" s="276" t="s">
        <v>11</v>
      </c>
      <c r="BD138" s="276" t="s">
        <v>3858</v>
      </c>
      <c r="BE138" s="276" t="s">
        <v>9</v>
      </c>
      <c r="BF138" s="276" t="s">
        <v>17</v>
      </c>
      <c r="BG138" s="189" t="s">
        <v>4483</v>
      </c>
      <c r="BH138" s="83"/>
      <c r="BI138" s="189" t="s">
        <v>3173</v>
      </c>
      <c r="BJ138" s="189" t="s">
        <v>4484</v>
      </c>
      <c r="BK138" s="276" t="s">
        <v>4485</v>
      </c>
      <c r="BL138" s="276">
        <v>2444814</v>
      </c>
      <c r="BM138" s="127">
        <v>42339</v>
      </c>
      <c r="BN138" s="276">
        <v>47</v>
      </c>
      <c r="BO138" s="276">
        <v>500</v>
      </c>
      <c r="BP138" s="275">
        <v>600</v>
      </c>
      <c r="BQ138" s="172">
        <f t="shared" si="69"/>
        <v>453</v>
      </c>
      <c r="BR138" s="275">
        <v>5</v>
      </c>
      <c r="BS138" s="176">
        <f t="shared" si="70"/>
        <v>137.6</v>
      </c>
      <c r="BT138" s="222">
        <f>BN138+27</f>
        <v>74</v>
      </c>
      <c r="BU138" s="176">
        <f t="shared" si="71"/>
        <v>27</v>
      </c>
      <c r="BV138" s="188">
        <f t="shared" si="64"/>
        <v>5.9602649006622516E-2</v>
      </c>
      <c r="BW138" s="176">
        <f t="shared" si="72"/>
        <v>228.2</v>
      </c>
      <c r="BX138" s="176"/>
      <c r="BY138" s="176">
        <f t="shared" si="73"/>
        <v>-47</v>
      </c>
      <c r="BZ138" s="89">
        <f t="shared" si="65"/>
        <v>-0.10375275938189846</v>
      </c>
      <c r="CA138" s="94">
        <f t="shared" si="74"/>
        <v>318.79999999999995</v>
      </c>
      <c r="CB138" s="188"/>
      <c r="CC138" s="176">
        <f t="shared" si="75"/>
        <v>-47</v>
      </c>
      <c r="CD138" s="188">
        <f t="shared" si="66"/>
        <v>-0.10375275938189846</v>
      </c>
      <c r="CE138" s="94">
        <f t="shared" si="76"/>
        <v>409.4</v>
      </c>
      <c r="CF138" s="188"/>
      <c r="CG138" s="176">
        <f t="shared" si="77"/>
        <v>-47</v>
      </c>
      <c r="CH138" s="188">
        <f t="shared" si="67"/>
        <v>-0.10375275938189846</v>
      </c>
      <c r="CI138" s="254">
        <f t="shared" si="78"/>
        <v>500</v>
      </c>
      <c r="CJ138" s="188"/>
      <c r="CK138" s="176">
        <f t="shared" si="79"/>
        <v>-47</v>
      </c>
      <c r="CL138" s="89">
        <f t="shared" si="68"/>
        <v>-0.10375275938189846</v>
      </c>
      <c r="CM138" s="89"/>
      <c r="CN138" s="188"/>
      <c r="CO138" s="188"/>
      <c r="CP138" s="188"/>
      <c r="CQ138" s="188"/>
      <c r="CR138" s="48"/>
      <c r="CS138" s="2">
        <v>138</v>
      </c>
      <c r="CT138" s="48"/>
    </row>
    <row r="139" spans="1:98" ht="409.5" customHeight="1" x14ac:dyDescent="0.25">
      <c r="A139" s="276">
        <v>8</v>
      </c>
      <c r="B139" s="269" t="s">
        <v>4575</v>
      </c>
      <c r="C139" s="269" t="s">
        <v>1267</v>
      </c>
      <c r="D139" s="189" t="s">
        <v>267</v>
      </c>
      <c r="E139" s="276" t="s">
        <v>4419</v>
      </c>
      <c r="F139" s="189" t="s">
        <v>4420</v>
      </c>
      <c r="G139" s="172">
        <v>9</v>
      </c>
      <c r="H139" s="276" t="s">
        <v>4486</v>
      </c>
      <c r="I139" s="276">
        <v>109</v>
      </c>
      <c r="J139" s="276" t="s">
        <v>4487</v>
      </c>
      <c r="K139" s="276" t="s">
        <v>917</v>
      </c>
      <c r="L139" s="189" t="s">
        <v>326</v>
      </c>
      <c r="M139" s="276" t="s">
        <v>271</v>
      </c>
      <c r="N139" s="189" t="s">
        <v>4341</v>
      </c>
      <c r="O139" s="189" t="s">
        <v>137</v>
      </c>
      <c r="P139" s="276" t="s">
        <v>63</v>
      </c>
      <c r="Q139" s="276" t="s">
        <v>4341</v>
      </c>
      <c r="R139" s="276"/>
      <c r="S139" s="276">
        <v>1</v>
      </c>
      <c r="T139" s="276" t="s">
        <v>65</v>
      </c>
      <c r="U139" s="276"/>
      <c r="V139" s="276"/>
      <c r="W139" s="79" t="s">
        <v>4342</v>
      </c>
      <c r="X139" s="173" t="e">
        <f t="shared" si="63"/>
        <v>#DIV/0!</v>
      </c>
      <c r="Y139" s="276">
        <v>0</v>
      </c>
      <c r="Z139" s="276">
        <v>1</v>
      </c>
      <c r="AA139" s="276" t="s">
        <v>1220</v>
      </c>
      <c r="AB139" s="276">
        <v>1</v>
      </c>
      <c r="AC139" s="275"/>
      <c r="AD139" s="189"/>
      <c r="AE139" s="189"/>
      <c r="AF139" s="79"/>
      <c r="AG139" s="276" t="s">
        <v>1364</v>
      </c>
      <c r="AH139" s="77"/>
      <c r="AI139" s="275">
        <v>1</v>
      </c>
      <c r="AJ139" s="83" t="str">
        <f t="shared" si="55"/>
        <v>03041091</v>
      </c>
      <c r="AK139" s="189" t="s">
        <v>4488</v>
      </c>
      <c r="AL139" s="276" t="s">
        <v>78</v>
      </c>
      <c r="AM139" s="189"/>
      <c r="AN139" s="276" t="s">
        <v>4489</v>
      </c>
      <c r="AO139" s="276" t="s">
        <v>1369</v>
      </c>
      <c r="AP139" s="189" t="s">
        <v>4490</v>
      </c>
      <c r="AQ139" s="76"/>
      <c r="AR139" s="189" t="s">
        <v>4491</v>
      </c>
      <c r="AS139" s="276" t="s">
        <v>3173</v>
      </c>
      <c r="AT139" s="114" t="s">
        <v>4329</v>
      </c>
      <c r="AU139" s="114" t="s">
        <v>4329</v>
      </c>
      <c r="AV139" s="276" t="s">
        <v>2484</v>
      </c>
      <c r="AW139" s="189" t="s">
        <v>4370</v>
      </c>
      <c r="AX139" s="275">
        <v>1</v>
      </c>
      <c r="AY139" s="276" t="str">
        <f t="shared" si="56"/>
        <v>030410911</v>
      </c>
      <c r="AZ139" s="276" t="s">
        <v>4331</v>
      </c>
      <c r="BA139" s="189" t="s">
        <v>4332</v>
      </c>
      <c r="BB139" s="276" t="s">
        <v>1229</v>
      </c>
      <c r="BC139" s="276" t="s">
        <v>11</v>
      </c>
      <c r="BD139" s="276" t="s">
        <v>1529</v>
      </c>
      <c r="BE139" s="275" t="s">
        <v>9</v>
      </c>
      <c r="BF139" s="275" t="s">
        <v>9</v>
      </c>
      <c r="BG139" s="189" t="s">
        <v>4492</v>
      </c>
      <c r="BH139" s="83"/>
      <c r="BI139" s="189" t="s">
        <v>3173</v>
      </c>
      <c r="BJ139" s="189" t="s">
        <v>4493</v>
      </c>
      <c r="BK139" s="276" t="s">
        <v>4494</v>
      </c>
      <c r="BL139" s="275">
        <v>2681264</v>
      </c>
      <c r="BM139" s="127">
        <v>42339</v>
      </c>
      <c r="BN139" s="276">
        <v>21</v>
      </c>
      <c r="BO139" s="275">
        <v>36</v>
      </c>
      <c r="BP139" s="275">
        <v>36</v>
      </c>
      <c r="BQ139" s="172">
        <f t="shared" si="69"/>
        <v>15</v>
      </c>
      <c r="BR139" s="275">
        <v>5</v>
      </c>
      <c r="BS139" s="176">
        <f t="shared" si="70"/>
        <v>24</v>
      </c>
      <c r="BT139" s="222">
        <v>28</v>
      </c>
      <c r="BU139" s="176">
        <f t="shared" si="71"/>
        <v>7</v>
      </c>
      <c r="BV139" s="188">
        <f t="shared" si="64"/>
        <v>0.46666666666666667</v>
      </c>
      <c r="BW139" s="176">
        <f t="shared" si="72"/>
        <v>27</v>
      </c>
      <c r="BX139" s="222">
        <v>31</v>
      </c>
      <c r="BY139" s="176">
        <f t="shared" si="73"/>
        <v>10</v>
      </c>
      <c r="BZ139" s="89">
        <f t="shared" si="65"/>
        <v>0.66666666666666663</v>
      </c>
      <c r="CA139" s="176">
        <f t="shared" si="74"/>
        <v>30</v>
      </c>
      <c r="CB139" s="176"/>
      <c r="CC139" s="176">
        <f t="shared" si="75"/>
        <v>-21</v>
      </c>
      <c r="CD139" s="188">
        <f t="shared" si="66"/>
        <v>-1.4</v>
      </c>
      <c r="CE139" s="176">
        <f t="shared" si="76"/>
        <v>33</v>
      </c>
      <c r="CF139" s="176"/>
      <c r="CG139" s="176">
        <f t="shared" si="77"/>
        <v>-21</v>
      </c>
      <c r="CH139" s="188">
        <f t="shared" si="67"/>
        <v>-1.4</v>
      </c>
      <c r="CI139" s="176">
        <f t="shared" si="78"/>
        <v>36</v>
      </c>
      <c r="CJ139" s="176"/>
      <c r="CK139" s="176">
        <f t="shared" si="79"/>
        <v>-21</v>
      </c>
      <c r="CL139" s="89">
        <f t="shared" si="68"/>
        <v>-1.4</v>
      </c>
      <c r="CM139" s="89"/>
      <c r="CN139" s="188"/>
      <c r="CO139" s="188"/>
      <c r="CP139" s="188"/>
      <c r="CQ139" s="188"/>
      <c r="CR139" s="2"/>
      <c r="CS139" s="24">
        <v>139</v>
      </c>
      <c r="CT139" s="2"/>
    </row>
    <row r="140" spans="1:98" ht="156.75" x14ac:dyDescent="0.25">
      <c r="A140" s="276">
        <v>7</v>
      </c>
      <c r="B140" s="269" t="s">
        <v>4575</v>
      </c>
      <c r="C140" s="269" t="s">
        <v>1267</v>
      </c>
      <c r="D140" s="189" t="s">
        <v>267</v>
      </c>
      <c r="E140" s="276" t="s">
        <v>333</v>
      </c>
      <c r="F140" s="189" t="s">
        <v>328</v>
      </c>
      <c r="G140" s="172">
        <v>1</v>
      </c>
      <c r="H140" s="276" t="s">
        <v>329</v>
      </c>
      <c r="I140" s="276">
        <v>111</v>
      </c>
      <c r="J140" s="276" t="s">
        <v>330</v>
      </c>
      <c r="K140" s="276" t="s">
        <v>919</v>
      </c>
      <c r="L140" s="189" t="s">
        <v>331</v>
      </c>
      <c r="M140" s="276" t="s">
        <v>271</v>
      </c>
      <c r="N140" s="189" t="s">
        <v>332</v>
      </c>
      <c r="O140" s="189" t="s">
        <v>62</v>
      </c>
      <c r="P140" s="276" t="s">
        <v>63</v>
      </c>
      <c r="Q140" s="276" t="s">
        <v>332</v>
      </c>
      <c r="R140" s="276"/>
      <c r="S140" s="276"/>
      <c r="T140" s="276" t="s">
        <v>65</v>
      </c>
      <c r="U140" s="276"/>
      <c r="V140" s="276"/>
      <c r="W140" s="78" t="s">
        <v>334</v>
      </c>
      <c r="X140" s="173" t="e">
        <f t="shared" ref="X140:X147" si="80">100/COUNTIFS(($B$4:$B$11),C140,($D$4:$D$11),E140)</f>
        <v>#DIV/0!</v>
      </c>
      <c r="Y140" s="276">
        <v>0</v>
      </c>
      <c r="Z140" s="276">
        <v>1</v>
      </c>
      <c r="AA140" s="276" t="s">
        <v>1225</v>
      </c>
      <c r="AB140" s="276">
        <v>1</v>
      </c>
      <c r="AC140" s="275"/>
      <c r="AD140" s="189"/>
      <c r="AE140" s="189"/>
      <c r="AF140" s="79"/>
      <c r="AG140" s="83" t="s">
        <v>1364</v>
      </c>
      <c r="AH140" s="77"/>
      <c r="AI140" s="275">
        <v>1</v>
      </c>
      <c r="AJ140" s="83" t="str">
        <f t="shared" si="55"/>
        <v>03051111</v>
      </c>
      <c r="AK140" s="276" t="s">
        <v>3496</v>
      </c>
      <c r="AL140" s="276" t="s">
        <v>1259</v>
      </c>
      <c r="AM140" s="189"/>
      <c r="AN140" s="276" t="s">
        <v>3497</v>
      </c>
      <c r="AO140" s="276" t="s">
        <v>10</v>
      </c>
      <c r="AP140" s="276" t="s">
        <v>3498</v>
      </c>
      <c r="AQ140" s="276"/>
      <c r="AR140" s="189" t="s">
        <v>3499</v>
      </c>
      <c r="AS140" s="189" t="s">
        <v>2502</v>
      </c>
      <c r="AT140" s="189" t="s">
        <v>3500</v>
      </c>
      <c r="AU140" s="189" t="s">
        <v>2502</v>
      </c>
      <c r="AV140" s="276" t="s">
        <v>2673</v>
      </c>
      <c r="AW140" s="76"/>
      <c r="AX140" s="275">
        <v>1</v>
      </c>
      <c r="AY140" s="276" t="str">
        <f t="shared" si="56"/>
        <v>030511111</v>
      </c>
      <c r="AZ140" s="276" t="s">
        <v>2501</v>
      </c>
      <c r="BA140" s="276" t="s">
        <v>2502</v>
      </c>
      <c r="BB140" s="276" t="s">
        <v>1514</v>
      </c>
      <c r="BC140" s="275" t="s">
        <v>11</v>
      </c>
      <c r="BD140" s="275" t="s">
        <v>2673</v>
      </c>
      <c r="BE140" s="275" t="s">
        <v>9</v>
      </c>
      <c r="BF140" s="276" t="s">
        <v>17</v>
      </c>
      <c r="BG140" s="96" t="s">
        <v>3501</v>
      </c>
      <c r="BH140" s="77"/>
      <c r="BI140" s="276" t="s">
        <v>12</v>
      </c>
      <c r="BJ140" s="276" t="s">
        <v>2321</v>
      </c>
      <c r="BK140" s="276" t="s">
        <v>3502</v>
      </c>
      <c r="BL140" s="276">
        <v>2222333</v>
      </c>
      <c r="BM140" s="78"/>
      <c r="BN140" s="212">
        <v>0</v>
      </c>
      <c r="BO140" s="213">
        <v>1</v>
      </c>
      <c r="BP140" s="77"/>
      <c r="BQ140" s="187">
        <f t="shared" si="69"/>
        <v>1</v>
      </c>
      <c r="BR140" s="275">
        <v>5</v>
      </c>
      <c r="BS140" s="188">
        <f t="shared" si="70"/>
        <v>0.2</v>
      </c>
      <c r="BT140" s="188"/>
      <c r="BU140" s="188">
        <f t="shared" si="71"/>
        <v>0</v>
      </c>
      <c r="BV140" s="188">
        <f t="shared" si="64"/>
        <v>0</v>
      </c>
      <c r="BW140" s="188">
        <f t="shared" si="72"/>
        <v>0.4</v>
      </c>
      <c r="BX140" s="188"/>
      <c r="BY140" s="188">
        <f t="shared" si="73"/>
        <v>0</v>
      </c>
      <c r="BZ140" s="89">
        <f t="shared" si="65"/>
        <v>0</v>
      </c>
      <c r="CA140" s="188">
        <f t="shared" si="74"/>
        <v>0.60000000000000009</v>
      </c>
      <c r="CB140" s="188"/>
      <c r="CC140" s="188">
        <f t="shared" si="75"/>
        <v>0</v>
      </c>
      <c r="CD140" s="188">
        <f t="shared" si="66"/>
        <v>0</v>
      </c>
      <c r="CE140" s="188">
        <f t="shared" si="76"/>
        <v>0.8</v>
      </c>
      <c r="CF140" s="188"/>
      <c r="CG140" s="188">
        <f t="shared" si="77"/>
        <v>0</v>
      </c>
      <c r="CH140" s="188">
        <f t="shared" si="67"/>
        <v>0</v>
      </c>
      <c r="CI140" s="188">
        <f t="shared" si="78"/>
        <v>1</v>
      </c>
      <c r="CJ140" s="188"/>
      <c r="CK140" s="188">
        <f t="shared" si="79"/>
        <v>0</v>
      </c>
      <c r="CL140" s="89">
        <f t="shared" si="68"/>
        <v>0</v>
      </c>
      <c r="CM140" s="89"/>
      <c r="CN140" s="188"/>
      <c r="CO140" s="188"/>
      <c r="CP140" s="188"/>
      <c r="CQ140" s="188"/>
      <c r="CR140" s="2"/>
      <c r="CS140" s="24">
        <v>140</v>
      </c>
      <c r="CT140" s="2"/>
    </row>
    <row r="141" spans="1:98" ht="142.5" x14ac:dyDescent="0.25">
      <c r="A141" s="276">
        <v>7</v>
      </c>
      <c r="B141" s="269" t="s">
        <v>4575</v>
      </c>
      <c r="C141" s="269" t="s">
        <v>1267</v>
      </c>
      <c r="D141" s="189" t="s">
        <v>267</v>
      </c>
      <c r="E141" s="276" t="s">
        <v>339</v>
      </c>
      <c r="F141" s="189" t="s">
        <v>335</v>
      </c>
      <c r="G141" s="172">
        <v>1</v>
      </c>
      <c r="H141" s="276" t="s">
        <v>336</v>
      </c>
      <c r="I141" s="276">
        <v>112</v>
      </c>
      <c r="J141" s="276" t="s">
        <v>337</v>
      </c>
      <c r="K141" s="276" t="s">
        <v>920</v>
      </c>
      <c r="L141" s="189" t="s">
        <v>338</v>
      </c>
      <c r="M141" s="276" t="s">
        <v>271</v>
      </c>
      <c r="N141" s="189" t="s">
        <v>332</v>
      </c>
      <c r="O141" s="189" t="s">
        <v>62</v>
      </c>
      <c r="P141" s="276" t="s">
        <v>63</v>
      </c>
      <c r="Q141" s="276" t="s">
        <v>332</v>
      </c>
      <c r="R141" s="276"/>
      <c r="S141" s="276"/>
      <c r="T141" s="276" t="s">
        <v>65</v>
      </c>
      <c r="U141" s="276"/>
      <c r="V141" s="276"/>
      <c r="W141" s="78" t="s">
        <v>334</v>
      </c>
      <c r="X141" s="173" t="e">
        <f t="shared" si="80"/>
        <v>#DIV/0!</v>
      </c>
      <c r="Y141" s="276">
        <f t="shared" ref="Y141:Y147" si="81">COUNTIF(T141,"RS")</f>
        <v>1</v>
      </c>
      <c r="Z141" s="276">
        <v>0</v>
      </c>
      <c r="AA141" s="276" t="s">
        <v>1220</v>
      </c>
      <c r="AB141" s="276">
        <v>1</v>
      </c>
      <c r="AC141" s="275"/>
      <c r="AD141" s="189"/>
      <c r="AE141" s="189"/>
      <c r="AF141" s="79"/>
      <c r="AG141" s="83" t="s">
        <v>1364</v>
      </c>
      <c r="AH141" s="77"/>
      <c r="AI141" s="275">
        <v>1</v>
      </c>
      <c r="AJ141" s="83" t="str">
        <f t="shared" si="55"/>
        <v>03061121</v>
      </c>
      <c r="AK141" s="276" t="s">
        <v>3503</v>
      </c>
      <c r="AL141" s="276" t="s">
        <v>1259</v>
      </c>
      <c r="AM141" s="189"/>
      <c r="AN141" s="276" t="s">
        <v>3497</v>
      </c>
      <c r="AO141" s="276" t="s">
        <v>10</v>
      </c>
      <c r="AP141" s="276" t="s">
        <v>3504</v>
      </c>
      <c r="AQ141" s="276"/>
      <c r="AR141" s="189" t="s">
        <v>3505</v>
      </c>
      <c r="AS141" s="189" t="s">
        <v>2502</v>
      </c>
      <c r="AT141" s="189" t="s">
        <v>3500</v>
      </c>
      <c r="AU141" s="189" t="s">
        <v>2502</v>
      </c>
      <c r="AV141" s="275" t="s">
        <v>1529</v>
      </c>
      <c r="AW141" s="76"/>
      <c r="AX141" s="275">
        <v>1</v>
      </c>
      <c r="AY141" s="276" t="str">
        <f t="shared" si="56"/>
        <v>030611211</v>
      </c>
      <c r="AZ141" s="276" t="s">
        <v>2501</v>
      </c>
      <c r="BA141" s="276" t="s">
        <v>2502</v>
      </c>
      <c r="BB141" s="276" t="s">
        <v>1514</v>
      </c>
      <c r="BC141" s="275" t="s">
        <v>11</v>
      </c>
      <c r="BD141" s="275" t="s">
        <v>1529</v>
      </c>
      <c r="BE141" s="275" t="s">
        <v>9</v>
      </c>
      <c r="BF141" s="276" t="s">
        <v>17</v>
      </c>
      <c r="BG141" s="96" t="s">
        <v>3501</v>
      </c>
      <c r="BH141" s="77"/>
      <c r="BI141" s="276" t="s">
        <v>12</v>
      </c>
      <c r="BJ141" s="276" t="s">
        <v>2321</v>
      </c>
      <c r="BK141" s="276" t="s">
        <v>3502</v>
      </c>
      <c r="BL141" s="276">
        <v>2222333</v>
      </c>
      <c r="BM141" s="207">
        <v>2015</v>
      </c>
      <c r="BN141" s="152">
        <v>0.13</v>
      </c>
      <c r="BO141" s="152">
        <v>0.4</v>
      </c>
      <c r="BP141" s="152">
        <v>0.6</v>
      </c>
      <c r="BQ141" s="80">
        <f t="shared" si="69"/>
        <v>0.27</v>
      </c>
      <c r="BR141" s="275">
        <v>5</v>
      </c>
      <c r="BS141" s="170">
        <f t="shared" si="70"/>
        <v>0.184</v>
      </c>
      <c r="BT141" s="170">
        <v>0.23</v>
      </c>
      <c r="BU141" s="170">
        <f t="shared" si="71"/>
        <v>0.1</v>
      </c>
      <c r="BV141" s="170">
        <f t="shared" si="64"/>
        <v>0.37037037037037035</v>
      </c>
      <c r="BW141" s="170">
        <f t="shared" si="72"/>
        <v>0.23800000000000002</v>
      </c>
      <c r="BX141" s="170">
        <v>0</v>
      </c>
      <c r="BY141" s="170">
        <f t="shared" si="73"/>
        <v>-0.13</v>
      </c>
      <c r="BZ141" s="115">
        <f t="shared" si="65"/>
        <v>-0.48148148148148145</v>
      </c>
      <c r="CA141" s="170">
        <f t="shared" si="74"/>
        <v>0.29200000000000004</v>
      </c>
      <c r="CB141" s="170"/>
      <c r="CC141" s="170">
        <f t="shared" si="75"/>
        <v>-0.13</v>
      </c>
      <c r="CD141" s="170">
        <f t="shared" si="66"/>
        <v>-0.48148148148148145</v>
      </c>
      <c r="CE141" s="170">
        <f t="shared" si="76"/>
        <v>0.34600000000000003</v>
      </c>
      <c r="CF141" s="170"/>
      <c r="CG141" s="170">
        <f t="shared" si="77"/>
        <v>-0.13</v>
      </c>
      <c r="CH141" s="170">
        <f t="shared" si="67"/>
        <v>-0.48148148148148145</v>
      </c>
      <c r="CI141" s="170">
        <f t="shared" si="78"/>
        <v>0.4</v>
      </c>
      <c r="CJ141" s="170"/>
      <c r="CK141" s="170">
        <f t="shared" si="79"/>
        <v>-0.13</v>
      </c>
      <c r="CL141" s="115">
        <f t="shared" si="68"/>
        <v>-0.48148148148148145</v>
      </c>
      <c r="CM141" s="89"/>
      <c r="CN141" s="188"/>
      <c r="CO141" s="188"/>
      <c r="CP141" s="188"/>
      <c r="CQ141" s="188"/>
      <c r="CR141" s="53"/>
      <c r="CS141" s="2">
        <v>141</v>
      </c>
      <c r="CT141" s="1"/>
    </row>
    <row r="142" spans="1:98" ht="128.25" x14ac:dyDescent="0.25">
      <c r="A142" s="276">
        <v>7</v>
      </c>
      <c r="B142" s="269" t="s">
        <v>4575</v>
      </c>
      <c r="C142" s="269" t="s">
        <v>1267</v>
      </c>
      <c r="D142" s="189" t="s">
        <v>267</v>
      </c>
      <c r="E142" s="276" t="s">
        <v>339</v>
      </c>
      <c r="F142" s="189" t="s">
        <v>335</v>
      </c>
      <c r="G142" s="172">
        <v>2</v>
      </c>
      <c r="H142" s="276" t="s">
        <v>340</v>
      </c>
      <c r="I142" s="276">
        <v>113</v>
      </c>
      <c r="J142" s="276" t="s">
        <v>341</v>
      </c>
      <c r="K142" s="276" t="s">
        <v>921</v>
      </c>
      <c r="L142" s="189" t="s">
        <v>342</v>
      </c>
      <c r="M142" s="276" t="s">
        <v>271</v>
      </c>
      <c r="N142" s="189" t="s">
        <v>332</v>
      </c>
      <c r="O142" s="189" t="s">
        <v>78</v>
      </c>
      <c r="P142" s="276" t="s">
        <v>63</v>
      </c>
      <c r="Q142" s="276" t="s">
        <v>332</v>
      </c>
      <c r="R142" s="276"/>
      <c r="S142" s="276"/>
      <c r="T142" s="276" t="s">
        <v>79</v>
      </c>
      <c r="U142" s="276"/>
      <c r="V142" s="276"/>
      <c r="W142" s="276"/>
      <c r="X142" s="173" t="e">
        <f t="shared" si="80"/>
        <v>#DIV/0!</v>
      </c>
      <c r="Y142" s="276">
        <f t="shared" si="81"/>
        <v>0</v>
      </c>
      <c r="Z142" s="276">
        <v>1</v>
      </c>
      <c r="AA142" s="276" t="s">
        <v>1225</v>
      </c>
      <c r="AB142" s="276"/>
      <c r="AC142" s="275"/>
      <c r="AD142" s="189"/>
      <c r="AE142" s="189"/>
      <c r="AF142" s="79"/>
      <c r="AG142" s="83" t="s">
        <v>1364</v>
      </c>
      <c r="AH142" s="77"/>
      <c r="AI142" s="275">
        <v>1</v>
      </c>
      <c r="AJ142" s="83" t="str">
        <f t="shared" si="55"/>
        <v>03061131</v>
      </c>
      <c r="AK142" s="276" t="s">
        <v>3506</v>
      </c>
      <c r="AL142" s="276" t="s">
        <v>78</v>
      </c>
      <c r="AM142" s="189"/>
      <c r="AN142" s="276" t="s">
        <v>2242</v>
      </c>
      <c r="AO142" s="276" t="s">
        <v>10</v>
      </c>
      <c r="AP142" s="83" t="s">
        <v>3507</v>
      </c>
      <c r="AQ142" s="276"/>
      <c r="AR142" s="83" t="s">
        <v>3508</v>
      </c>
      <c r="AS142" s="189" t="s">
        <v>1229</v>
      </c>
      <c r="AT142" s="83" t="s">
        <v>3509</v>
      </c>
      <c r="AU142" s="189" t="s">
        <v>1229</v>
      </c>
      <c r="AV142" s="276" t="s">
        <v>2673</v>
      </c>
      <c r="AW142" s="76"/>
      <c r="AX142" s="275">
        <v>1</v>
      </c>
      <c r="AY142" s="276" t="str">
        <f t="shared" si="56"/>
        <v>030611311</v>
      </c>
      <c r="AZ142" s="276" t="s">
        <v>2993</v>
      </c>
      <c r="BA142" s="276" t="s">
        <v>3510</v>
      </c>
      <c r="BB142" s="276" t="s">
        <v>1229</v>
      </c>
      <c r="BC142" s="275" t="s">
        <v>11</v>
      </c>
      <c r="BD142" s="275" t="s">
        <v>3058</v>
      </c>
      <c r="BE142" s="275" t="s">
        <v>9</v>
      </c>
      <c r="BF142" s="276" t="s">
        <v>3511</v>
      </c>
      <c r="BG142" s="77"/>
      <c r="BH142" s="77"/>
      <c r="BI142" s="276" t="s">
        <v>3510</v>
      </c>
      <c r="BJ142" s="276" t="s">
        <v>3512</v>
      </c>
      <c r="BK142" s="276" t="s">
        <v>3513</v>
      </c>
      <c r="BL142" s="276">
        <v>2179700</v>
      </c>
      <c r="BM142" s="77"/>
      <c r="BN142" s="77"/>
      <c r="BO142" s="77"/>
      <c r="BP142" s="77"/>
      <c r="BQ142" s="187">
        <f t="shared" si="69"/>
        <v>0</v>
      </c>
      <c r="BR142" s="275">
        <v>5</v>
      </c>
      <c r="BS142" s="188">
        <f t="shared" si="70"/>
        <v>0</v>
      </c>
      <c r="BT142" s="188"/>
      <c r="BU142" s="188">
        <f t="shared" si="71"/>
        <v>0</v>
      </c>
      <c r="BV142" s="188" t="e">
        <f t="shared" si="64"/>
        <v>#DIV/0!</v>
      </c>
      <c r="BW142" s="188">
        <f t="shared" si="72"/>
        <v>0</v>
      </c>
      <c r="BX142" s="188"/>
      <c r="BY142" s="188">
        <f t="shared" si="73"/>
        <v>0</v>
      </c>
      <c r="BZ142" s="89" t="e">
        <f t="shared" si="65"/>
        <v>#DIV/0!</v>
      </c>
      <c r="CA142" s="188">
        <f t="shared" si="74"/>
        <v>0</v>
      </c>
      <c r="CB142" s="188"/>
      <c r="CC142" s="188">
        <f t="shared" si="75"/>
        <v>0</v>
      </c>
      <c r="CD142" s="188" t="e">
        <f t="shared" si="66"/>
        <v>#DIV/0!</v>
      </c>
      <c r="CE142" s="188">
        <f t="shared" si="76"/>
        <v>0</v>
      </c>
      <c r="CF142" s="188"/>
      <c r="CG142" s="188">
        <f t="shared" si="77"/>
        <v>0</v>
      </c>
      <c r="CH142" s="188" t="e">
        <f t="shared" si="67"/>
        <v>#DIV/0!</v>
      </c>
      <c r="CI142" s="188">
        <f t="shared" si="78"/>
        <v>0</v>
      </c>
      <c r="CJ142" s="188"/>
      <c r="CK142" s="188">
        <f t="shared" si="79"/>
        <v>0</v>
      </c>
      <c r="CL142" s="89" t="e">
        <f t="shared" si="68"/>
        <v>#DIV/0!</v>
      </c>
      <c r="CM142" s="89"/>
      <c r="CN142" s="188"/>
      <c r="CO142" s="188"/>
      <c r="CP142" s="188"/>
      <c r="CQ142" s="188"/>
      <c r="CR142" s="53"/>
      <c r="CS142" s="24">
        <v>142</v>
      </c>
      <c r="CT142" s="1"/>
    </row>
    <row r="143" spans="1:98" ht="142.5" x14ac:dyDescent="0.25">
      <c r="A143" s="276">
        <v>7</v>
      </c>
      <c r="B143" s="269" t="s">
        <v>4575</v>
      </c>
      <c r="C143" s="269" t="s">
        <v>1267</v>
      </c>
      <c r="D143" s="189" t="s">
        <v>267</v>
      </c>
      <c r="E143" s="276" t="s">
        <v>339</v>
      </c>
      <c r="F143" s="189" t="s">
        <v>335</v>
      </c>
      <c r="G143" s="172">
        <v>3</v>
      </c>
      <c r="H143" s="276" t="s">
        <v>343</v>
      </c>
      <c r="I143" s="276">
        <v>114</v>
      </c>
      <c r="J143" s="276" t="s">
        <v>344</v>
      </c>
      <c r="K143" s="276" t="s">
        <v>922</v>
      </c>
      <c r="L143" s="189" t="s">
        <v>345</v>
      </c>
      <c r="M143" s="276" t="s">
        <v>271</v>
      </c>
      <c r="N143" s="189" t="s">
        <v>332</v>
      </c>
      <c r="O143" s="189" t="s">
        <v>78</v>
      </c>
      <c r="P143" s="276" t="s">
        <v>63</v>
      </c>
      <c r="Q143" s="276" t="s">
        <v>332</v>
      </c>
      <c r="R143" s="276"/>
      <c r="S143" s="276"/>
      <c r="T143" s="276" t="s">
        <v>79</v>
      </c>
      <c r="U143" s="276"/>
      <c r="V143" s="276"/>
      <c r="W143" s="276"/>
      <c r="X143" s="173" t="e">
        <f t="shared" si="80"/>
        <v>#DIV/0!</v>
      </c>
      <c r="Y143" s="276">
        <f t="shared" si="81"/>
        <v>0</v>
      </c>
      <c r="Z143" s="276">
        <v>1</v>
      </c>
      <c r="AA143" s="276" t="s">
        <v>1225</v>
      </c>
      <c r="AB143" s="276"/>
      <c r="AC143" s="275"/>
      <c r="AD143" s="189"/>
      <c r="AE143" s="189"/>
      <c r="AF143" s="79"/>
      <c r="AG143" s="83" t="s">
        <v>1364</v>
      </c>
      <c r="AH143" s="77"/>
      <c r="AI143" s="275">
        <v>1</v>
      </c>
      <c r="AJ143" s="83" t="str">
        <f t="shared" si="55"/>
        <v>03061141</v>
      </c>
      <c r="AK143" s="276" t="s">
        <v>3514</v>
      </c>
      <c r="AL143" s="276" t="s">
        <v>78</v>
      </c>
      <c r="AM143" s="189"/>
      <c r="AN143" s="276" t="s">
        <v>2242</v>
      </c>
      <c r="AO143" s="276" t="s">
        <v>10</v>
      </c>
      <c r="AP143" s="276" t="s">
        <v>3515</v>
      </c>
      <c r="AQ143" s="276"/>
      <c r="AR143" s="276" t="s">
        <v>3516</v>
      </c>
      <c r="AS143" s="189" t="s">
        <v>1229</v>
      </c>
      <c r="AT143" s="276" t="s">
        <v>3517</v>
      </c>
      <c r="AU143" s="189" t="s">
        <v>1229</v>
      </c>
      <c r="AV143" s="276" t="s">
        <v>2673</v>
      </c>
      <c r="AW143" s="76"/>
      <c r="AX143" s="275">
        <v>1</v>
      </c>
      <c r="AY143" s="276" t="str">
        <f t="shared" si="56"/>
        <v>030611411</v>
      </c>
      <c r="AZ143" s="276" t="s">
        <v>2993</v>
      </c>
      <c r="BA143" s="276" t="s">
        <v>3510</v>
      </c>
      <c r="BB143" s="276" t="s">
        <v>1229</v>
      </c>
      <c r="BC143" s="275" t="s">
        <v>11</v>
      </c>
      <c r="BD143" s="275" t="s">
        <v>3058</v>
      </c>
      <c r="BE143" s="275" t="s">
        <v>9</v>
      </c>
      <c r="BF143" s="276" t="s">
        <v>3511</v>
      </c>
      <c r="BG143" s="77"/>
      <c r="BH143" s="77"/>
      <c r="BI143" s="276" t="s">
        <v>3510</v>
      </c>
      <c r="BJ143" s="276" t="s">
        <v>3512</v>
      </c>
      <c r="BK143" s="276" t="s">
        <v>3513</v>
      </c>
      <c r="BL143" s="276">
        <v>2179700</v>
      </c>
      <c r="BM143" s="77"/>
      <c r="BN143" s="77"/>
      <c r="BO143" s="77"/>
      <c r="BP143" s="77"/>
      <c r="BQ143" s="187">
        <f t="shared" si="69"/>
        <v>0</v>
      </c>
      <c r="BR143" s="275">
        <v>5</v>
      </c>
      <c r="BS143" s="188">
        <f t="shared" si="70"/>
        <v>0</v>
      </c>
      <c r="BT143" s="188"/>
      <c r="BU143" s="188">
        <f t="shared" si="71"/>
        <v>0</v>
      </c>
      <c r="BV143" s="188" t="e">
        <f t="shared" si="64"/>
        <v>#DIV/0!</v>
      </c>
      <c r="BW143" s="188">
        <f t="shared" si="72"/>
        <v>0</v>
      </c>
      <c r="BX143" s="188"/>
      <c r="BY143" s="188">
        <f t="shared" si="73"/>
        <v>0</v>
      </c>
      <c r="BZ143" s="89" t="e">
        <f t="shared" si="65"/>
        <v>#DIV/0!</v>
      </c>
      <c r="CA143" s="188">
        <f t="shared" si="74"/>
        <v>0</v>
      </c>
      <c r="CB143" s="188"/>
      <c r="CC143" s="188">
        <f t="shared" si="75"/>
        <v>0</v>
      </c>
      <c r="CD143" s="188" t="e">
        <f t="shared" si="66"/>
        <v>#DIV/0!</v>
      </c>
      <c r="CE143" s="188">
        <f t="shared" si="76"/>
        <v>0</v>
      </c>
      <c r="CF143" s="188"/>
      <c r="CG143" s="188">
        <f t="shared" si="77"/>
        <v>0</v>
      </c>
      <c r="CH143" s="188" t="e">
        <f t="shared" si="67"/>
        <v>#DIV/0!</v>
      </c>
      <c r="CI143" s="188">
        <f t="shared" si="78"/>
        <v>0</v>
      </c>
      <c r="CJ143" s="188"/>
      <c r="CK143" s="188">
        <f t="shared" si="79"/>
        <v>0</v>
      </c>
      <c r="CL143" s="89" t="e">
        <f t="shared" si="68"/>
        <v>#DIV/0!</v>
      </c>
      <c r="CM143" s="89"/>
      <c r="CN143" s="188"/>
      <c r="CO143" s="188"/>
      <c r="CP143" s="188"/>
      <c r="CQ143" s="188"/>
      <c r="CR143" s="2"/>
      <c r="CS143" s="24">
        <v>143</v>
      </c>
    </row>
    <row r="144" spans="1:98" ht="99.75" x14ac:dyDescent="0.25">
      <c r="A144" s="276">
        <v>7</v>
      </c>
      <c r="B144" s="269" t="s">
        <v>4575</v>
      </c>
      <c r="C144" s="269" t="s">
        <v>1267</v>
      </c>
      <c r="D144" s="189" t="s">
        <v>267</v>
      </c>
      <c r="E144" s="276" t="s">
        <v>339</v>
      </c>
      <c r="F144" s="189" t="s">
        <v>335</v>
      </c>
      <c r="G144" s="172">
        <v>4</v>
      </c>
      <c r="H144" s="276" t="s">
        <v>346</v>
      </c>
      <c r="I144" s="276">
        <v>115</v>
      </c>
      <c r="J144" s="276" t="s">
        <v>347</v>
      </c>
      <c r="K144" s="276" t="s">
        <v>923</v>
      </c>
      <c r="L144" s="189" t="s">
        <v>348</v>
      </c>
      <c r="M144" s="276" t="s">
        <v>271</v>
      </c>
      <c r="N144" s="189" t="s">
        <v>332</v>
      </c>
      <c r="O144" s="189" t="s">
        <v>62</v>
      </c>
      <c r="P144" s="276" t="s">
        <v>63</v>
      </c>
      <c r="Q144" s="276" t="s">
        <v>332</v>
      </c>
      <c r="R144" s="276"/>
      <c r="S144" s="276"/>
      <c r="T144" s="276" t="s">
        <v>65</v>
      </c>
      <c r="U144" s="276"/>
      <c r="V144" s="276"/>
      <c r="W144" s="78" t="s">
        <v>334</v>
      </c>
      <c r="X144" s="173" t="e">
        <f t="shared" si="80"/>
        <v>#DIV/0!</v>
      </c>
      <c r="Y144" s="276">
        <f t="shared" si="81"/>
        <v>1</v>
      </c>
      <c r="Z144" s="276">
        <v>0</v>
      </c>
      <c r="AA144" s="276" t="s">
        <v>1220</v>
      </c>
      <c r="AB144" s="276">
        <v>1</v>
      </c>
      <c r="AC144" s="275"/>
      <c r="AD144" s="189"/>
      <c r="AE144" s="189"/>
      <c r="AF144" s="79"/>
      <c r="AG144" s="83" t="s">
        <v>1364</v>
      </c>
      <c r="AH144" s="77"/>
      <c r="AI144" s="275">
        <v>1</v>
      </c>
      <c r="AJ144" s="83" t="str">
        <f t="shared" si="55"/>
        <v>03061151</v>
      </c>
      <c r="AK144" s="276" t="s">
        <v>3518</v>
      </c>
      <c r="AL144" s="276" t="s">
        <v>1259</v>
      </c>
      <c r="AM144" s="189"/>
      <c r="AN144" s="276" t="s">
        <v>2242</v>
      </c>
      <c r="AO144" s="276" t="s">
        <v>10</v>
      </c>
      <c r="AP144" s="276" t="s">
        <v>3519</v>
      </c>
      <c r="AQ144" s="276" t="s">
        <v>3520</v>
      </c>
      <c r="AR144" s="276" t="s">
        <v>3521</v>
      </c>
      <c r="AS144" s="189" t="s">
        <v>1229</v>
      </c>
      <c r="AT144" s="276" t="s">
        <v>3522</v>
      </c>
      <c r="AU144" s="189" t="s">
        <v>1229</v>
      </c>
      <c r="AV144" s="275" t="s">
        <v>2484</v>
      </c>
      <c r="AW144" s="76"/>
      <c r="AX144" s="275">
        <v>1</v>
      </c>
      <c r="AY144" s="276" t="str">
        <f t="shared" si="56"/>
        <v>030611511</v>
      </c>
      <c r="AZ144" s="276" t="s">
        <v>2993</v>
      </c>
      <c r="BA144" s="276" t="s">
        <v>3510</v>
      </c>
      <c r="BB144" s="276" t="s">
        <v>1229</v>
      </c>
      <c r="BC144" s="275" t="s">
        <v>11</v>
      </c>
      <c r="BD144" s="275" t="s">
        <v>2484</v>
      </c>
      <c r="BE144" s="275" t="s">
        <v>9</v>
      </c>
      <c r="BF144" s="276" t="s">
        <v>3511</v>
      </c>
      <c r="BG144" s="77"/>
      <c r="BH144" s="77"/>
      <c r="BI144" s="276" t="s">
        <v>3510</v>
      </c>
      <c r="BJ144" s="276" t="s">
        <v>3523</v>
      </c>
      <c r="BK144" s="276" t="s">
        <v>3524</v>
      </c>
      <c r="BL144" s="276">
        <v>2179700</v>
      </c>
      <c r="BM144" s="207">
        <v>2015</v>
      </c>
      <c r="BN144" s="157">
        <v>1.6E-2</v>
      </c>
      <c r="BO144" s="152">
        <v>0.5</v>
      </c>
      <c r="BP144" s="152">
        <v>1</v>
      </c>
      <c r="BQ144" s="187">
        <f t="shared" si="69"/>
        <v>0.48399999999999999</v>
      </c>
      <c r="BR144" s="275">
        <v>5</v>
      </c>
      <c r="BS144" s="188">
        <f t="shared" si="70"/>
        <v>0.1128</v>
      </c>
      <c r="BT144" s="188">
        <v>0.01</v>
      </c>
      <c r="BU144" s="188">
        <f t="shared" si="71"/>
        <v>-6.0000000000000001E-3</v>
      </c>
      <c r="BV144" s="188">
        <f t="shared" si="64"/>
        <v>-1.2396694214876033E-2</v>
      </c>
      <c r="BW144" s="188">
        <f t="shared" si="72"/>
        <v>0.20960000000000001</v>
      </c>
      <c r="BX144" s="188">
        <v>0.12</v>
      </c>
      <c r="BY144" s="188">
        <f t="shared" si="73"/>
        <v>0.104</v>
      </c>
      <c r="BZ144" s="89">
        <f t="shared" si="65"/>
        <v>0.21487603305785125</v>
      </c>
      <c r="CA144" s="188">
        <f t="shared" si="74"/>
        <v>0.30640000000000001</v>
      </c>
      <c r="CB144" s="188"/>
      <c r="CC144" s="188">
        <f t="shared" si="75"/>
        <v>-1.6E-2</v>
      </c>
      <c r="CD144" s="188">
        <f t="shared" si="66"/>
        <v>-3.3057851239669422E-2</v>
      </c>
      <c r="CE144" s="188">
        <f t="shared" si="76"/>
        <v>0.4032</v>
      </c>
      <c r="CF144" s="188"/>
      <c r="CG144" s="188">
        <f t="shared" si="77"/>
        <v>-1.6E-2</v>
      </c>
      <c r="CH144" s="188">
        <f t="shared" si="67"/>
        <v>-3.3057851239669422E-2</v>
      </c>
      <c r="CI144" s="188">
        <f t="shared" si="78"/>
        <v>0.5</v>
      </c>
      <c r="CJ144" s="188"/>
      <c r="CK144" s="188">
        <f t="shared" si="79"/>
        <v>-1.6E-2</v>
      </c>
      <c r="CL144" s="89">
        <f t="shared" si="68"/>
        <v>-3.3057851239669422E-2</v>
      </c>
      <c r="CM144" s="89"/>
      <c r="CN144" s="188"/>
      <c r="CO144" s="188"/>
      <c r="CP144" s="188"/>
      <c r="CQ144" s="188"/>
      <c r="CR144" s="2"/>
      <c r="CS144" s="2">
        <v>144</v>
      </c>
    </row>
    <row r="145" spans="1:101" ht="114" x14ac:dyDescent="0.25">
      <c r="A145" s="276">
        <v>7</v>
      </c>
      <c r="B145" s="269" t="s">
        <v>4575</v>
      </c>
      <c r="C145" s="269" t="s">
        <v>1267</v>
      </c>
      <c r="D145" s="189" t="s">
        <v>267</v>
      </c>
      <c r="E145" s="276" t="s">
        <v>339</v>
      </c>
      <c r="F145" s="189" t="s">
        <v>335</v>
      </c>
      <c r="G145" s="172">
        <v>5</v>
      </c>
      <c r="H145" s="276" t="s">
        <v>349</v>
      </c>
      <c r="I145" s="276">
        <v>116</v>
      </c>
      <c r="J145" s="276" t="s">
        <v>350</v>
      </c>
      <c r="K145" s="276" t="s">
        <v>924</v>
      </c>
      <c r="L145" s="189" t="s">
        <v>351</v>
      </c>
      <c r="M145" s="276" t="s">
        <v>271</v>
      </c>
      <c r="N145" s="189" t="s">
        <v>332</v>
      </c>
      <c r="O145" s="189" t="s">
        <v>78</v>
      </c>
      <c r="P145" s="276" t="s">
        <v>63</v>
      </c>
      <c r="Q145" s="276" t="s">
        <v>332</v>
      </c>
      <c r="R145" s="276"/>
      <c r="S145" s="276"/>
      <c r="T145" s="276" t="s">
        <v>79</v>
      </c>
      <c r="U145" s="276"/>
      <c r="V145" s="276"/>
      <c r="W145" s="276"/>
      <c r="X145" s="173" t="e">
        <f t="shared" si="80"/>
        <v>#DIV/0!</v>
      </c>
      <c r="Y145" s="276">
        <f t="shared" si="81"/>
        <v>0</v>
      </c>
      <c r="Z145" s="276">
        <v>0</v>
      </c>
      <c r="AA145" s="276" t="s">
        <v>1220</v>
      </c>
      <c r="AB145" s="276"/>
      <c r="AC145" s="275"/>
      <c r="AD145" s="189"/>
      <c r="AE145" s="189"/>
      <c r="AF145" s="79"/>
      <c r="AG145" s="83" t="s">
        <v>1364</v>
      </c>
      <c r="AH145" s="77"/>
      <c r="AI145" s="275">
        <v>1</v>
      </c>
      <c r="AJ145" s="83" t="str">
        <f t="shared" si="55"/>
        <v>03061161</v>
      </c>
      <c r="AK145" s="276" t="s">
        <v>3525</v>
      </c>
      <c r="AL145" s="276" t="s">
        <v>78</v>
      </c>
      <c r="AM145" s="83" t="s">
        <v>3111</v>
      </c>
      <c r="AN145" s="276" t="s">
        <v>2242</v>
      </c>
      <c r="AO145" s="276" t="s">
        <v>10</v>
      </c>
      <c r="AP145" s="276" t="s">
        <v>3525</v>
      </c>
      <c r="AQ145" s="276" t="s">
        <v>2382</v>
      </c>
      <c r="AR145" s="276" t="s">
        <v>3526</v>
      </c>
      <c r="AS145" s="189" t="s">
        <v>1229</v>
      </c>
      <c r="AT145" s="276" t="s">
        <v>2382</v>
      </c>
      <c r="AU145" s="276" t="s">
        <v>2382</v>
      </c>
      <c r="AV145" s="275" t="s">
        <v>2484</v>
      </c>
      <c r="AW145" s="76"/>
      <c r="AX145" s="275">
        <v>1</v>
      </c>
      <c r="AY145" s="276" t="str">
        <f t="shared" si="56"/>
        <v>030611611</v>
      </c>
      <c r="AZ145" s="276" t="s">
        <v>2993</v>
      </c>
      <c r="BA145" s="276" t="s">
        <v>3510</v>
      </c>
      <c r="BB145" s="276" t="s">
        <v>1229</v>
      </c>
      <c r="BC145" s="275" t="s">
        <v>11</v>
      </c>
      <c r="BD145" s="275" t="s">
        <v>2484</v>
      </c>
      <c r="BE145" s="275" t="s">
        <v>9</v>
      </c>
      <c r="BF145" s="276" t="s">
        <v>3511</v>
      </c>
      <c r="BG145" s="77"/>
      <c r="BH145" s="77"/>
      <c r="BI145" s="276" t="s">
        <v>3510</v>
      </c>
      <c r="BJ145" s="276" t="s">
        <v>3523</v>
      </c>
      <c r="BK145" s="276" t="s">
        <v>3524</v>
      </c>
      <c r="BL145" s="276">
        <v>2179700</v>
      </c>
      <c r="BM145" s="207">
        <v>2015</v>
      </c>
      <c r="BN145" s="157">
        <v>2.1000000000000001E-2</v>
      </c>
      <c r="BO145" s="152">
        <v>0.5</v>
      </c>
      <c r="BP145" s="152">
        <v>1</v>
      </c>
      <c r="BQ145" s="187">
        <f t="shared" si="69"/>
        <v>0.47899999999999998</v>
      </c>
      <c r="BR145" s="275">
        <v>5</v>
      </c>
      <c r="BS145" s="188">
        <f t="shared" si="70"/>
        <v>0.1168</v>
      </c>
      <c r="BT145" s="188">
        <v>0.22</v>
      </c>
      <c r="BU145" s="188">
        <f t="shared" si="71"/>
        <v>0.19900000000000001</v>
      </c>
      <c r="BV145" s="188">
        <f t="shared" si="64"/>
        <v>0.41544885177453028</v>
      </c>
      <c r="BW145" s="188">
        <f t="shared" si="72"/>
        <v>0.21259999999999998</v>
      </c>
      <c r="BX145" s="188">
        <v>0.24</v>
      </c>
      <c r="BY145" s="188">
        <f t="shared" si="73"/>
        <v>0.219</v>
      </c>
      <c r="BZ145" s="89">
        <f t="shared" si="65"/>
        <v>0.45720250521920669</v>
      </c>
      <c r="CA145" s="188">
        <f t="shared" si="74"/>
        <v>0.30840000000000001</v>
      </c>
      <c r="CB145" s="188"/>
      <c r="CC145" s="188">
        <f t="shared" si="75"/>
        <v>-2.1000000000000001E-2</v>
      </c>
      <c r="CD145" s="188">
        <f t="shared" si="66"/>
        <v>-4.3841336116910233E-2</v>
      </c>
      <c r="CE145" s="188">
        <f t="shared" si="76"/>
        <v>0.4042</v>
      </c>
      <c r="CF145" s="188"/>
      <c r="CG145" s="188">
        <f t="shared" si="77"/>
        <v>-2.1000000000000001E-2</v>
      </c>
      <c r="CH145" s="188">
        <f t="shared" si="67"/>
        <v>-4.3841336116910233E-2</v>
      </c>
      <c r="CI145" s="188">
        <f t="shared" si="78"/>
        <v>0.5</v>
      </c>
      <c r="CJ145" s="188"/>
      <c r="CK145" s="188">
        <f t="shared" si="79"/>
        <v>-2.1000000000000001E-2</v>
      </c>
      <c r="CL145" s="89">
        <f t="shared" si="68"/>
        <v>-4.3841336116910233E-2</v>
      </c>
      <c r="CM145" s="89"/>
      <c r="CN145" s="188"/>
      <c r="CO145" s="188"/>
      <c r="CP145" s="188"/>
      <c r="CQ145" s="188"/>
      <c r="CR145" s="2"/>
      <c r="CS145" s="24">
        <v>145</v>
      </c>
      <c r="CT145" s="2"/>
    </row>
    <row r="146" spans="1:101" ht="142.5" x14ac:dyDescent="0.25">
      <c r="A146" s="276">
        <v>7</v>
      </c>
      <c r="B146" s="269" t="s">
        <v>4575</v>
      </c>
      <c r="C146" s="269" t="s">
        <v>1267</v>
      </c>
      <c r="D146" s="189" t="s">
        <v>267</v>
      </c>
      <c r="E146" s="276" t="s">
        <v>339</v>
      </c>
      <c r="F146" s="189" t="s">
        <v>335</v>
      </c>
      <c r="G146" s="172">
        <v>6</v>
      </c>
      <c r="H146" s="276" t="s">
        <v>352</v>
      </c>
      <c r="I146" s="276">
        <v>117</v>
      </c>
      <c r="J146" s="276" t="s">
        <v>353</v>
      </c>
      <c r="K146" s="276" t="s">
        <v>925</v>
      </c>
      <c r="L146" s="189" t="s">
        <v>354</v>
      </c>
      <c r="M146" s="276" t="s">
        <v>271</v>
      </c>
      <c r="N146" s="189" t="s">
        <v>332</v>
      </c>
      <c r="O146" s="189" t="s">
        <v>78</v>
      </c>
      <c r="P146" s="276" t="s">
        <v>63</v>
      </c>
      <c r="Q146" s="276" t="s">
        <v>332</v>
      </c>
      <c r="R146" s="276"/>
      <c r="S146" s="276"/>
      <c r="T146" s="276" t="s">
        <v>79</v>
      </c>
      <c r="U146" s="276"/>
      <c r="V146" s="276"/>
      <c r="W146" s="276"/>
      <c r="X146" s="173" t="e">
        <f t="shared" si="80"/>
        <v>#DIV/0!</v>
      </c>
      <c r="Y146" s="276">
        <f t="shared" si="81"/>
        <v>0</v>
      </c>
      <c r="Z146" s="276">
        <v>0</v>
      </c>
      <c r="AA146" s="276" t="s">
        <v>1220</v>
      </c>
      <c r="AB146" s="276"/>
      <c r="AC146" s="275"/>
      <c r="AD146" s="189"/>
      <c r="AE146" s="189"/>
      <c r="AF146" s="79"/>
      <c r="AG146" s="83" t="s">
        <v>1364</v>
      </c>
      <c r="AH146" s="77"/>
      <c r="AI146" s="275">
        <v>1</v>
      </c>
      <c r="AJ146" s="83" t="str">
        <f t="shared" si="55"/>
        <v>03061171</v>
      </c>
      <c r="AK146" s="83" t="s">
        <v>3527</v>
      </c>
      <c r="AL146" s="276" t="s">
        <v>78</v>
      </c>
      <c r="AM146" s="83" t="s">
        <v>3111</v>
      </c>
      <c r="AN146" s="276" t="s">
        <v>2242</v>
      </c>
      <c r="AO146" s="276" t="s">
        <v>10</v>
      </c>
      <c r="AP146" s="83" t="s">
        <v>3528</v>
      </c>
      <c r="AQ146" s="83"/>
      <c r="AR146" s="83" t="s">
        <v>3529</v>
      </c>
      <c r="AS146" s="189" t="s">
        <v>1229</v>
      </c>
      <c r="AT146" s="83" t="s">
        <v>3530</v>
      </c>
      <c r="AU146" s="189" t="s">
        <v>1229</v>
      </c>
      <c r="AV146" s="275" t="s">
        <v>2484</v>
      </c>
      <c r="AW146" s="76"/>
      <c r="AX146" s="275">
        <v>1</v>
      </c>
      <c r="AY146" s="276" t="str">
        <f t="shared" si="56"/>
        <v>030611711</v>
      </c>
      <c r="AZ146" s="276" t="s">
        <v>2993</v>
      </c>
      <c r="BA146" s="276" t="s">
        <v>3510</v>
      </c>
      <c r="BB146" s="276" t="s">
        <v>1229</v>
      </c>
      <c r="BC146" s="275" t="s">
        <v>11</v>
      </c>
      <c r="BD146" s="275" t="s">
        <v>2484</v>
      </c>
      <c r="BE146" s="275" t="s">
        <v>9</v>
      </c>
      <c r="BF146" s="276" t="s">
        <v>3511</v>
      </c>
      <c r="BG146" s="77"/>
      <c r="BH146" s="77"/>
      <c r="BI146" s="276" t="s">
        <v>3510</v>
      </c>
      <c r="BJ146" s="276" t="s">
        <v>3523</v>
      </c>
      <c r="BK146" s="276" t="s">
        <v>3524</v>
      </c>
      <c r="BL146" s="276">
        <v>2179700</v>
      </c>
      <c r="BM146" s="207">
        <v>2015</v>
      </c>
      <c r="BN146" s="157">
        <v>2.1000000000000001E-2</v>
      </c>
      <c r="BO146" s="152">
        <v>0.5</v>
      </c>
      <c r="BP146" s="152">
        <v>1</v>
      </c>
      <c r="BQ146" s="187">
        <f t="shared" si="69"/>
        <v>0.47899999999999998</v>
      </c>
      <c r="BR146" s="275">
        <v>5</v>
      </c>
      <c r="BS146" s="188">
        <f t="shared" si="70"/>
        <v>0.1168</v>
      </c>
      <c r="BT146" s="188">
        <v>0.22</v>
      </c>
      <c r="BU146" s="188">
        <f t="shared" si="71"/>
        <v>0.19900000000000001</v>
      </c>
      <c r="BV146" s="188">
        <f t="shared" si="64"/>
        <v>0.41544885177453028</v>
      </c>
      <c r="BW146" s="188">
        <f t="shared" si="72"/>
        <v>0.21259999999999998</v>
      </c>
      <c r="BX146" s="188">
        <v>0.24</v>
      </c>
      <c r="BY146" s="188">
        <f t="shared" si="73"/>
        <v>0.219</v>
      </c>
      <c r="BZ146" s="89">
        <f t="shared" si="65"/>
        <v>0.45720250521920669</v>
      </c>
      <c r="CA146" s="188">
        <f t="shared" si="74"/>
        <v>0.30840000000000001</v>
      </c>
      <c r="CB146" s="188"/>
      <c r="CC146" s="188">
        <f t="shared" si="75"/>
        <v>-2.1000000000000001E-2</v>
      </c>
      <c r="CD146" s="188">
        <f t="shared" si="66"/>
        <v>-4.3841336116910233E-2</v>
      </c>
      <c r="CE146" s="188">
        <f t="shared" si="76"/>
        <v>0.4042</v>
      </c>
      <c r="CF146" s="188"/>
      <c r="CG146" s="188">
        <f t="shared" si="77"/>
        <v>-2.1000000000000001E-2</v>
      </c>
      <c r="CH146" s="188">
        <f t="shared" si="67"/>
        <v>-4.3841336116910233E-2</v>
      </c>
      <c r="CI146" s="188">
        <f t="shared" si="78"/>
        <v>0.5</v>
      </c>
      <c r="CJ146" s="188"/>
      <c r="CK146" s="188">
        <f t="shared" si="79"/>
        <v>-2.1000000000000001E-2</v>
      </c>
      <c r="CL146" s="89">
        <f t="shared" si="68"/>
        <v>-4.3841336116910233E-2</v>
      </c>
      <c r="CM146" s="89"/>
      <c r="CN146" s="188"/>
      <c r="CO146" s="188"/>
      <c r="CP146" s="188"/>
      <c r="CQ146" s="188"/>
      <c r="CR146" s="2"/>
      <c r="CS146" s="24">
        <v>146</v>
      </c>
      <c r="CT146" s="2"/>
    </row>
    <row r="147" spans="1:101" ht="171" x14ac:dyDescent="0.25">
      <c r="A147" s="276">
        <v>7</v>
      </c>
      <c r="B147" s="269" t="s">
        <v>4575</v>
      </c>
      <c r="C147" s="269" t="s">
        <v>1267</v>
      </c>
      <c r="D147" s="189" t="s">
        <v>267</v>
      </c>
      <c r="E147" s="276" t="s">
        <v>339</v>
      </c>
      <c r="F147" s="189" t="s">
        <v>335</v>
      </c>
      <c r="G147" s="172">
        <v>7</v>
      </c>
      <c r="H147" s="276" t="s">
        <v>355</v>
      </c>
      <c r="I147" s="276">
        <v>118</v>
      </c>
      <c r="J147" s="276" t="s">
        <v>356</v>
      </c>
      <c r="K147" s="276" t="s">
        <v>926</v>
      </c>
      <c r="L147" s="189" t="s">
        <v>357</v>
      </c>
      <c r="M147" s="276" t="s">
        <v>271</v>
      </c>
      <c r="N147" s="189" t="s">
        <v>332</v>
      </c>
      <c r="O147" s="189" t="s">
        <v>78</v>
      </c>
      <c r="P147" s="276" t="s">
        <v>63</v>
      </c>
      <c r="Q147" s="276" t="s">
        <v>332</v>
      </c>
      <c r="R147" s="276"/>
      <c r="S147" s="276"/>
      <c r="T147" s="276" t="s">
        <v>79</v>
      </c>
      <c r="U147" s="276"/>
      <c r="V147" s="276"/>
      <c r="W147" s="276"/>
      <c r="X147" s="173" t="e">
        <f t="shared" si="80"/>
        <v>#DIV/0!</v>
      </c>
      <c r="Y147" s="276">
        <f t="shared" si="81"/>
        <v>0</v>
      </c>
      <c r="Z147" s="276">
        <v>0</v>
      </c>
      <c r="AA147" s="276" t="s">
        <v>1220</v>
      </c>
      <c r="AB147" s="276"/>
      <c r="AC147" s="275"/>
      <c r="AD147" s="189"/>
      <c r="AE147" s="189"/>
      <c r="AF147" s="79"/>
      <c r="AG147" s="83" t="s">
        <v>1364</v>
      </c>
      <c r="AH147" s="77"/>
      <c r="AI147" s="275">
        <v>1</v>
      </c>
      <c r="AJ147" s="83" t="str">
        <f t="shared" si="55"/>
        <v>03061181</v>
      </c>
      <c r="AK147" s="276" t="s">
        <v>3531</v>
      </c>
      <c r="AL147" s="276" t="s">
        <v>78</v>
      </c>
      <c r="AM147" s="189"/>
      <c r="AN147" s="276" t="s">
        <v>2242</v>
      </c>
      <c r="AO147" s="276" t="s">
        <v>10</v>
      </c>
      <c r="AP147" s="83" t="s">
        <v>3532</v>
      </c>
      <c r="AQ147" s="83"/>
      <c r="AR147" s="83" t="s">
        <v>3533</v>
      </c>
      <c r="AS147" s="189" t="s">
        <v>1229</v>
      </c>
      <c r="AT147" s="83" t="s">
        <v>3534</v>
      </c>
      <c r="AU147" s="189" t="s">
        <v>1229</v>
      </c>
      <c r="AV147" s="275" t="s">
        <v>3535</v>
      </c>
      <c r="AW147" s="76"/>
      <c r="AX147" s="275">
        <v>1</v>
      </c>
      <c r="AY147" s="276" t="str">
        <f t="shared" si="56"/>
        <v>030611811</v>
      </c>
      <c r="AZ147" s="276" t="s">
        <v>2993</v>
      </c>
      <c r="BA147" s="276" t="s">
        <v>3510</v>
      </c>
      <c r="BB147" s="276" t="s">
        <v>1229</v>
      </c>
      <c r="BC147" s="275" t="s">
        <v>11</v>
      </c>
      <c r="BD147" s="275" t="s">
        <v>3535</v>
      </c>
      <c r="BE147" s="275" t="s">
        <v>9</v>
      </c>
      <c r="BF147" s="276" t="s">
        <v>3511</v>
      </c>
      <c r="BG147" s="77"/>
      <c r="BH147" s="77"/>
      <c r="BI147" s="276" t="s">
        <v>3510</v>
      </c>
      <c r="BJ147" s="276" t="s">
        <v>3523</v>
      </c>
      <c r="BK147" s="276" t="s">
        <v>3524</v>
      </c>
      <c r="BL147" s="276">
        <v>2179700</v>
      </c>
      <c r="BM147" s="207">
        <v>2014</v>
      </c>
      <c r="BN147" s="152">
        <v>7.0000000000000007E-2</v>
      </c>
      <c r="BO147" s="152">
        <v>0.5</v>
      </c>
      <c r="BP147" s="152">
        <v>1</v>
      </c>
      <c r="BQ147" s="187">
        <f t="shared" si="69"/>
        <v>0.43</v>
      </c>
      <c r="BR147" s="275">
        <v>5</v>
      </c>
      <c r="BS147" s="188">
        <f t="shared" si="70"/>
        <v>0.156</v>
      </c>
      <c r="BT147" s="188">
        <v>0.04</v>
      </c>
      <c r="BU147" s="188">
        <f t="shared" si="71"/>
        <v>-3.0000000000000006E-2</v>
      </c>
      <c r="BV147" s="188">
        <f t="shared" si="64"/>
        <v>-6.9767441860465129E-2</v>
      </c>
      <c r="BW147" s="188">
        <f t="shared" si="72"/>
        <v>0.24199999999999999</v>
      </c>
      <c r="BX147" s="188">
        <v>0.33</v>
      </c>
      <c r="BY147" s="188">
        <f t="shared" si="73"/>
        <v>0.26</v>
      </c>
      <c r="BZ147" s="89">
        <f t="shared" si="65"/>
        <v>0.60465116279069775</v>
      </c>
      <c r="CA147" s="188">
        <f t="shared" si="74"/>
        <v>0.32800000000000001</v>
      </c>
      <c r="CB147" s="188"/>
      <c r="CC147" s="188">
        <f t="shared" si="75"/>
        <v>-7.0000000000000007E-2</v>
      </c>
      <c r="CD147" s="188">
        <f t="shared" si="66"/>
        <v>-0.16279069767441862</v>
      </c>
      <c r="CE147" s="188">
        <f t="shared" si="76"/>
        <v>0.41399999999999998</v>
      </c>
      <c r="CF147" s="188"/>
      <c r="CG147" s="188">
        <f t="shared" si="77"/>
        <v>-7.0000000000000007E-2</v>
      </c>
      <c r="CH147" s="188">
        <f t="shared" si="67"/>
        <v>-0.16279069767441862</v>
      </c>
      <c r="CI147" s="188">
        <f t="shared" si="78"/>
        <v>0.49999999999999994</v>
      </c>
      <c r="CJ147" s="188"/>
      <c r="CK147" s="188">
        <f t="shared" si="79"/>
        <v>-7.0000000000000007E-2</v>
      </c>
      <c r="CL147" s="89">
        <f t="shared" si="68"/>
        <v>-0.16279069767441862</v>
      </c>
      <c r="CM147" s="89"/>
      <c r="CN147" s="188"/>
      <c r="CO147" s="188"/>
      <c r="CP147" s="188"/>
      <c r="CQ147" s="188"/>
      <c r="CR147" s="2"/>
      <c r="CS147" s="2">
        <v>147</v>
      </c>
      <c r="CT147" s="2"/>
    </row>
    <row r="148" spans="1:101" ht="285" x14ac:dyDescent="0.25">
      <c r="A148" s="276">
        <v>8</v>
      </c>
      <c r="B148" s="269" t="s">
        <v>4575</v>
      </c>
      <c r="C148" s="269" t="s">
        <v>1267</v>
      </c>
      <c r="D148" s="189"/>
      <c r="E148" s="276"/>
      <c r="F148" s="189"/>
      <c r="G148" s="172"/>
      <c r="H148" s="276"/>
      <c r="I148" s="276"/>
      <c r="J148" s="276"/>
      <c r="K148" s="276"/>
      <c r="L148" s="189"/>
      <c r="M148" s="276"/>
      <c r="N148" s="189"/>
      <c r="O148" s="189"/>
      <c r="P148" s="276"/>
      <c r="Q148" s="276"/>
      <c r="R148" s="276"/>
      <c r="S148" s="276"/>
      <c r="T148" s="276"/>
      <c r="U148" s="276"/>
      <c r="V148" s="276"/>
      <c r="W148" s="276"/>
      <c r="X148" s="173"/>
      <c r="Y148" s="276"/>
      <c r="Z148" s="276"/>
      <c r="AA148" s="276" t="s">
        <v>1220</v>
      </c>
      <c r="AB148" s="276"/>
      <c r="AC148" s="275"/>
      <c r="AD148" s="189" t="s">
        <v>4516</v>
      </c>
      <c r="AE148" s="189" t="s">
        <v>4517</v>
      </c>
      <c r="AF148" s="79"/>
      <c r="AG148" s="276" t="s">
        <v>3166</v>
      </c>
      <c r="AH148" s="77"/>
      <c r="AI148" s="275"/>
      <c r="AJ148" s="83" t="str">
        <f t="shared" ref="AJ148:AJ179" si="82">CONCATENATE(K148,AI148)</f>
        <v/>
      </c>
      <c r="AK148" s="189" t="s">
        <v>4517</v>
      </c>
      <c r="AL148" s="189" t="s">
        <v>1259</v>
      </c>
      <c r="AM148" s="189"/>
      <c r="AN148" s="83" t="s">
        <v>4539</v>
      </c>
      <c r="AO148" s="78" t="s">
        <v>10</v>
      </c>
      <c r="AP148" s="83" t="s">
        <v>4518</v>
      </c>
      <c r="AQ148" s="267" t="s">
        <v>4540</v>
      </c>
      <c r="AR148" s="209" t="s">
        <v>4541</v>
      </c>
      <c r="AS148" s="276" t="s">
        <v>3173</v>
      </c>
      <c r="AT148" s="209" t="s">
        <v>4542</v>
      </c>
      <c r="AU148" s="276" t="s">
        <v>4519</v>
      </c>
      <c r="AV148" s="275" t="s">
        <v>4358</v>
      </c>
      <c r="AW148" s="189" t="s">
        <v>4520</v>
      </c>
      <c r="AX148" s="275"/>
      <c r="AY148" s="276" t="str">
        <f t="shared" ref="AY148:AY179" si="83">CONCATENATE(AJ148,AX148)</f>
        <v/>
      </c>
      <c r="AZ148" s="276" t="s">
        <v>4521</v>
      </c>
      <c r="BA148" s="189" t="s">
        <v>4522</v>
      </c>
      <c r="BB148" s="276" t="s">
        <v>1229</v>
      </c>
      <c r="BC148" s="275" t="s">
        <v>11</v>
      </c>
      <c r="BD148" s="275" t="s">
        <v>4358</v>
      </c>
      <c r="BE148" s="275" t="s">
        <v>9</v>
      </c>
      <c r="BF148" s="275" t="s">
        <v>17</v>
      </c>
      <c r="BG148" s="83" t="s">
        <v>4523</v>
      </c>
      <c r="BH148" s="77"/>
      <c r="BI148" s="275" t="s">
        <v>3173</v>
      </c>
      <c r="BJ148" s="276" t="s">
        <v>4519</v>
      </c>
      <c r="BK148" s="77"/>
      <c r="BL148" s="275" t="s">
        <v>4337</v>
      </c>
      <c r="BM148" s="127">
        <v>42339</v>
      </c>
      <c r="BN148" s="115">
        <v>0.86099999999999999</v>
      </c>
      <c r="BO148" s="139">
        <v>0.94</v>
      </c>
      <c r="BP148" s="139">
        <v>0.95</v>
      </c>
      <c r="BQ148" s="87">
        <f>(BO148-BN148)*100</f>
        <v>7.8999999999999959</v>
      </c>
      <c r="BR148" s="275">
        <v>5</v>
      </c>
      <c r="BS148" s="188">
        <f>+BN148-(((BQ148)/100/5)*(-1))</f>
        <v>0.87680000000000002</v>
      </c>
      <c r="BT148" s="170">
        <v>0.92100000000000004</v>
      </c>
      <c r="BU148" s="88">
        <f>(BT148-BN148)*100</f>
        <v>6.0000000000000053</v>
      </c>
      <c r="BV148" s="188">
        <f t="shared" si="64"/>
        <v>0.759493670886077</v>
      </c>
      <c r="BW148" s="188">
        <f>+BN148-(((BQ148)/100/5)*(-2))</f>
        <v>0.89259999999999995</v>
      </c>
      <c r="BX148" s="188"/>
      <c r="BY148" s="88">
        <f>(BX148-BN148)*100</f>
        <v>-86.1</v>
      </c>
      <c r="BZ148" s="89">
        <f t="shared" si="65"/>
        <v>-10.898734177215195</v>
      </c>
      <c r="CA148" s="188">
        <f>+BN148-(((BQ148)/100/5)*(-3))</f>
        <v>0.90839999999999999</v>
      </c>
      <c r="CB148" s="188"/>
      <c r="CC148" s="255">
        <f>(CB148-BN148)*100</f>
        <v>-86.1</v>
      </c>
      <c r="CD148" s="188">
        <f t="shared" si="66"/>
        <v>-10.898734177215195</v>
      </c>
      <c r="CE148" s="188">
        <f>+BN148-(((BQ148)/100/5)*(-4))</f>
        <v>0.92419999999999991</v>
      </c>
      <c r="CF148" s="188"/>
      <c r="CG148" s="88">
        <f>(CF148-BN148)*100</f>
        <v>-86.1</v>
      </c>
      <c r="CH148" s="188">
        <f t="shared" si="67"/>
        <v>-10.898734177215195</v>
      </c>
      <c r="CI148" s="188">
        <f>+BN148-(((BQ148)/100/5)*(-5))</f>
        <v>0.94</v>
      </c>
      <c r="CJ148" s="188"/>
      <c r="CK148" s="88">
        <f>(CJ148-BN148)*100</f>
        <v>-86.1</v>
      </c>
      <c r="CL148" s="89">
        <f t="shared" si="68"/>
        <v>-10.898734177215195</v>
      </c>
      <c r="CM148" s="89"/>
      <c r="CN148" s="188"/>
      <c r="CO148" s="188"/>
      <c r="CP148" s="188"/>
      <c r="CQ148" s="188"/>
      <c r="CR148" s="2"/>
      <c r="CS148" s="24">
        <v>148</v>
      </c>
      <c r="CT148" s="2"/>
    </row>
    <row r="149" spans="1:101" ht="213.75" customHeight="1" x14ac:dyDescent="0.25">
      <c r="A149" s="276">
        <v>18</v>
      </c>
      <c r="B149" s="269" t="s">
        <v>4575</v>
      </c>
      <c r="C149" s="269" t="s">
        <v>1268</v>
      </c>
      <c r="D149" s="189" t="s">
        <v>358</v>
      </c>
      <c r="E149" s="276" t="s">
        <v>362</v>
      </c>
      <c r="F149" s="189" t="s">
        <v>359</v>
      </c>
      <c r="G149" s="172">
        <v>2</v>
      </c>
      <c r="H149" s="276" t="s">
        <v>364</v>
      </c>
      <c r="I149" s="276">
        <v>120</v>
      </c>
      <c r="J149" s="276" t="s">
        <v>365</v>
      </c>
      <c r="K149" s="276" t="s">
        <v>928</v>
      </c>
      <c r="L149" s="189" t="s">
        <v>2529</v>
      </c>
      <c r="M149" s="276" t="s">
        <v>361</v>
      </c>
      <c r="N149" s="189" t="s">
        <v>361</v>
      </c>
      <c r="O149" s="189" t="s">
        <v>78</v>
      </c>
      <c r="P149" s="276" t="s">
        <v>108</v>
      </c>
      <c r="Q149" s="276" t="s">
        <v>367</v>
      </c>
      <c r="R149" s="276"/>
      <c r="S149" s="276"/>
      <c r="T149" s="276" t="s">
        <v>79</v>
      </c>
      <c r="U149" s="276"/>
      <c r="V149" s="276"/>
      <c r="W149" s="276"/>
      <c r="X149" s="173">
        <v>12.5</v>
      </c>
      <c r="Y149" s="276">
        <v>0</v>
      </c>
      <c r="Z149" s="276">
        <v>1</v>
      </c>
      <c r="AA149" s="276" t="s">
        <v>1220</v>
      </c>
      <c r="AB149" s="276"/>
      <c r="AC149" s="275" t="s">
        <v>2506</v>
      </c>
      <c r="AD149" s="189" t="s">
        <v>2507</v>
      </c>
      <c r="AE149" s="189" t="s">
        <v>2530</v>
      </c>
      <c r="AF149" s="79"/>
      <c r="AG149" s="276" t="s">
        <v>1236</v>
      </c>
      <c r="AH149" s="77"/>
      <c r="AI149" s="275">
        <v>4</v>
      </c>
      <c r="AJ149" s="83" t="s">
        <v>2531</v>
      </c>
      <c r="AK149" s="189" t="s">
        <v>2532</v>
      </c>
      <c r="AL149" s="276" t="s">
        <v>78</v>
      </c>
      <c r="AM149" s="189"/>
      <c r="AN149" s="79" t="s">
        <v>2526</v>
      </c>
      <c r="AO149" s="275" t="s">
        <v>2510</v>
      </c>
      <c r="AP149" s="189" t="s">
        <v>2533</v>
      </c>
      <c r="AQ149" s="189" t="s">
        <v>2534</v>
      </c>
      <c r="AR149" s="189" t="s">
        <v>2535</v>
      </c>
      <c r="AS149" s="189" t="s">
        <v>2536</v>
      </c>
      <c r="AT149" s="189" t="s">
        <v>2537</v>
      </c>
      <c r="AU149" s="189" t="s">
        <v>2536</v>
      </c>
      <c r="AV149" s="189" t="s">
        <v>1405</v>
      </c>
      <c r="AW149" s="189" t="s">
        <v>2538</v>
      </c>
      <c r="AX149" s="275">
        <v>1</v>
      </c>
      <c r="AY149" s="276" t="s">
        <v>2539</v>
      </c>
      <c r="AZ149" s="276" t="s">
        <v>2540</v>
      </c>
      <c r="BA149" s="189" t="s">
        <v>2541</v>
      </c>
      <c r="BB149" s="189" t="s">
        <v>1229</v>
      </c>
      <c r="BC149" s="189" t="s">
        <v>1360</v>
      </c>
      <c r="BD149" s="189" t="s">
        <v>1405</v>
      </c>
      <c r="BE149" s="189" t="s">
        <v>9</v>
      </c>
      <c r="BF149" s="189" t="s">
        <v>1665</v>
      </c>
      <c r="BG149" s="189" t="s">
        <v>2542</v>
      </c>
      <c r="BH149" s="189" t="s">
        <v>2543</v>
      </c>
      <c r="BI149" s="189" t="s">
        <v>2544</v>
      </c>
      <c r="BJ149" s="189" t="s">
        <v>2545</v>
      </c>
      <c r="BK149" s="189" t="s">
        <v>2536</v>
      </c>
      <c r="BL149" s="189">
        <v>2141110</v>
      </c>
      <c r="BM149" s="78">
        <v>2015</v>
      </c>
      <c r="BN149" s="152">
        <v>0.82199999999999995</v>
      </c>
      <c r="BO149" s="152">
        <v>1</v>
      </c>
      <c r="BP149" s="78" t="s">
        <v>2526</v>
      </c>
      <c r="BQ149" s="187">
        <v>0.17800000000000005</v>
      </c>
      <c r="BR149" s="275">
        <v>5</v>
      </c>
      <c r="BS149" s="188">
        <v>0.85759999999999992</v>
      </c>
      <c r="BT149" s="188">
        <v>0.82199999999999995</v>
      </c>
      <c r="BU149" s="188">
        <v>0</v>
      </c>
      <c r="BV149" s="188">
        <v>0</v>
      </c>
      <c r="BW149" s="188">
        <v>0.89319999999999999</v>
      </c>
      <c r="BX149" s="188">
        <v>0.82199999999999995</v>
      </c>
      <c r="BY149" s="188">
        <v>0</v>
      </c>
      <c r="BZ149" s="89">
        <v>0</v>
      </c>
      <c r="CA149" s="188">
        <v>0.92879999999999996</v>
      </c>
      <c r="CB149" s="188"/>
      <c r="CC149" s="188">
        <v>2.8000000000000025E-2</v>
      </c>
      <c r="CD149" s="188">
        <v>0.15730337078651696</v>
      </c>
      <c r="CE149" s="188">
        <v>0.96439999999999992</v>
      </c>
      <c r="CF149" s="188"/>
      <c r="CG149" s="188">
        <v>2.8000000000000025E-2</v>
      </c>
      <c r="CH149" s="188">
        <v>0.15730337078651696</v>
      </c>
      <c r="CI149" s="188">
        <v>1</v>
      </c>
      <c r="CJ149" s="188"/>
      <c r="CK149" s="188">
        <v>2.8000000000000025E-2</v>
      </c>
      <c r="CL149" s="89">
        <v>0.15730337078651696</v>
      </c>
      <c r="CM149" s="89"/>
      <c r="CN149" s="188"/>
      <c r="CO149" s="188" t="s">
        <v>1366</v>
      </c>
      <c r="CP149" s="188"/>
      <c r="CQ149" s="188"/>
      <c r="CR149" s="2"/>
      <c r="CS149" s="24">
        <v>149</v>
      </c>
      <c r="CT149" s="2"/>
    </row>
    <row r="150" spans="1:101" ht="185.25" x14ac:dyDescent="0.25">
      <c r="A150" s="276">
        <v>18</v>
      </c>
      <c r="B150" s="269" t="s">
        <v>4575</v>
      </c>
      <c r="C150" s="269" t="s">
        <v>1268</v>
      </c>
      <c r="D150" s="189" t="s">
        <v>358</v>
      </c>
      <c r="E150" s="276" t="s">
        <v>362</v>
      </c>
      <c r="F150" s="189" t="s">
        <v>359</v>
      </c>
      <c r="G150" s="172">
        <v>3</v>
      </c>
      <c r="H150" s="276" t="s">
        <v>368</v>
      </c>
      <c r="I150" s="276">
        <v>121</v>
      </c>
      <c r="J150" s="276" t="s">
        <v>369</v>
      </c>
      <c r="K150" s="276" t="s">
        <v>929</v>
      </c>
      <c r="L150" s="189" t="s">
        <v>2546</v>
      </c>
      <c r="M150" s="276" t="s">
        <v>361</v>
      </c>
      <c r="N150" s="189" t="s">
        <v>361</v>
      </c>
      <c r="O150" s="189" t="s">
        <v>137</v>
      </c>
      <c r="P150" s="276" t="s">
        <v>108</v>
      </c>
      <c r="Q150" s="276" t="s">
        <v>367</v>
      </c>
      <c r="R150" s="276"/>
      <c r="S150" s="276"/>
      <c r="T150" s="276" t="s">
        <v>138</v>
      </c>
      <c r="U150" s="276"/>
      <c r="V150" s="276"/>
      <c r="W150" s="276"/>
      <c r="X150" s="173">
        <v>12.5</v>
      </c>
      <c r="Y150" s="276">
        <v>0</v>
      </c>
      <c r="Z150" s="276">
        <v>1</v>
      </c>
      <c r="AA150" s="276" t="s">
        <v>1221</v>
      </c>
      <c r="AB150" s="276"/>
      <c r="AC150" s="275" t="s">
        <v>2547</v>
      </c>
      <c r="AD150" s="189" t="s">
        <v>2548</v>
      </c>
      <c r="AE150" s="189" t="s">
        <v>2549</v>
      </c>
      <c r="AF150" s="189" t="s">
        <v>2550</v>
      </c>
      <c r="AG150" s="276" t="s">
        <v>1236</v>
      </c>
      <c r="AH150" s="77"/>
      <c r="AI150" s="275">
        <v>5</v>
      </c>
      <c r="AJ150" s="83" t="s">
        <v>2551</v>
      </c>
      <c r="AK150" s="83" t="s">
        <v>2552</v>
      </c>
      <c r="AL150" s="276" t="s">
        <v>137</v>
      </c>
      <c r="AM150" s="189"/>
      <c r="AN150" s="78" t="s">
        <v>2526</v>
      </c>
      <c r="AO150" s="275" t="s">
        <v>2510</v>
      </c>
      <c r="AP150" s="189" t="s">
        <v>2553</v>
      </c>
      <c r="AQ150" s="189" t="s">
        <v>2554</v>
      </c>
      <c r="AR150" s="189" t="s">
        <v>2555</v>
      </c>
      <c r="AS150" s="189" t="s">
        <v>2556</v>
      </c>
      <c r="AT150" s="189" t="s">
        <v>1405</v>
      </c>
      <c r="AU150" s="189" t="s">
        <v>1405</v>
      </c>
      <c r="AV150" s="189" t="s">
        <v>1405</v>
      </c>
      <c r="AW150" s="189" t="s">
        <v>2557</v>
      </c>
      <c r="AX150" s="275">
        <v>1</v>
      </c>
      <c r="AY150" s="276" t="s">
        <v>2558</v>
      </c>
      <c r="AZ150" s="276" t="s">
        <v>2540</v>
      </c>
      <c r="BA150" s="83" t="s">
        <v>2541</v>
      </c>
      <c r="BB150" s="83" t="s">
        <v>2559</v>
      </c>
      <c r="BC150" s="83" t="s">
        <v>1359</v>
      </c>
      <c r="BD150" s="83" t="s">
        <v>1405</v>
      </c>
      <c r="BE150" s="83" t="s">
        <v>9</v>
      </c>
      <c r="BF150" s="83" t="s">
        <v>1665</v>
      </c>
      <c r="BG150" s="83" t="s">
        <v>2560</v>
      </c>
      <c r="BH150" s="83" t="s">
        <v>2561</v>
      </c>
      <c r="BI150" s="83" t="s">
        <v>2544</v>
      </c>
      <c r="BJ150" s="83" t="s">
        <v>2545</v>
      </c>
      <c r="BK150" s="83" t="s">
        <v>2562</v>
      </c>
      <c r="BL150" s="83" t="s">
        <v>2563</v>
      </c>
      <c r="BM150" s="83">
        <v>2015</v>
      </c>
      <c r="BN150" s="83">
        <v>0</v>
      </c>
      <c r="BO150" s="107">
        <v>1</v>
      </c>
      <c r="BP150" s="83" t="s">
        <v>2526</v>
      </c>
      <c r="BQ150" s="80">
        <v>1</v>
      </c>
      <c r="BR150" s="275">
        <v>5</v>
      </c>
      <c r="BS150" s="188">
        <v>0.2</v>
      </c>
      <c r="BT150" s="188">
        <v>0</v>
      </c>
      <c r="BU150" s="188">
        <v>0</v>
      </c>
      <c r="BV150" s="188">
        <v>0</v>
      </c>
      <c r="BW150" s="188">
        <v>0.4</v>
      </c>
      <c r="BX150" s="188">
        <v>0</v>
      </c>
      <c r="BY150" s="188">
        <v>0</v>
      </c>
      <c r="BZ150" s="89">
        <v>0</v>
      </c>
      <c r="CA150" s="188">
        <v>0.60000000000000009</v>
      </c>
      <c r="CB150" s="188">
        <v>0</v>
      </c>
      <c r="CC150" s="188">
        <v>0</v>
      </c>
      <c r="CD150" s="188">
        <v>0</v>
      </c>
      <c r="CE150" s="188">
        <v>0.8</v>
      </c>
      <c r="CF150" s="188">
        <v>0</v>
      </c>
      <c r="CG150" s="188">
        <v>0</v>
      </c>
      <c r="CH150" s="188">
        <v>0</v>
      </c>
      <c r="CI150" s="188">
        <v>1</v>
      </c>
      <c r="CJ150" s="188">
        <v>0</v>
      </c>
      <c r="CK150" s="188">
        <v>0</v>
      </c>
      <c r="CL150" s="89">
        <v>0</v>
      </c>
      <c r="CM150" s="89"/>
      <c r="CN150" s="188"/>
      <c r="CO150" s="188" t="s">
        <v>1366</v>
      </c>
      <c r="CP150" s="188"/>
      <c r="CQ150" s="188"/>
      <c r="CR150" s="2"/>
      <c r="CS150" s="2">
        <v>150</v>
      </c>
      <c r="CT150" s="2"/>
    </row>
    <row r="151" spans="1:101" ht="256.5" x14ac:dyDescent="0.25">
      <c r="A151" s="276">
        <v>18</v>
      </c>
      <c r="B151" s="269" t="s">
        <v>4575</v>
      </c>
      <c r="C151" s="269" t="s">
        <v>1268</v>
      </c>
      <c r="D151" s="189" t="s">
        <v>358</v>
      </c>
      <c r="E151" s="276" t="s">
        <v>362</v>
      </c>
      <c r="F151" s="189" t="s">
        <v>359</v>
      </c>
      <c r="G151" s="172">
        <v>4</v>
      </c>
      <c r="H151" s="276" t="s">
        <v>371</v>
      </c>
      <c r="I151" s="276">
        <v>122</v>
      </c>
      <c r="J151" s="276" t="s">
        <v>372</v>
      </c>
      <c r="K151" s="276" t="s">
        <v>930</v>
      </c>
      <c r="L151" s="189" t="s">
        <v>373</v>
      </c>
      <c r="M151" s="276" t="s">
        <v>361</v>
      </c>
      <c r="N151" s="189" t="s">
        <v>361</v>
      </c>
      <c r="O151" s="189" t="s">
        <v>78</v>
      </c>
      <c r="P151" s="276" t="s">
        <v>108</v>
      </c>
      <c r="Q151" s="276" t="s">
        <v>361</v>
      </c>
      <c r="R151" s="276"/>
      <c r="S151" s="276"/>
      <c r="T151" s="276" t="s">
        <v>79</v>
      </c>
      <c r="U151" s="276"/>
      <c r="V151" s="276"/>
      <c r="W151" s="276"/>
      <c r="X151" s="173">
        <v>12.5</v>
      </c>
      <c r="Y151" s="276">
        <v>0</v>
      </c>
      <c r="Z151" s="276">
        <v>1</v>
      </c>
      <c r="AA151" s="276" t="s">
        <v>1221</v>
      </c>
      <c r="AB151" s="276"/>
      <c r="AC151" s="275" t="s">
        <v>2564</v>
      </c>
      <c r="AD151" s="189" t="s">
        <v>2565</v>
      </c>
      <c r="AE151" s="189" t="s">
        <v>2566</v>
      </c>
      <c r="AF151" s="189" t="s">
        <v>2567</v>
      </c>
      <c r="AG151" s="276" t="s">
        <v>1236</v>
      </c>
      <c r="AH151" s="77"/>
      <c r="AI151" s="275">
        <v>6</v>
      </c>
      <c r="AJ151" s="83" t="s">
        <v>2568</v>
      </c>
      <c r="AK151" s="83" t="s">
        <v>2569</v>
      </c>
      <c r="AL151" s="276" t="s">
        <v>78</v>
      </c>
      <c r="AM151" s="189"/>
      <c r="AN151" s="83" t="s">
        <v>2526</v>
      </c>
      <c r="AO151" s="275" t="s">
        <v>2510</v>
      </c>
      <c r="AP151" s="189" t="s">
        <v>2570</v>
      </c>
      <c r="AQ151" s="189" t="s">
        <v>2554</v>
      </c>
      <c r="AR151" s="189" t="s">
        <v>2571</v>
      </c>
      <c r="AS151" s="189" t="s">
        <v>2556</v>
      </c>
      <c r="AT151" s="189" t="s">
        <v>1405</v>
      </c>
      <c r="AU151" s="189" t="s">
        <v>1405</v>
      </c>
      <c r="AV151" s="189" t="s">
        <v>1405</v>
      </c>
      <c r="AW151" s="189" t="s">
        <v>2557</v>
      </c>
      <c r="AX151" s="276">
        <v>1</v>
      </c>
      <c r="AY151" s="276" t="s">
        <v>2572</v>
      </c>
      <c r="AZ151" s="276" t="s">
        <v>2540</v>
      </c>
      <c r="BA151" s="83" t="s">
        <v>2541</v>
      </c>
      <c r="BB151" s="83" t="s">
        <v>2559</v>
      </c>
      <c r="BC151" s="83" t="s">
        <v>1359</v>
      </c>
      <c r="BD151" s="83" t="s">
        <v>1405</v>
      </c>
      <c r="BE151" s="83" t="s">
        <v>9</v>
      </c>
      <c r="BF151" s="83" t="s">
        <v>1665</v>
      </c>
      <c r="BG151" s="83" t="s">
        <v>2573</v>
      </c>
      <c r="BH151" s="163" t="s">
        <v>2561</v>
      </c>
      <c r="BI151" s="83" t="s">
        <v>2544</v>
      </c>
      <c r="BJ151" s="83" t="s">
        <v>2545</v>
      </c>
      <c r="BK151" s="83" t="s">
        <v>2562</v>
      </c>
      <c r="BL151" s="83" t="s">
        <v>2563</v>
      </c>
      <c r="BM151" s="83">
        <v>2015</v>
      </c>
      <c r="BN151" s="83">
        <v>0</v>
      </c>
      <c r="BO151" s="107">
        <v>1</v>
      </c>
      <c r="BP151" s="83" t="s">
        <v>2526</v>
      </c>
      <c r="BQ151" s="80">
        <v>1</v>
      </c>
      <c r="BR151" s="275">
        <v>5</v>
      </c>
      <c r="BS151" s="188">
        <v>0.2</v>
      </c>
      <c r="BT151" s="188">
        <v>0</v>
      </c>
      <c r="BU151" s="188">
        <v>0</v>
      </c>
      <c r="BV151" s="188">
        <v>0</v>
      </c>
      <c r="BW151" s="188">
        <v>0.4</v>
      </c>
      <c r="BX151" s="188">
        <v>0</v>
      </c>
      <c r="BY151" s="188">
        <v>0</v>
      </c>
      <c r="BZ151" s="89">
        <v>0</v>
      </c>
      <c r="CA151" s="188">
        <v>0.60000000000000009</v>
      </c>
      <c r="CB151" s="188">
        <v>0</v>
      </c>
      <c r="CC151" s="188">
        <v>0</v>
      </c>
      <c r="CD151" s="188">
        <v>0</v>
      </c>
      <c r="CE151" s="188">
        <v>0.8</v>
      </c>
      <c r="CF151" s="188">
        <v>0</v>
      </c>
      <c r="CG151" s="188">
        <v>0</v>
      </c>
      <c r="CH151" s="188">
        <v>0</v>
      </c>
      <c r="CI151" s="188">
        <v>1</v>
      </c>
      <c r="CJ151" s="188">
        <v>0</v>
      </c>
      <c r="CK151" s="188">
        <v>0</v>
      </c>
      <c r="CL151" s="89">
        <v>0</v>
      </c>
      <c r="CM151" s="89"/>
      <c r="CN151" s="188"/>
      <c r="CO151" s="188" t="s">
        <v>1366</v>
      </c>
      <c r="CP151" s="188"/>
      <c r="CQ151" s="188"/>
      <c r="CR151" s="2"/>
      <c r="CS151" s="24">
        <v>151</v>
      </c>
      <c r="CT151" s="2"/>
    </row>
    <row r="152" spans="1:101" ht="313.5" customHeight="1" x14ac:dyDescent="0.25">
      <c r="A152" s="276">
        <v>18</v>
      </c>
      <c r="B152" s="269" t="s">
        <v>4575</v>
      </c>
      <c r="C152" s="269" t="s">
        <v>1268</v>
      </c>
      <c r="D152" s="189" t="s">
        <v>358</v>
      </c>
      <c r="E152" s="276" t="s">
        <v>362</v>
      </c>
      <c r="F152" s="189" t="s">
        <v>359</v>
      </c>
      <c r="G152" s="172">
        <v>6</v>
      </c>
      <c r="H152" s="276" t="s">
        <v>376</v>
      </c>
      <c r="I152" s="276">
        <v>124</v>
      </c>
      <c r="J152" s="276" t="s">
        <v>377</v>
      </c>
      <c r="K152" s="276" t="s">
        <v>932</v>
      </c>
      <c r="L152" s="189" t="s">
        <v>378</v>
      </c>
      <c r="M152" s="276" t="s">
        <v>361</v>
      </c>
      <c r="N152" s="189" t="s">
        <v>361</v>
      </c>
      <c r="O152" s="189" t="s">
        <v>78</v>
      </c>
      <c r="P152" s="276" t="s">
        <v>108</v>
      </c>
      <c r="Q152" s="276" t="s">
        <v>367</v>
      </c>
      <c r="R152" s="276"/>
      <c r="S152" s="276"/>
      <c r="T152" s="276" t="s">
        <v>79</v>
      </c>
      <c r="U152" s="276"/>
      <c r="V152" s="276"/>
      <c r="W152" s="276"/>
      <c r="X152" s="173">
        <v>12.5</v>
      </c>
      <c r="Y152" s="276">
        <v>0</v>
      </c>
      <c r="Z152" s="276">
        <v>1</v>
      </c>
      <c r="AA152" s="276" t="s">
        <v>1220</v>
      </c>
      <c r="AB152" s="276"/>
      <c r="AC152" s="275"/>
      <c r="AD152" s="189"/>
      <c r="AE152" s="189"/>
      <c r="AF152" s="79"/>
      <c r="AG152" s="77" t="s">
        <v>1364</v>
      </c>
      <c r="AH152" s="77"/>
      <c r="AI152" s="275">
        <v>8</v>
      </c>
      <c r="AJ152" s="83" t="s">
        <v>2575</v>
      </c>
      <c r="AK152" s="189" t="s">
        <v>2576</v>
      </c>
      <c r="AL152" s="189" t="s">
        <v>78</v>
      </c>
      <c r="AM152" s="189"/>
      <c r="AN152" s="189"/>
      <c r="AO152" s="83"/>
      <c r="AP152" s="83"/>
      <c r="AQ152" s="189"/>
      <c r="AR152" s="189"/>
      <c r="AS152" s="189"/>
      <c r="AT152" s="189"/>
      <c r="AU152" s="189"/>
      <c r="AV152" s="189"/>
      <c r="AW152" s="189"/>
      <c r="AX152" s="276" t="s">
        <v>2577</v>
      </c>
      <c r="AY152" s="276"/>
      <c r="AZ152" s="276"/>
      <c r="BA152" s="276"/>
      <c r="BB152" s="83"/>
      <c r="BC152" s="83"/>
      <c r="BD152" s="83"/>
      <c r="BE152" s="83"/>
      <c r="BF152" s="83"/>
      <c r="BG152" s="83"/>
      <c r="BH152" s="83"/>
      <c r="BI152" s="83"/>
      <c r="BJ152" s="83" t="s">
        <v>2578</v>
      </c>
      <c r="BK152" s="83" t="s">
        <v>2579</v>
      </c>
      <c r="BL152" s="83" t="s">
        <v>2580</v>
      </c>
      <c r="BM152" s="78"/>
      <c r="BN152" s="78"/>
      <c r="BO152" s="78"/>
      <c r="BP152" s="157"/>
      <c r="BQ152" s="157"/>
      <c r="BR152" s="187"/>
      <c r="BS152" s="275"/>
      <c r="BT152" s="89"/>
      <c r="BU152" s="89"/>
      <c r="BV152" s="89"/>
      <c r="BW152" s="89"/>
      <c r="BX152" s="89"/>
      <c r="BY152" s="89"/>
      <c r="BZ152" s="89"/>
      <c r="CA152" s="89"/>
      <c r="CB152" s="89"/>
      <c r="CC152" s="89"/>
      <c r="CD152" s="89"/>
      <c r="CE152" s="89"/>
      <c r="CF152" s="89"/>
      <c r="CG152" s="89"/>
      <c r="CH152" s="89"/>
      <c r="CI152" s="89"/>
      <c r="CJ152" s="89"/>
      <c r="CK152" s="89"/>
      <c r="CL152" s="89"/>
      <c r="CM152" s="89"/>
      <c r="CN152" s="188"/>
      <c r="CO152" s="188" t="s">
        <v>2581</v>
      </c>
      <c r="CP152" s="188"/>
      <c r="CQ152" s="285"/>
      <c r="CS152" s="24">
        <v>152</v>
      </c>
      <c r="CT152" s="49"/>
      <c r="CU152" s="49"/>
      <c r="CV152" s="49"/>
      <c r="CW152" s="49"/>
    </row>
    <row r="153" spans="1:101" ht="185.25" x14ac:dyDescent="0.25">
      <c r="A153" s="276">
        <v>18</v>
      </c>
      <c r="B153" s="269" t="s">
        <v>4575</v>
      </c>
      <c r="C153" s="269" t="s">
        <v>1268</v>
      </c>
      <c r="D153" s="189" t="s">
        <v>358</v>
      </c>
      <c r="E153" s="276" t="s">
        <v>362</v>
      </c>
      <c r="F153" s="189" t="s">
        <v>359</v>
      </c>
      <c r="G153" s="172">
        <v>8</v>
      </c>
      <c r="H153" s="276" t="s">
        <v>380</v>
      </c>
      <c r="I153" s="276">
        <v>126</v>
      </c>
      <c r="J153" s="276" t="s">
        <v>381</v>
      </c>
      <c r="K153" s="276" t="s">
        <v>934</v>
      </c>
      <c r="L153" s="189" t="s">
        <v>382</v>
      </c>
      <c r="M153" s="276" t="s">
        <v>361</v>
      </c>
      <c r="N153" s="189" t="s">
        <v>361</v>
      </c>
      <c r="O153" s="189" t="s">
        <v>137</v>
      </c>
      <c r="P153" s="276" t="s">
        <v>108</v>
      </c>
      <c r="Q153" s="276" t="s">
        <v>361</v>
      </c>
      <c r="R153" s="276"/>
      <c r="S153" s="276"/>
      <c r="T153" s="276" t="s">
        <v>79</v>
      </c>
      <c r="U153" s="276"/>
      <c r="V153" s="276"/>
      <c r="W153" s="276"/>
      <c r="X153" s="173">
        <v>12.5</v>
      </c>
      <c r="Y153" s="276">
        <v>1</v>
      </c>
      <c r="Z153" s="276">
        <v>0</v>
      </c>
      <c r="AA153" s="276" t="s">
        <v>1221</v>
      </c>
      <c r="AB153" s="276"/>
      <c r="AC153" s="275" t="s">
        <v>2547</v>
      </c>
      <c r="AD153" s="189" t="s">
        <v>2582</v>
      </c>
      <c r="AE153" s="189" t="s">
        <v>2583</v>
      </c>
      <c r="AF153" s="79"/>
      <c r="AG153" s="276" t="s">
        <v>1236</v>
      </c>
      <c r="AH153" s="77"/>
      <c r="AI153" s="275">
        <v>10</v>
      </c>
      <c r="AJ153" s="83" t="s">
        <v>2584</v>
      </c>
      <c r="AK153" s="92" t="s">
        <v>2585</v>
      </c>
      <c r="AL153" s="189" t="s">
        <v>137</v>
      </c>
      <c r="AM153" s="189"/>
      <c r="AN153" s="79" t="s">
        <v>2586</v>
      </c>
      <c r="AO153" s="275" t="s">
        <v>2510</v>
      </c>
      <c r="AP153" s="189" t="s">
        <v>2587</v>
      </c>
      <c r="AQ153" s="189" t="s">
        <v>2554</v>
      </c>
      <c r="AR153" s="189" t="s">
        <v>2588</v>
      </c>
      <c r="AS153" s="189" t="s">
        <v>2556</v>
      </c>
      <c r="AT153" s="189" t="s">
        <v>1405</v>
      </c>
      <c r="AU153" s="189" t="s">
        <v>1405</v>
      </c>
      <c r="AV153" s="189" t="s">
        <v>1405</v>
      </c>
      <c r="AW153" s="189" t="s">
        <v>2557</v>
      </c>
      <c r="AX153" s="275">
        <v>1</v>
      </c>
      <c r="AY153" s="189" t="s">
        <v>2589</v>
      </c>
      <c r="AZ153" s="189" t="s">
        <v>2540</v>
      </c>
      <c r="BA153" s="189" t="s">
        <v>2541</v>
      </c>
      <c r="BB153" s="83" t="s">
        <v>1229</v>
      </c>
      <c r="BC153" s="189" t="s">
        <v>1359</v>
      </c>
      <c r="BD153" s="189" t="s">
        <v>1405</v>
      </c>
      <c r="BE153" s="189" t="s">
        <v>9</v>
      </c>
      <c r="BF153" s="189" t="s">
        <v>1665</v>
      </c>
      <c r="BG153" s="189" t="s">
        <v>2588</v>
      </c>
      <c r="BH153" s="189" t="s">
        <v>2590</v>
      </c>
      <c r="BI153" s="189" t="s">
        <v>2544</v>
      </c>
      <c r="BJ153" s="189" t="s">
        <v>2545</v>
      </c>
      <c r="BK153" s="189" t="s">
        <v>2562</v>
      </c>
      <c r="BL153" s="189" t="s">
        <v>2591</v>
      </c>
      <c r="BM153" s="101">
        <v>2015</v>
      </c>
      <c r="BN153" s="101">
        <v>0</v>
      </c>
      <c r="BO153" s="100">
        <v>1</v>
      </c>
      <c r="BP153" s="78" t="s">
        <v>2526</v>
      </c>
      <c r="BQ153" s="187">
        <v>1</v>
      </c>
      <c r="BR153" s="275">
        <v>5</v>
      </c>
      <c r="BS153" s="188">
        <v>0.2</v>
      </c>
      <c r="BT153" s="188">
        <v>0</v>
      </c>
      <c r="BU153" s="188">
        <v>0</v>
      </c>
      <c r="BV153" s="188">
        <v>0</v>
      </c>
      <c r="BW153" s="188">
        <v>0.4</v>
      </c>
      <c r="BX153" s="188">
        <v>0</v>
      </c>
      <c r="BY153" s="188">
        <v>0</v>
      </c>
      <c r="BZ153" s="89">
        <v>0</v>
      </c>
      <c r="CA153" s="188">
        <v>0.60000000000000009</v>
      </c>
      <c r="CB153" s="188">
        <v>0</v>
      </c>
      <c r="CC153" s="188">
        <v>0</v>
      </c>
      <c r="CD153" s="188">
        <v>0</v>
      </c>
      <c r="CE153" s="188">
        <v>0.8</v>
      </c>
      <c r="CF153" s="188">
        <v>0</v>
      </c>
      <c r="CG153" s="188">
        <v>0</v>
      </c>
      <c r="CH153" s="188">
        <v>0</v>
      </c>
      <c r="CI153" s="188">
        <v>1</v>
      </c>
      <c r="CJ153" s="188">
        <v>0</v>
      </c>
      <c r="CK153" s="188">
        <v>0</v>
      </c>
      <c r="CL153" s="89">
        <v>0</v>
      </c>
      <c r="CM153" s="89"/>
      <c r="CN153" s="188"/>
      <c r="CO153" s="188" t="s">
        <v>2581</v>
      </c>
      <c r="CP153" s="188"/>
      <c r="CQ153" s="285"/>
      <c r="CS153" s="2">
        <v>153</v>
      </c>
      <c r="CT153" s="49"/>
      <c r="CU153" s="49"/>
      <c r="CV153" s="49"/>
      <c r="CW153" s="49"/>
    </row>
    <row r="154" spans="1:101" ht="299.25" x14ac:dyDescent="0.25">
      <c r="A154" s="276">
        <v>18</v>
      </c>
      <c r="B154" s="269" t="s">
        <v>4575</v>
      </c>
      <c r="C154" s="269" t="s">
        <v>1268</v>
      </c>
      <c r="D154" s="189" t="s">
        <v>358</v>
      </c>
      <c r="E154" s="276" t="s">
        <v>388</v>
      </c>
      <c r="F154" s="189" t="s">
        <v>384</v>
      </c>
      <c r="G154" s="172">
        <v>1</v>
      </c>
      <c r="H154" s="276" t="s">
        <v>385</v>
      </c>
      <c r="I154" s="276">
        <v>128</v>
      </c>
      <c r="J154" s="276" t="s">
        <v>386</v>
      </c>
      <c r="K154" s="276" t="s">
        <v>936</v>
      </c>
      <c r="L154" s="164" t="s">
        <v>387</v>
      </c>
      <c r="M154" s="276" t="s">
        <v>361</v>
      </c>
      <c r="N154" s="189" t="s">
        <v>361</v>
      </c>
      <c r="O154" s="189" t="s">
        <v>78</v>
      </c>
      <c r="P154" s="276" t="s">
        <v>189</v>
      </c>
      <c r="Q154" s="276" t="s">
        <v>361</v>
      </c>
      <c r="R154" s="276"/>
      <c r="S154" s="276"/>
      <c r="T154" s="276" t="s">
        <v>79</v>
      </c>
      <c r="U154" s="276"/>
      <c r="V154" s="276"/>
      <c r="W154" s="276"/>
      <c r="X154" s="173">
        <v>50</v>
      </c>
      <c r="Y154" s="276">
        <v>0</v>
      </c>
      <c r="Z154" s="276">
        <v>1</v>
      </c>
      <c r="AA154" s="276" t="s">
        <v>1220</v>
      </c>
      <c r="AB154" s="276"/>
      <c r="AC154" s="275" t="s">
        <v>2592</v>
      </c>
      <c r="AD154" s="164" t="s">
        <v>1299</v>
      </c>
      <c r="AE154" s="189" t="s">
        <v>2593</v>
      </c>
      <c r="AF154" s="79"/>
      <c r="AG154" s="276" t="s">
        <v>1236</v>
      </c>
      <c r="AH154" s="77"/>
      <c r="AI154" s="275">
        <v>11</v>
      </c>
      <c r="AJ154" s="83" t="s">
        <v>2594</v>
      </c>
      <c r="AK154" s="83" t="s">
        <v>2595</v>
      </c>
      <c r="AL154" s="83" t="s">
        <v>78</v>
      </c>
      <c r="AM154" s="83" t="s">
        <v>1348</v>
      </c>
      <c r="AN154" s="83" t="s">
        <v>2596</v>
      </c>
      <c r="AO154" s="83" t="s">
        <v>2597</v>
      </c>
      <c r="AP154" s="83" t="s">
        <v>2598</v>
      </c>
      <c r="AQ154" s="83" t="s">
        <v>3091</v>
      </c>
      <c r="AR154" s="83" t="s">
        <v>2599</v>
      </c>
      <c r="AS154" s="83" t="s">
        <v>2600</v>
      </c>
      <c r="AT154" s="189" t="s">
        <v>1405</v>
      </c>
      <c r="AU154" s="189" t="s">
        <v>1405</v>
      </c>
      <c r="AV154" s="83" t="s">
        <v>2601</v>
      </c>
      <c r="AW154" s="83"/>
      <c r="AX154" s="276">
        <v>1</v>
      </c>
      <c r="AY154" s="83" t="s">
        <v>2602</v>
      </c>
      <c r="AZ154" s="83" t="s">
        <v>2603</v>
      </c>
      <c r="BA154" s="83" t="s">
        <v>2604</v>
      </c>
      <c r="BB154" s="83" t="s">
        <v>1229</v>
      </c>
      <c r="BC154" s="83" t="s">
        <v>11</v>
      </c>
      <c r="BD154" s="83" t="s">
        <v>2601</v>
      </c>
      <c r="BE154" s="83" t="s">
        <v>9</v>
      </c>
      <c r="BF154" s="83" t="s">
        <v>17</v>
      </c>
      <c r="BG154" s="83" t="s">
        <v>2605</v>
      </c>
      <c r="BH154" s="83"/>
      <c r="BI154" s="83" t="s">
        <v>2606</v>
      </c>
      <c r="BJ154" s="83" t="s">
        <v>2607</v>
      </c>
      <c r="BK154" s="83" t="s">
        <v>2608</v>
      </c>
      <c r="BL154" s="83" t="s">
        <v>2609</v>
      </c>
      <c r="BM154" s="101">
        <v>2015</v>
      </c>
      <c r="BN154" s="275">
        <v>0</v>
      </c>
      <c r="BO154" s="275">
        <v>5000</v>
      </c>
      <c r="BP154" s="275"/>
      <c r="BQ154" s="165">
        <v>5000</v>
      </c>
      <c r="BR154" s="275">
        <v>5</v>
      </c>
      <c r="BS154" s="166">
        <v>0</v>
      </c>
      <c r="BT154" s="166">
        <v>0</v>
      </c>
      <c r="BU154" s="166">
        <v>0</v>
      </c>
      <c r="BV154" s="188">
        <v>0</v>
      </c>
      <c r="BW154" s="166">
        <v>500</v>
      </c>
      <c r="BX154" s="166">
        <v>1236.7</v>
      </c>
      <c r="BY154" s="166">
        <v>1236.7</v>
      </c>
      <c r="BZ154" s="188">
        <v>0.24734</v>
      </c>
      <c r="CA154" s="166">
        <v>3000</v>
      </c>
      <c r="CB154" s="166"/>
      <c r="CC154" s="166">
        <v>0</v>
      </c>
      <c r="CD154" s="188">
        <v>0</v>
      </c>
      <c r="CE154" s="166">
        <v>4000</v>
      </c>
      <c r="CF154" s="166"/>
      <c r="CG154" s="166">
        <v>0</v>
      </c>
      <c r="CH154" s="188">
        <v>0</v>
      </c>
      <c r="CI154" s="166">
        <v>5000</v>
      </c>
      <c r="CJ154" s="166"/>
      <c r="CK154" s="166">
        <v>0</v>
      </c>
      <c r="CL154" s="188">
        <v>0</v>
      </c>
      <c r="CM154" s="89"/>
      <c r="CN154" s="188"/>
      <c r="CO154" s="188" t="s">
        <v>2581</v>
      </c>
      <c r="CP154" s="188"/>
      <c r="CQ154" s="285"/>
      <c r="CS154" s="24">
        <v>154</v>
      </c>
      <c r="CT154" s="50" t="s">
        <v>2665</v>
      </c>
      <c r="CU154" s="50"/>
      <c r="CV154" s="50"/>
      <c r="CW154" s="50"/>
    </row>
    <row r="155" spans="1:101" ht="409.5" x14ac:dyDescent="0.25">
      <c r="A155" s="276">
        <v>18</v>
      </c>
      <c r="B155" s="269" t="s">
        <v>4575</v>
      </c>
      <c r="C155" s="269" t="s">
        <v>1268</v>
      </c>
      <c r="D155" s="189" t="s">
        <v>358</v>
      </c>
      <c r="E155" s="276" t="s">
        <v>388</v>
      </c>
      <c r="F155" s="189" t="s">
        <v>384</v>
      </c>
      <c r="G155" s="172">
        <v>2</v>
      </c>
      <c r="H155" s="276" t="s">
        <v>389</v>
      </c>
      <c r="I155" s="276">
        <v>129</v>
      </c>
      <c r="J155" s="276" t="s">
        <v>390</v>
      </c>
      <c r="K155" s="276" t="s">
        <v>937</v>
      </c>
      <c r="L155" s="164" t="s">
        <v>391</v>
      </c>
      <c r="M155" s="276" t="s">
        <v>361</v>
      </c>
      <c r="N155" s="189" t="s">
        <v>361</v>
      </c>
      <c r="O155" s="189" t="s">
        <v>137</v>
      </c>
      <c r="P155" s="276" t="s">
        <v>189</v>
      </c>
      <c r="Q155" s="276" t="s">
        <v>361</v>
      </c>
      <c r="R155" s="276"/>
      <c r="S155" s="276"/>
      <c r="T155" s="276" t="s">
        <v>138</v>
      </c>
      <c r="U155" s="276"/>
      <c r="V155" s="276"/>
      <c r="W155" s="276"/>
      <c r="X155" s="173">
        <v>50</v>
      </c>
      <c r="Y155" s="276">
        <v>0</v>
      </c>
      <c r="Z155" s="276">
        <v>1</v>
      </c>
      <c r="AA155" s="276" t="s">
        <v>1220</v>
      </c>
      <c r="AB155" s="276"/>
      <c r="AC155" s="275" t="s">
        <v>2610</v>
      </c>
      <c r="AD155" s="164" t="s">
        <v>2611</v>
      </c>
      <c r="AE155" s="189" t="s">
        <v>2612</v>
      </c>
      <c r="AF155" s="79"/>
      <c r="AG155" s="276" t="s">
        <v>1236</v>
      </c>
      <c r="AH155" s="77"/>
      <c r="AI155" s="275">
        <v>12</v>
      </c>
      <c r="AJ155" s="83" t="s">
        <v>937</v>
      </c>
      <c r="AK155" s="116" t="s">
        <v>2613</v>
      </c>
      <c r="AL155" s="189" t="s">
        <v>137</v>
      </c>
      <c r="AM155" s="189" t="s">
        <v>1347</v>
      </c>
      <c r="AN155" s="78" t="s">
        <v>1400</v>
      </c>
      <c r="AO155" s="83" t="s">
        <v>2614</v>
      </c>
      <c r="AP155" s="83" t="s">
        <v>2615</v>
      </c>
      <c r="AQ155" s="83" t="s">
        <v>2615</v>
      </c>
      <c r="AR155" s="83" t="s">
        <v>2615</v>
      </c>
      <c r="AS155" s="83" t="s">
        <v>2616</v>
      </c>
      <c r="AT155" s="189" t="s">
        <v>1405</v>
      </c>
      <c r="AU155" s="189" t="s">
        <v>1405</v>
      </c>
      <c r="AV155" s="83"/>
      <c r="AW155" s="83"/>
      <c r="AX155" s="276">
        <v>1</v>
      </c>
      <c r="AY155" s="83" t="s">
        <v>2617</v>
      </c>
      <c r="AZ155" s="83" t="s">
        <v>2618</v>
      </c>
      <c r="BA155" s="83" t="s">
        <v>2604</v>
      </c>
      <c r="BB155" s="83" t="s">
        <v>1229</v>
      </c>
      <c r="BC155" s="83" t="s">
        <v>1359</v>
      </c>
      <c r="BD155" s="83" t="s">
        <v>2453</v>
      </c>
      <c r="BE155" s="83" t="s">
        <v>9</v>
      </c>
      <c r="BF155" s="83" t="s">
        <v>17</v>
      </c>
      <c r="BG155" s="83" t="s">
        <v>2619</v>
      </c>
      <c r="BH155" s="83"/>
      <c r="BI155" s="83" t="s">
        <v>2606</v>
      </c>
      <c r="BJ155" s="83" t="s">
        <v>2607</v>
      </c>
      <c r="BK155" s="83" t="s">
        <v>2608</v>
      </c>
      <c r="BL155" s="83" t="s">
        <v>2620</v>
      </c>
      <c r="BM155" s="101">
        <v>2015</v>
      </c>
      <c r="BN155" s="275">
        <v>2</v>
      </c>
      <c r="BO155" s="275">
        <v>9</v>
      </c>
      <c r="BP155" s="275"/>
      <c r="BQ155" s="86">
        <v>7</v>
      </c>
      <c r="BR155" s="275">
        <v>5</v>
      </c>
      <c r="BS155" s="188">
        <v>3.4</v>
      </c>
      <c r="BT155" s="188">
        <v>0.22222222222222202</v>
      </c>
      <c r="BU155" s="188">
        <v>-1.7777777777777779</v>
      </c>
      <c r="BV155" s="188">
        <v>-0.25396825396825401</v>
      </c>
      <c r="BW155" s="188">
        <v>4.8</v>
      </c>
      <c r="BX155" s="188">
        <v>0.22222222222222202</v>
      </c>
      <c r="BY155" s="188">
        <v>-1.7777777777777779</v>
      </c>
      <c r="BZ155" s="89">
        <v>-0.25396825396825401</v>
      </c>
      <c r="CA155" s="188">
        <v>6.1999999999999993</v>
      </c>
      <c r="CB155" s="188"/>
      <c r="CC155" s="188">
        <v>-2</v>
      </c>
      <c r="CD155" s="188">
        <v>-0.2857142857142857</v>
      </c>
      <c r="CE155" s="188">
        <v>7.6</v>
      </c>
      <c r="CF155" s="188"/>
      <c r="CG155" s="188">
        <v>-2</v>
      </c>
      <c r="CH155" s="188">
        <v>-0.2857142857142857</v>
      </c>
      <c r="CI155" s="188">
        <v>9</v>
      </c>
      <c r="CJ155" s="188"/>
      <c r="CK155" s="188">
        <v>-2</v>
      </c>
      <c r="CL155" s="89">
        <v>-0.2857142857142857</v>
      </c>
      <c r="CM155" s="89"/>
      <c r="CN155" s="188"/>
      <c r="CO155" s="188" t="s">
        <v>2581</v>
      </c>
      <c r="CP155" s="188"/>
      <c r="CQ155" s="285"/>
      <c r="CS155" s="24">
        <v>155</v>
      </c>
      <c r="CT155" s="49"/>
      <c r="CU155" s="49"/>
      <c r="CV155" s="49"/>
      <c r="CW155" s="49"/>
    </row>
    <row r="156" spans="1:101" ht="228" customHeight="1" x14ac:dyDescent="0.25">
      <c r="A156" s="276">
        <v>8</v>
      </c>
      <c r="B156" s="269" t="s">
        <v>4575</v>
      </c>
      <c r="C156" s="269" t="s">
        <v>1268</v>
      </c>
      <c r="D156" s="189" t="s">
        <v>358</v>
      </c>
      <c r="E156" s="276" t="s">
        <v>4495</v>
      </c>
      <c r="F156" s="189" t="s">
        <v>4496</v>
      </c>
      <c r="G156" s="172">
        <v>2</v>
      </c>
      <c r="H156" s="276" t="s">
        <v>4497</v>
      </c>
      <c r="I156" s="276">
        <v>134</v>
      </c>
      <c r="J156" s="276" t="s">
        <v>4498</v>
      </c>
      <c r="K156" s="276" t="s">
        <v>942</v>
      </c>
      <c r="L156" s="189" t="s">
        <v>396</v>
      </c>
      <c r="M156" s="276" t="s">
        <v>361</v>
      </c>
      <c r="N156" s="189" t="s">
        <v>361</v>
      </c>
      <c r="O156" s="189" t="s">
        <v>78</v>
      </c>
      <c r="P156" s="276" t="s">
        <v>108</v>
      </c>
      <c r="Q156" s="276" t="s">
        <v>367</v>
      </c>
      <c r="R156" s="276"/>
      <c r="S156" s="276"/>
      <c r="T156" s="276" t="s">
        <v>79</v>
      </c>
      <c r="U156" s="276"/>
      <c r="V156" s="276"/>
      <c r="W156" s="276"/>
      <c r="X156" s="173" t="e">
        <f>100/COUNTIFS(($B$4:$B$28),C156,($D$4:$D$28),E156)</f>
        <v>#DIV/0!</v>
      </c>
      <c r="Y156" s="276">
        <f t="shared" ref="Y156:Y180" si="84">COUNTIF(T156,"RS")</f>
        <v>0</v>
      </c>
      <c r="Z156" s="276">
        <v>1</v>
      </c>
      <c r="AA156" s="276" t="s">
        <v>1220</v>
      </c>
      <c r="AB156" s="276"/>
      <c r="AC156" s="275"/>
      <c r="AD156" s="189"/>
      <c r="AE156" s="189"/>
      <c r="AF156" s="79"/>
      <c r="AG156" s="276" t="s">
        <v>1364</v>
      </c>
      <c r="AH156" s="77"/>
      <c r="AI156" s="275">
        <v>1</v>
      </c>
      <c r="AJ156" s="83" t="str">
        <f t="shared" ref="AJ156:AJ180" si="85">CONCATENATE(K156,AI156)</f>
        <v>04051341</v>
      </c>
      <c r="AK156" s="189" t="s">
        <v>4499</v>
      </c>
      <c r="AL156" s="189" t="s">
        <v>1259</v>
      </c>
      <c r="AM156" s="189"/>
      <c r="AN156" s="78" t="s">
        <v>9</v>
      </c>
      <c r="AO156" s="276" t="s">
        <v>1369</v>
      </c>
      <c r="AP156" s="189" t="s">
        <v>4500</v>
      </c>
      <c r="AQ156" s="76"/>
      <c r="AR156" s="189" t="s">
        <v>4501</v>
      </c>
      <c r="AS156" s="276" t="s">
        <v>3173</v>
      </c>
      <c r="AT156" s="114" t="s">
        <v>4329</v>
      </c>
      <c r="AU156" s="114" t="s">
        <v>4329</v>
      </c>
      <c r="AV156" s="275">
        <v>2015</v>
      </c>
      <c r="AW156" s="189" t="s">
        <v>4370</v>
      </c>
      <c r="AX156" s="275">
        <v>1</v>
      </c>
      <c r="AY156" s="276" t="str">
        <f>CONCATENATE(AJ156,AX156)</f>
        <v>040513411</v>
      </c>
      <c r="AZ156" s="276" t="s">
        <v>4481</v>
      </c>
      <c r="BA156" s="189" t="s">
        <v>4502</v>
      </c>
      <c r="BB156" s="276" t="s">
        <v>1229</v>
      </c>
      <c r="BC156" s="276" t="s">
        <v>11</v>
      </c>
      <c r="BD156" s="275">
        <v>2015</v>
      </c>
      <c r="BE156" s="275" t="s">
        <v>9</v>
      </c>
      <c r="BF156" s="275" t="s">
        <v>9</v>
      </c>
      <c r="BG156" s="189" t="s">
        <v>4483</v>
      </c>
      <c r="BH156" s="83" t="s">
        <v>4503</v>
      </c>
      <c r="BI156" s="189" t="s">
        <v>3173</v>
      </c>
      <c r="BJ156" s="189" t="s">
        <v>4484</v>
      </c>
      <c r="BK156" s="276" t="s">
        <v>4485</v>
      </c>
      <c r="BL156" s="275" t="s">
        <v>4504</v>
      </c>
      <c r="BM156" s="127">
        <v>42339</v>
      </c>
      <c r="BN156" s="275">
        <v>20</v>
      </c>
      <c r="BO156" s="275">
        <v>115</v>
      </c>
      <c r="BP156" s="275">
        <v>230</v>
      </c>
      <c r="BQ156" s="172">
        <f>+BO156-BN156</f>
        <v>95</v>
      </c>
      <c r="BR156" s="275">
        <v>5</v>
      </c>
      <c r="BS156" s="176">
        <f>+BN156-(((BQ156)/5)*(-1))</f>
        <v>39</v>
      </c>
      <c r="BT156" s="188"/>
      <c r="BU156" s="94">
        <f>+BT156-BN156</f>
        <v>-20</v>
      </c>
      <c r="BV156" s="188">
        <f>+BU156/BQ156</f>
        <v>-0.21052631578947367</v>
      </c>
      <c r="BW156" s="94">
        <f>+BN156-(((BQ156)/5)*(-2))</f>
        <v>58</v>
      </c>
      <c r="BX156" s="188"/>
      <c r="BY156" s="94">
        <f>+BX156-BN156</f>
        <v>-20</v>
      </c>
      <c r="BZ156" s="89">
        <f>+BY156/BQ156</f>
        <v>-0.21052631578947367</v>
      </c>
      <c r="CA156" s="94">
        <f>+BN156-(((BQ156)/5)*(-3))</f>
        <v>77</v>
      </c>
      <c r="CB156" s="188"/>
      <c r="CC156" s="94">
        <f>+CB156-BN156</f>
        <v>-20</v>
      </c>
      <c r="CD156" s="188">
        <f>+CC156/BQ156</f>
        <v>-0.21052631578947367</v>
      </c>
      <c r="CE156" s="94">
        <f>+BN156-(((BQ156)/5)*(-4))</f>
        <v>96</v>
      </c>
      <c r="CF156" s="188"/>
      <c r="CG156" s="94">
        <f>+CF156-BN156</f>
        <v>-20</v>
      </c>
      <c r="CH156" s="188">
        <f>+CG156/BQ156</f>
        <v>-0.21052631578947367</v>
      </c>
      <c r="CI156" s="94">
        <f>+BN156-(((BQ156)/5)*(-5))</f>
        <v>115</v>
      </c>
      <c r="CJ156" s="188"/>
      <c r="CK156" s="94">
        <f>+CJ156-BN156</f>
        <v>-20</v>
      </c>
      <c r="CL156" s="89">
        <f>+CK156/BQ156</f>
        <v>-0.21052631578947367</v>
      </c>
      <c r="CM156" s="89"/>
      <c r="CN156" s="188"/>
      <c r="CO156" s="188"/>
      <c r="CP156" s="188"/>
      <c r="CQ156" s="285"/>
      <c r="CS156" s="2">
        <v>156</v>
      </c>
      <c r="CT156" s="49"/>
      <c r="CU156" s="49"/>
      <c r="CV156" s="49"/>
      <c r="CW156" s="49"/>
    </row>
    <row r="157" spans="1:101" ht="199.5" customHeight="1" x14ac:dyDescent="0.25">
      <c r="A157" s="276">
        <v>19</v>
      </c>
      <c r="B157" s="269" t="s">
        <v>4575</v>
      </c>
      <c r="C157" s="269" t="s">
        <v>3905</v>
      </c>
      <c r="D157" s="189" t="s">
        <v>3906</v>
      </c>
      <c r="E157" s="276" t="s">
        <v>3907</v>
      </c>
      <c r="F157" s="189" t="s">
        <v>3908</v>
      </c>
      <c r="G157" s="172">
        <v>1</v>
      </c>
      <c r="H157" s="276" t="s">
        <v>3909</v>
      </c>
      <c r="I157" s="276">
        <v>135</v>
      </c>
      <c r="J157" s="276" t="s">
        <v>3910</v>
      </c>
      <c r="K157" s="276" t="s">
        <v>943</v>
      </c>
      <c r="L157" s="189" t="s">
        <v>397</v>
      </c>
      <c r="M157" s="276" t="s">
        <v>3911</v>
      </c>
      <c r="N157" s="189" t="s">
        <v>3912</v>
      </c>
      <c r="O157" s="189" t="s">
        <v>78</v>
      </c>
      <c r="P157" s="276" t="s">
        <v>108</v>
      </c>
      <c r="Q157" s="276" t="s">
        <v>146</v>
      </c>
      <c r="R157" s="276"/>
      <c r="S157" s="276"/>
      <c r="T157" s="276" t="s">
        <v>79</v>
      </c>
      <c r="U157" s="276"/>
      <c r="V157" s="276"/>
      <c r="W157" s="276"/>
      <c r="X157" s="173" t="e">
        <f>100/COUNTIFS(($B$4:$B$332),C157,($D$4:$D$332),E157)</f>
        <v>#DIV/0!</v>
      </c>
      <c r="Y157" s="276">
        <f t="shared" si="84"/>
        <v>0</v>
      </c>
      <c r="Z157" s="276">
        <v>1</v>
      </c>
      <c r="AA157" s="276" t="s">
        <v>1220</v>
      </c>
      <c r="AB157" s="276"/>
      <c r="AC157" s="275"/>
      <c r="AD157" s="189" t="s">
        <v>3913</v>
      </c>
      <c r="AE157" s="189" t="s">
        <v>3914</v>
      </c>
      <c r="AF157" s="79"/>
      <c r="AG157" s="276" t="s">
        <v>3915</v>
      </c>
      <c r="AH157" s="77"/>
      <c r="AI157" s="275">
        <v>1</v>
      </c>
      <c r="AJ157" s="83" t="str">
        <f t="shared" si="85"/>
        <v>05011351</v>
      </c>
      <c r="AK157" s="276" t="s">
        <v>3916</v>
      </c>
      <c r="AL157" s="189" t="s">
        <v>1259</v>
      </c>
      <c r="AM157" s="189"/>
      <c r="AN157" s="275"/>
      <c r="AO157" s="189" t="s">
        <v>3916</v>
      </c>
      <c r="AP157" s="189" t="s">
        <v>3917</v>
      </c>
      <c r="AQ157" s="276" t="s">
        <v>3918</v>
      </c>
      <c r="AR157" s="189" t="s">
        <v>3919</v>
      </c>
      <c r="AS157" s="276" t="s">
        <v>3920</v>
      </c>
      <c r="AT157" s="189" t="s">
        <v>3921</v>
      </c>
      <c r="AU157" s="276" t="s">
        <v>3920</v>
      </c>
      <c r="AV157" s="275" t="s">
        <v>3922</v>
      </c>
      <c r="AW157" s="79"/>
      <c r="AX157" s="275">
        <v>1</v>
      </c>
      <c r="AY157" s="276" t="str">
        <f>CONCATENATE(AJ157,AX157)</f>
        <v>050113511</v>
      </c>
      <c r="AZ157" s="276" t="s">
        <v>3923</v>
      </c>
      <c r="BA157" s="189" t="s">
        <v>3924</v>
      </c>
      <c r="BB157" s="276" t="s">
        <v>1229</v>
      </c>
      <c r="BC157" s="275" t="s">
        <v>11</v>
      </c>
      <c r="BD157" s="275" t="s">
        <v>3922</v>
      </c>
      <c r="BE157" s="275" t="s">
        <v>9</v>
      </c>
      <c r="BF157" s="275" t="s">
        <v>9</v>
      </c>
      <c r="BG157" s="189" t="s">
        <v>3925</v>
      </c>
      <c r="BH157" s="76"/>
      <c r="BI157" s="189" t="s">
        <v>3926</v>
      </c>
      <c r="BJ157" s="189" t="s">
        <v>3927</v>
      </c>
      <c r="BK157" s="92" t="s">
        <v>3928</v>
      </c>
      <c r="BL157" s="189" t="s">
        <v>3929</v>
      </c>
      <c r="BM157" s="275">
        <v>2015</v>
      </c>
      <c r="BN157" s="275">
        <v>0</v>
      </c>
      <c r="BO157" s="275">
        <v>5</v>
      </c>
      <c r="BP157" s="181"/>
      <c r="BQ157" s="87">
        <f>+BO157-BN157</f>
        <v>5</v>
      </c>
      <c r="BR157" s="275">
        <v>5</v>
      </c>
      <c r="BS157" s="88">
        <f>+BN157-(((BQ157)/5)*(-1))</f>
        <v>1</v>
      </c>
      <c r="BT157" s="94">
        <v>1</v>
      </c>
      <c r="BU157" s="88">
        <f>+BT157-BN157</f>
        <v>1</v>
      </c>
      <c r="BV157" s="188">
        <f>+BU157/BQ157</f>
        <v>0.2</v>
      </c>
      <c r="BW157" s="88">
        <f>+BN157-(((BQ157)/5)*(-2))</f>
        <v>2</v>
      </c>
      <c r="BX157" s="94">
        <v>2</v>
      </c>
      <c r="BY157" s="88">
        <f>+BX157-BN157</f>
        <v>2</v>
      </c>
      <c r="BZ157" s="89">
        <f>+BY157/BQ157</f>
        <v>0.4</v>
      </c>
      <c r="CA157" s="88">
        <f>+BN157-(((BQ157)/5)*(-3))</f>
        <v>3</v>
      </c>
      <c r="CB157" s="94"/>
      <c r="CC157" s="88">
        <f>+CB157-BN157</f>
        <v>0</v>
      </c>
      <c r="CD157" s="188">
        <f>+CC157/BQ157</f>
        <v>0</v>
      </c>
      <c r="CE157" s="88">
        <f>+BN157-(((BQ157)/5)*(-4))</f>
        <v>4</v>
      </c>
      <c r="CF157" s="94"/>
      <c r="CG157" s="88">
        <f>+CF157-BN157</f>
        <v>0</v>
      </c>
      <c r="CH157" s="188">
        <f>+CG157/BQ157</f>
        <v>0</v>
      </c>
      <c r="CI157" s="88">
        <f>+BN157-(((BQ157)/5)*(-5))</f>
        <v>5</v>
      </c>
      <c r="CJ157" s="94"/>
      <c r="CK157" s="88">
        <f>+CJ157-BN157</f>
        <v>0</v>
      </c>
      <c r="CL157" s="89">
        <f>+CK157/BQ157</f>
        <v>0</v>
      </c>
      <c r="CM157" s="89" t="s">
        <v>11</v>
      </c>
      <c r="CN157" s="188" t="s">
        <v>3930</v>
      </c>
      <c r="CO157" s="188"/>
      <c r="CP157" s="188"/>
      <c r="CQ157" s="285"/>
      <c r="CS157" s="24">
        <v>157</v>
      </c>
      <c r="CT157" s="49"/>
      <c r="CU157" s="49"/>
      <c r="CV157" s="49"/>
      <c r="CW157" s="49"/>
    </row>
    <row r="158" spans="1:101" ht="199.5" x14ac:dyDescent="0.25">
      <c r="A158" s="276">
        <v>19</v>
      </c>
      <c r="B158" s="269" t="s">
        <v>4575</v>
      </c>
      <c r="C158" s="153" t="s">
        <v>3905</v>
      </c>
      <c r="D158" s="83" t="s">
        <v>3906</v>
      </c>
      <c r="E158" s="83" t="s">
        <v>3907</v>
      </c>
      <c r="F158" s="83" t="s">
        <v>3908</v>
      </c>
      <c r="G158" s="83">
        <v>2</v>
      </c>
      <c r="H158" s="276" t="s">
        <v>3931</v>
      </c>
      <c r="I158" s="276">
        <v>136</v>
      </c>
      <c r="J158" s="276" t="s">
        <v>3932</v>
      </c>
      <c r="K158" s="83" t="s">
        <v>944</v>
      </c>
      <c r="L158" s="83" t="s">
        <v>398</v>
      </c>
      <c r="M158" s="276" t="s">
        <v>3911</v>
      </c>
      <c r="N158" s="189" t="s">
        <v>3912</v>
      </c>
      <c r="O158" s="83" t="s">
        <v>78</v>
      </c>
      <c r="P158" s="276" t="s">
        <v>108</v>
      </c>
      <c r="Q158" s="276" t="s">
        <v>146</v>
      </c>
      <c r="R158" s="276"/>
      <c r="S158" s="276"/>
      <c r="T158" s="276" t="s">
        <v>79</v>
      </c>
      <c r="U158" s="276"/>
      <c r="V158" s="276"/>
      <c r="W158" s="276"/>
      <c r="X158" s="97"/>
      <c r="Y158" s="83">
        <f t="shared" si="84"/>
        <v>0</v>
      </c>
      <c r="Z158" s="83">
        <v>1</v>
      </c>
      <c r="AA158" s="83" t="s">
        <v>1220</v>
      </c>
      <c r="AB158" s="276"/>
      <c r="AC158" s="83">
        <v>17</v>
      </c>
      <c r="AD158" s="83" t="s">
        <v>3933</v>
      </c>
      <c r="AE158" s="83" t="s">
        <v>3934</v>
      </c>
      <c r="AF158" s="83"/>
      <c r="AG158" s="83" t="s">
        <v>3915</v>
      </c>
      <c r="AH158" s="77"/>
      <c r="AI158" s="83">
        <v>1</v>
      </c>
      <c r="AJ158" s="83" t="str">
        <f t="shared" si="85"/>
        <v>05011361</v>
      </c>
      <c r="AK158" s="189" t="s">
        <v>3935</v>
      </c>
      <c r="AL158" s="83" t="s">
        <v>137</v>
      </c>
      <c r="AM158" s="83"/>
      <c r="AN158" s="83" t="s">
        <v>3936</v>
      </c>
      <c r="AO158" s="83" t="s">
        <v>10</v>
      </c>
      <c r="AP158" s="189" t="s">
        <v>3937</v>
      </c>
      <c r="AQ158" s="189" t="s">
        <v>3938</v>
      </c>
      <c r="AR158" s="189" t="s">
        <v>3939</v>
      </c>
      <c r="AS158" s="189" t="s">
        <v>3940</v>
      </c>
      <c r="AT158" s="189" t="s">
        <v>3941</v>
      </c>
      <c r="AU158" s="189" t="s">
        <v>3942</v>
      </c>
      <c r="AV158" s="189" t="s">
        <v>3943</v>
      </c>
      <c r="AW158" s="76"/>
      <c r="AX158" s="78">
        <v>1</v>
      </c>
      <c r="AY158" s="83" t="s">
        <v>3944</v>
      </c>
      <c r="AZ158" s="276" t="s">
        <v>3945</v>
      </c>
      <c r="BA158" s="116" t="s">
        <v>3946</v>
      </c>
      <c r="BB158" s="116" t="s">
        <v>3947</v>
      </c>
      <c r="BC158" s="276" t="s">
        <v>3948</v>
      </c>
      <c r="BD158" s="275" t="s">
        <v>1707</v>
      </c>
      <c r="BE158" s="275" t="s">
        <v>9</v>
      </c>
      <c r="BF158" s="275" t="s">
        <v>9</v>
      </c>
      <c r="BG158" s="189" t="s">
        <v>3949</v>
      </c>
      <c r="BH158" s="76"/>
      <c r="BI158" s="189" t="s">
        <v>3950</v>
      </c>
      <c r="BJ158" s="189" t="s">
        <v>3951</v>
      </c>
      <c r="BK158" s="189" t="s">
        <v>3952</v>
      </c>
      <c r="BL158" s="189" t="s">
        <v>3953</v>
      </c>
      <c r="BM158" s="79">
        <v>2015</v>
      </c>
      <c r="BN158" s="188">
        <v>0.27100000000000002</v>
      </c>
      <c r="BO158" s="77"/>
      <c r="BP158" s="77"/>
      <c r="BQ158" s="187"/>
      <c r="BR158" s="275">
        <v>5</v>
      </c>
      <c r="BS158" s="188"/>
      <c r="BT158" s="188">
        <v>0.29799999999999999</v>
      </c>
      <c r="BU158" s="188">
        <f>+BT158-BN158</f>
        <v>2.6999999999999968E-2</v>
      </c>
      <c r="BV158" s="188"/>
      <c r="BW158" s="188"/>
      <c r="BX158" s="188">
        <v>0.32600000000000001</v>
      </c>
      <c r="BY158" s="188">
        <f>+BX158-BN158</f>
        <v>5.4999999999999993E-2</v>
      </c>
      <c r="BZ158" s="89"/>
      <c r="CA158" s="188"/>
      <c r="CB158" s="188"/>
      <c r="CC158" s="188"/>
      <c r="CD158" s="188"/>
      <c r="CE158" s="188"/>
      <c r="CF158" s="188"/>
      <c r="CG158" s="188"/>
      <c r="CH158" s="188">
        <v>1</v>
      </c>
      <c r="CI158" s="188">
        <v>0</v>
      </c>
      <c r="CJ158" s="188"/>
      <c r="CK158" s="188">
        <v>-0.27100000000000002</v>
      </c>
      <c r="CL158" s="89">
        <v>1</v>
      </c>
      <c r="CM158" s="89" t="s">
        <v>11</v>
      </c>
      <c r="CN158" s="188" t="s">
        <v>3930</v>
      </c>
      <c r="CO158" s="188"/>
      <c r="CP158" s="188"/>
      <c r="CQ158" s="285"/>
      <c r="CS158" s="24">
        <v>158</v>
      </c>
      <c r="CT158" s="50"/>
      <c r="CU158" s="50"/>
      <c r="CV158" s="50"/>
      <c r="CW158" s="50"/>
    </row>
    <row r="159" spans="1:101" ht="199.5" x14ac:dyDescent="0.25">
      <c r="A159" s="276">
        <v>19</v>
      </c>
      <c r="B159" s="269" t="s">
        <v>4575</v>
      </c>
      <c r="C159" s="153" t="s">
        <v>3905</v>
      </c>
      <c r="D159" s="83" t="s">
        <v>3906</v>
      </c>
      <c r="E159" s="83" t="s">
        <v>3907</v>
      </c>
      <c r="F159" s="83" t="s">
        <v>3908</v>
      </c>
      <c r="G159" s="83">
        <v>2</v>
      </c>
      <c r="H159" s="276"/>
      <c r="I159" s="276"/>
      <c r="J159" s="276"/>
      <c r="K159" s="83" t="s">
        <v>944</v>
      </c>
      <c r="L159" s="83" t="s">
        <v>398</v>
      </c>
      <c r="M159" s="276" t="s">
        <v>3911</v>
      </c>
      <c r="N159" s="189" t="s">
        <v>3912</v>
      </c>
      <c r="O159" s="83" t="s">
        <v>78</v>
      </c>
      <c r="P159" s="276" t="s">
        <v>108</v>
      </c>
      <c r="Q159" s="276" t="s">
        <v>146</v>
      </c>
      <c r="R159" s="276"/>
      <c r="S159" s="276"/>
      <c r="T159" s="276" t="s">
        <v>79</v>
      </c>
      <c r="U159" s="276"/>
      <c r="V159" s="276"/>
      <c r="W159" s="276"/>
      <c r="X159" s="97"/>
      <c r="Y159" s="83">
        <f t="shared" si="84"/>
        <v>0</v>
      </c>
      <c r="Z159" s="83">
        <v>1</v>
      </c>
      <c r="AA159" s="83" t="s">
        <v>1220</v>
      </c>
      <c r="AB159" s="276"/>
      <c r="AC159" s="83">
        <v>17</v>
      </c>
      <c r="AD159" s="83" t="s">
        <v>3933</v>
      </c>
      <c r="AE159" s="83" t="s">
        <v>3934</v>
      </c>
      <c r="AF159" s="83"/>
      <c r="AG159" s="83" t="s">
        <v>3915</v>
      </c>
      <c r="AH159" s="77"/>
      <c r="AI159" s="83">
        <v>1</v>
      </c>
      <c r="AJ159" s="83" t="str">
        <f t="shared" si="85"/>
        <v>05011361</v>
      </c>
      <c r="AK159" s="189" t="s">
        <v>3954</v>
      </c>
      <c r="AL159" s="83" t="s">
        <v>1259</v>
      </c>
      <c r="AM159" s="83"/>
      <c r="AN159" s="83" t="s">
        <v>3955</v>
      </c>
      <c r="AO159" s="83" t="s">
        <v>10</v>
      </c>
      <c r="AP159" s="189" t="s">
        <v>3956</v>
      </c>
      <c r="AQ159" s="189" t="s">
        <v>3957</v>
      </c>
      <c r="AR159" s="189" t="s">
        <v>3958</v>
      </c>
      <c r="AS159" s="189" t="s">
        <v>3959</v>
      </c>
      <c r="AT159" s="189" t="s">
        <v>3960</v>
      </c>
      <c r="AU159" s="189" t="s">
        <v>3961</v>
      </c>
      <c r="AV159" s="189" t="s">
        <v>3962</v>
      </c>
      <c r="AW159" s="76"/>
      <c r="AX159" s="78"/>
      <c r="AY159" s="83"/>
      <c r="AZ159" s="276" t="s">
        <v>3963</v>
      </c>
      <c r="BA159" s="276" t="s">
        <v>3964</v>
      </c>
      <c r="BB159" s="116" t="s">
        <v>3965</v>
      </c>
      <c r="BC159" s="276" t="s">
        <v>3966</v>
      </c>
      <c r="BD159" s="276" t="s">
        <v>3967</v>
      </c>
      <c r="BE159" s="276" t="s">
        <v>9</v>
      </c>
      <c r="BF159" s="276" t="s">
        <v>9</v>
      </c>
      <c r="BG159" s="189" t="s">
        <v>3968</v>
      </c>
      <c r="BH159" s="76"/>
      <c r="BI159" s="189" t="s">
        <v>3969</v>
      </c>
      <c r="BJ159" s="189" t="s">
        <v>3970</v>
      </c>
      <c r="BK159" s="189" t="s">
        <v>3971</v>
      </c>
      <c r="BL159" s="189" t="s">
        <v>3972</v>
      </c>
      <c r="BM159" s="79">
        <v>2015</v>
      </c>
      <c r="BN159" s="188">
        <v>5.3999999999999999E-2</v>
      </c>
      <c r="BO159" s="77"/>
      <c r="BP159" s="77"/>
      <c r="BQ159" s="187"/>
      <c r="BR159" s="275">
        <v>5</v>
      </c>
      <c r="BS159" s="188"/>
      <c r="BT159" s="188">
        <v>5.7000000000000002E-2</v>
      </c>
      <c r="BU159" s="188">
        <f>+BT159-BN159</f>
        <v>3.0000000000000027E-3</v>
      </c>
      <c r="BV159" s="188"/>
      <c r="BW159" s="188"/>
      <c r="BX159" s="188">
        <v>6.4000000000000001E-2</v>
      </c>
      <c r="BY159" s="188">
        <f>+BX159-BN159</f>
        <v>1.0000000000000002E-2</v>
      </c>
      <c r="BZ159" s="89"/>
      <c r="CA159" s="188"/>
      <c r="CB159" s="188"/>
      <c r="CC159" s="188"/>
      <c r="CD159" s="188"/>
      <c r="CE159" s="188"/>
      <c r="CF159" s="188"/>
      <c r="CG159" s="188"/>
      <c r="CH159" s="188"/>
      <c r="CI159" s="188"/>
      <c r="CJ159" s="188"/>
      <c r="CK159" s="188"/>
      <c r="CL159" s="89"/>
      <c r="CM159" s="89" t="s">
        <v>11</v>
      </c>
      <c r="CN159" s="188" t="s">
        <v>3930</v>
      </c>
      <c r="CO159" s="188"/>
      <c r="CP159" s="188"/>
      <c r="CQ159" s="285"/>
      <c r="CS159" s="2">
        <v>159</v>
      </c>
      <c r="CT159" s="49"/>
      <c r="CU159" s="49"/>
      <c r="CV159" s="49"/>
      <c r="CW159" s="49"/>
    </row>
    <row r="160" spans="1:101" ht="171" x14ac:dyDescent="0.25">
      <c r="A160" s="276">
        <v>19</v>
      </c>
      <c r="B160" s="269" t="s">
        <v>4575</v>
      </c>
      <c r="C160" s="269" t="s">
        <v>3905</v>
      </c>
      <c r="D160" s="189" t="s">
        <v>3906</v>
      </c>
      <c r="E160" s="276" t="s">
        <v>3907</v>
      </c>
      <c r="F160" s="189" t="s">
        <v>3908</v>
      </c>
      <c r="G160" s="172">
        <v>3</v>
      </c>
      <c r="H160" s="276" t="s">
        <v>3973</v>
      </c>
      <c r="I160" s="276">
        <v>137</v>
      </c>
      <c r="J160" s="276" t="s">
        <v>3974</v>
      </c>
      <c r="K160" s="276" t="s">
        <v>945</v>
      </c>
      <c r="L160" s="189" t="s">
        <v>399</v>
      </c>
      <c r="M160" s="276" t="s">
        <v>3911</v>
      </c>
      <c r="N160" s="189" t="s">
        <v>3912</v>
      </c>
      <c r="O160" s="189" t="s">
        <v>78</v>
      </c>
      <c r="P160" s="276" t="s">
        <v>108</v>
      </c>
      <c r="Q160" s="276" t="s">
        <v>146</v>
      </c>
      <c r="R160" s="276"/>
      <c r="S160" s="276"/>
      <c r="T160" s="276" t="s">
        <v>79</v>
      </c>
      <c r="U160" s="276"/>
      <c r="V160" s="276"/>
      <c r="W160" s="276"/>
      <c r="X160" s="173" t="e">
        <f>100/COUNTIFS(($B$4:$B$329),C160,($D$4:$D$329),E160)</f>
        <v>#DIV/0!</v>
      </c>
      <c r="Y160" s="276">
        <f t="shared" si="84"/>
        <v>0</v>
      </c>
      <c r="Z160" s="276">
        <v>1</v>
      </c>
      <c r="AA160" s="276" t="s">
        <v>1220</v>
      </c>
      <c r="AB160" s="276"/>
      <c r="AC160" s="275"/>
      <c r="AD160" s="189"/>
      <c r="AE160" s="189"/>
      <c r="AF160" s="79"/>
      <c r="AG160" s="276" t="s">
        <v>3975</v>
      </c>
      <c r="AH160" s="78"/>
      <c r="AI160" s="275">
        <v>1</v>
      </c>
      <c r="AJ160" s="83" t="str">
        <f t="shared" si="85"/>
        <v>05011371</v>
      </c>
      <c r="AK160" s="189" t="s">
        <v>3976</v>
      </c>
      <c r="AL160" s="189" t="s">
        <v>78</v>
      </c>
      <c r="AM160" s="189"/>
      <c r="AN160" s="78" t="s">
        <v>9</v>
      </c>
      <c r="AO160" s="78" t="s">
        <v>3977</v>
      </c>
      <c r="AP160" s="83" t="s">
        <v>3978</v>
      </c>
      <c r="AQ160" s="189" t="s">
        <v>3979</v>
      </c>
      <c r="AR160" s="189" t="s">
        <v>3980</v>
      </c>
      <c r="AS160" s="189" t="s">
        <v>3981</v>
      </c>
      <c r="AT160" s="189" t="s">
        <v>3980</v>
      </c>
      <c r="AU160" s="189" t="s">
        <v>3981</v>
      </c>
      <c r="AV160" s="79" t="s">
        <v>3982</v>
      </c>
      <c r="AW160" s="79"/>
      <c r="AX160" s="275">
        <v>1</v>
      </c>
      <c r="AY160" s="276" t="str">
        <f t="shared" ref="AY160:AY180" si="86">CONCATENATE(AJ160,AX160)</f>
        <v>050113711</v>
      </c>
      <c r="AZ160" s="189" t="s">
        <v>3983</v>
      </c>
      <c r="BA160" s="83" t="s">
        <v>3984</v>
      </c>
      <c r="BB160" s="83" t="s">
        <v>1229</v>
      </c>
      <c r="BC160" s="83" t="s">
        <v>1320</v>
      </c>
      <c r="BD160" s="83" t="s">
        <v>3982</v>
      </c>
      <c r="BE160" s="83" t="s">
        <v>9</v>
      </c>
      <c r="BF160" s="107">
        <v>1</v>
      </c>
      <c r="BG160" s="189" t="s">
        <v>3985</v>
      </c>
      <c r="BH160" s="189"/>
      <c r="BI160" s="189" t="s">
        <v>3986</v>
      </c>
      <c r="BJ160" s="189" t="s">
        <v>3987</v>
      </c>
      <c r="BK160" s="189" t="s">
        <v>3988</v>
      </c>
      <c r="BL160" s="189" t="s">
        <v>3989</v>
      </c>
      <c r="BM160" s="78">
        <v>2015</v>
      </c>
      <c r="BN160" s="78">
        <v>20</v>
      </c>
      <c r="BO160" s="78"/>
      <c r="BP160" s="78"/>
      <c r="BQ160" s="187">
        <v>0</v>
      </c>
      <c r="BR160" s="275">
        <v>5</v>
      </c>
      <c r="BS160" s="188"/>
      <c r="BT160" s="166">
        <v>21</v>
      </c>
      <c r="BU160" s="247">
        <f>+BT160-BN160</f>
        <v>1</v>
      </c>
      <c r="BV160" s="188"/>
      <c r="BW160" s="188"/>
      <c r="BX160" s="88"/>
      <c r="BY160" s="247">
        <f>+BX160-BR160</f>
        <v>-5</v>
      </c>
      <c r="BZ160" s="89"/>
      <c r="CA160" s="188"/>
      <c r="CB160" s="88"/>
      <c r="CC160" s="247">
        <f>+CB160-BV160</f>
        <v>0</v>
      </c>
      <c r="CD160" s="188"/>
      <c r="CE160" s="188"/>
      <c r="CF160" s="188"/>
      <c r="CG160" s="247">
        <f>+CF160-BZ160</f>
        <v>0</v>
      </c>
      <c r="CH160" s="188"/>
      <c r="CI160" s="188"/>
      <c r="CJ160" s="188"/>
      <c r="CK160" s="247">
        <f>+CJ160-CD160</f>
        <v>0</v>
      </c>
      <c r="CL160" s="89"/>
      <c r="CM160" s="89" t="s">
        <v>1320</v>
      </c>
      <c r="CN160" s="188" t="s">
        <v>3990</v>
      </c>
      <c r="CO160" s="188"/>
      <c r="CP160" s="188"/>
      <c r="CQ160" s="285"/>
      <c r="CS160" s="24">
        <v>160</v>
      </c>
      <c r="CT160" s="49"/>
      <c r="CU160" s="49"/>
      <c r="CV160" s="49"/>
      <c r="CW160" s="49"/>
    </row>
    <row r="161" spans="1:101" ht="409.5" x14ac:dyDescent="0.25">
      <c r="A161" s="276">
        <v>19</v>
      </c>
      <c r="B161" s="269" t="s">
        <v>4575</v>
      </c>
      <c r="C161" s="269" t="s">
        <v>3905</v>
      </c>
      <c r="D161" s="189" t="s">
        <v>3906</v>
      </c>
      <c r="E161" s="276" t="s">
        <v>3991</v>
      </c>
      <c r="F161" s="189" t="s">
        <v>3992</v>
      </c>
      <c r="G161" s="172">
        <v>1</v>
      </c>
      <c r="H161" s="276" t="s">
        <v>3993</v>
      </c>
      <c r="I161" s="276">
        <v>138</v>
      </c>
      <c r="J161" s="276" t="s">
        <v>3994</v>
      </c>
      <c r="K161" s="276">
        <v>502138</v>
      </c>
      <c r="L161" s="189" t="s">
        <v>400</v>
      </c>
      <c r="M161" s="276" t="s">
        <v>3911</v>
      </c>
      <c r="N161" s="189" t="s">
        <v>3995</v>
      </c>
      <c r="O161" s="189" t="s">
        <v>62</v>
      </c>
      <c r="P161" s="276" t="s">
        <v>63</v>
      </c>
      <c r="Q161" s="276" t="s">
        <v>3996</v>
      </c>
      <c r="R161" s="276"/>
      <c r="S161" s="276"/>
      <c r="T161" s="276" t="s">
        <v>65</v>
      </c>
      <c r="U161" s="276"/>
      <c r="V161" s="276"/>
      <c r="W161" s="83" t="s">
        <v>3997</v>
      </c>
      <c r="X161" s="173" t="e">
        <f>100/COUNTIFS(($B$6:$B$332),C161,($D$6:$D$332),E161)</f>
        <v>#DIV/0!</v>
      </c>
      <c r="Y161" s="276">
        <f t="shared" si="84"/>
        <v>1</v>
      </c>
      <c r="Z161" s="276">
        <v>0</v>
      </c>
      <c r="AA161" s="276" t="s">
        <v>1220</v>
      </c>
      <c r="AB161" s="276">
        <v>1</v>
      </c>
      <c r="AC161" s="275">
        <v>9</v>
      </c>
      <c r="AD161" s="189" t="s">
        <v>3998</v>
      </c>
      <c r="AE161" s="189" t="s">
        <v>1300</v>
      </c>
      <c r="AF161" s="189" t="s">
        <v>3999</v>
      </c>
      <c r="AG161" s="189" t="s">
        <v>4000</v>
      </c>
      <c r="AH161" s="275" t="s">
        <v>1323</v>
      </c>
      <c r="AI161" s="275">
        <v>1</v>
      </c>
      <c r="AJ161" s="83" t="str">
        <f t="shared" si="85"/>
        <v>5021381</v>
      </c>
      <c r="AK161" s="83" t="s">
        <v>4001</v>
      </c>
      <c r="AL161" s="83" t="s">
        <v>137</v>
      </c>
      <c r="AM161" s="83" t="s">
        <v>1348</v>
      </c>
      <c r="AN161" s="83" t="s">
        <v>4002</v>
      </c>
      <c r="AO161" s="78" t="s">
        <v>4003</v>
      </c>
      <c r="AP161" s="189" t="s">
        <v>4524</v>
      </c>
      <c r="AQ161" s="276" t="s">
        <v>2201</v>
      </c>
      <c r="AR161" s="189" t="s">
        <v>4525</v>
      </c>
      <c r="AS161" s="275" t="s">
        <v>1880</v>
      </c>
      <c r="AT161" s="189" t="s">
        <v>4526</v>
      </c>
      <c r="AU161" s="275" t="s">
        <v>4004</v>
      </c>
      <c r="AV161" s="275" t="s">
        <v>2179</v>
      </c>
      <c r="AW161" s="189" t="s">
        <v>4005</v>
      </c>
      <c r="AX161" s="275">
        <v>1</v>
      </c>
      <c r="AY161" s="276" t="str">
        <f t="shared" si="86"/>
        <v>50213811</v>
      </c>
      <c r="AZ161" s="276" t="s">
        <v>4004</v>
      </c>
      <c r="BA161" s="83" t="s">
        <v>4006</v>
      </c>
      <c r="BB161" s="83" t="s">
        <v>1229</v>
      </c>
      <c r="BC161" s="78" t="s">
        <v>11</v>
      </c>
      <c r="BD161" s="275" t="s">
        <v>2179</v>
      </c>
      <c r="BE161" s="78" t="s">
        <v>9</v>
      </c>
      <c r="BF161" s="78" t="s">
        <v>9</v>
      </c>
      <c r="BG161" s="83" t="s">
        <v>4007</v>
      </c>
      <c r="BH161" s="78"/>
      <c r="BI161" s="83" t="s">
        <v>3478</v>
      </c>
      <c r="BJ161" s="83" t="s">
        <v>3479</v>
      </c>
      <c r="BK161" s="83" t="s">
        <v>3479</v>
      </c>
      <c r="BL161" s="83" t="s">
        <v>3480</v>
      </c>
      <c r="BM161" s="275">
        <v>2015</v>
      </c>
      <c r="BN161" s="187">
        <v>0.4617</v>
      </c>
      <c r="BO161" s="187">
        <v>0.6</v>
      </c>
      <c r="BP161" s="89"/>
      <c r="BQ161" s="86" t="s">
        <v>4008</v>
      </c>
      <c r="BR161" s="275">
        <v>5</v>
      </c>
      <c r="BS161" s="188">
        <v>0.4894</v>
      </c>
      <c r="BT161" s="188">
        <v>0.51439999999999997</v>
      </c>
      <c r="BU161" s="86" t="s">
        <v>4009</v>
      </c>
      <c r="BV161" s="188">
        <v>0.38109999999999999</v>
      </c>
      <c r="BW161" s="188">
        <v>0.51700000000000002</v>
      </c>
      <c r="BX161" s="188">
        <v>0.56920000000000004</v>
      </c>
      <c r="BY161" s="86" t="s">
        <v>4010</v>
      </c>
      <c r="BZ161" s="89">
        <v>0.77729999999999999</v>
      </c>
      <c r="CA161" s="188">
        <v>0.54469999999999996</v>
      </c>
      <c r="CB161" s="188"/>
      <c r="CC161" s="188" t="s">
        <v>1323</v>
      </c>
      <c r="CD161" s="188" t="s">
        <v>1323</v>
      </c>
      <c r="CE161" s="188">
        <v>0.57230000000000003</v>
      </c>
      <c r="CF161" s="188"/>
      <c r="CG161" s="188" t="s">
        <v>1323</v>
      </c>
      <c r="CH161" s="188" t="s">
        <v>1323</v>
      </c>
      <c r="CI161" s="188">
        <v>0.6</v>
      </c>
      <c r="CJ161" s="188"/>
      <c r="CK161" s="188" t="s">
        <v>1323</v>
      </c>
      <c r="CL161" s="89" t="s">
        <v>1323</v>
      </c>
      <c r="CM161" s="89"/>
      <c r="CN161" s="89"/>
      <c r="CO161" s="188"/>
      <c r="CP161" s="188"/>
      <c r="CQ161" s="285"/>
      <c r="CS161" s="24">
        <v>161</v>
      </c>
      <c r="CT161" s="49"/>
      <c r="CU161" s="49"/>
      <c r="CV161" s="49"/>
      <c r="CW161" s="49"/>
    </row>
    <row r="162" spans="1:101" ht="409.5" x14ac:dyDescent="0.25">
      <c r="A162" s="276">
        <v>19</v>
      </c>
      <c r="B162" s="269" t="s">
        <v>4575</v>
      </c>
      <c r="C162" s="269" t="s">
        <v>3905</v>
      </c>
      <c r="D162" s="189" t="s">
        <v>3906</v>
      </c>
      <c r="E162" s="276" t="s">
        <v>3991</v>
      </c>
      <c r="F162" s="189" t="s">
        <v>3992</v>
      </c>
      <c r="G162" s="172">
        <v>1</v>
      </c>
      <c r="H162" s="276" t="s">
        <v>3993</v>
      </c>
      <c r="I162" s="276">
        <v>138</v>
      </c>
      <c r="J162" s="276" t="s">
        <v>3994</v>
      </c>
      <c r="K162" s="276" t="s">
        <v>946</v>
      </c>
      <c r="L162" s="189" t="s">
        <v>400</v>
      </c>
      <c r="M162" s="276" t="s">
        <v>3911</v>
      </c>
      <c r="N162" s="189" t="s">
        <v>3995</v>
      </c>
      <c r="O162" s="189" t="s">
        <v>62</v>
      </c>
      <c r="P162" s="276" t="s">
        <v>63</v>
      </c>
      <c r="Q162" s="276" t="s">
        <v>3996</v>
      </c>
      <c r="R162" s="276"/>
      <c r="S162" s="276"/>
      <c r="T162" s="276" t="s">
        <v>65</v>
      </c>
      <c r="U162" s="276"/>
      <c r="V162" s="276"/>
      <c r="W162" s="83" t="s">
        <v>3997</v>
      </c>
      <c r="X162" s="173" t="e">
        <f>100/COUNTIFS(($B$6:$B$332),C162,($D$6:$D$332),E162)</f>
        <v>#DIV/0!</v>
      </c>
      <c r="Y162" s="276">
        <f t="shared" si="84"/>
        <v>1</v>
      </c>
      <c r="Z162" s="276">
        <v>0</v>
      </c>
      <c r="AA162" s="276" t="s">
        <v>1220</v>
      </c>
      <c r="AB162" s="276">
        <v>1</v>
      </c>
      <c r="AC162" s="275">
        <v>9</v>
      </c>
      <c r="AD162" s="189" t="s">
        <v>3998</v>
      </c>
      <c r="AE162" s="189" t="s">
        <v>1300</v>
      </c>
      <c r="AF162" s="189" t="s">
        <v>3999</v>
      </c>
      <c r="AG162" s="189" t="s">
        <v>4000</v>
      </c>
      <c r="AH162" s="275" t="s">
        <v>1323</v>
      </c>
      <c r="AI162" s="275">
        <v>2</v>
      </c>
      <c r="AJ162" s="83" t="str">
        <f t="shared" si="85"/>
        <v>05021382</v>
      </c>
      <c r="AK162" s="83" t="s">
        <v>4011</v>
      </c>
      <c r="AL162" s="83" t="s">
        <v>137</v>
      </c>
      <c r="AM162" s="83" t="s">
        <v>1348</v>
      </c>
      <c r="AN162" s="83" t="s">
        <v>4012</v>
      </c>
      <c r="AO162" s="78" t="s">
        <v>4003</v>
      </c>
      <c r="AP162" s="189" t="s">
        <v>4527</v>
      </c>
      <c r="AQ162" s="276" t="s">
        <v>2201</v>
      </c>
      <c r="AR162" s="189" t="s">
        <v>4528</v>
      </c>
      <c r="AS162" s="275" t="s">
        <v>1880</v>
      </c>
      <c r="AT162" s="189" t="s">
        <v>4529</v>
      </c>
      <c r="AU162" s="275" t="s">
        <v>4004</v>
      </c>
      <c r="AV162" s="275" t="s">
        <v>2179</v>
      </c>
      <c r="AW162" s="189" t="s">
        <v>4005</v>
      </c>
      <c r="AX162" s="275">
        <v>1</v>
      </c>
      <c r="AY162" s="276" t="str">
        <f t="shared" si="86"/>
        <v>050213821</v>
      </c>
      <c r="AZ162" s="276" t="s">
        <v>4004</v>
      </c>
      <c r="BA162" s="83" t="s">
        <v>4006</v>
      </c>
      <c r="BB162" s="83" t="s">
        <v>1229</v>
      </c>
      <c r="BC162" s="78" t="s">
        <v>11</v>
      </c>
      <c r="BD162" s="275" t="s">
        <v>2179</v>
      </c>
      <c r="BE162" s="78" t="s">
        <v>9</v>
      </c>
      <c r="BF162" s="78" t="s">
        <v>9</v>
      </c>
      <c r="BG162" s="83" t="s">
        <v>4013</v>
      </c>
      <c r="BH162" s="78"/>
      <c r="BI162" s="83" t="s">
        <v>3478</v>
      </c>
      <c r="BJ162" s="83" t="s">
        <v>3479</v>
      </c>
      <c r="BK162" s="83" t="s">
        <v>3479</v>
      </c>
      <c r="BL162" s="83" t="s">
        <v>3480</v>
      </c>
      <c r="BM162" s="275">
        <v>2015</v>
      </c>
      <c r="BN162" s="187">
        <v>0.39560000000000001</v>
      </c>
      <c r="BO162" s="187">
        <v>0.5</v>
      </c>
      <c r="BP162" s="89"/>
      <c r="BQ162" s="86" t="s">
        <v>4014</v>
      </c>
      <c r="BR162" s="275">
        <v>5</v>
      </c>
      <c r="BS162" s="188">
        <v>0.41649999999999998</v>
      </c>
      <c r="BT162" s="188">
        <v>0.41220000000000001</v>
      </c>
      <c r="BU162" s="86" t="s">
        <v>4015</v>
      </c>
      <c r="BV162" s="188">
        <v>0.159</v>
      </c>
      <c r="BW162" s="188">
        <v>0.43740000000000001</v>
      </c>
      <c r="BX162" s="188">
        <v>0.48480000000000001</v>
      </c>
      <c r="BY162" s="86" t="s">
        <v>4016</v>
      </c>
      <c r="BZ162" s="89">
        <v>0.85440000000000005</v>
      </c>
      <c r="CA162" s="188">
        <v>0.4582</v>
      </c>
      <c r="CB162" s="188"/>
      <c r="CC162" s="188" t="s">
        <v>1323</v>
      </c>
      <c r="CD162" s="188" t="s">
        <v>1323</v>
      </c>
      <c r="CE162" s="188">
        <v>0.47910000000000003</v>
      </c>
      <c r="CF162" s="188"/>
      <c r="CG162" s="188" t="s">
        <v>1323</v>
      </c>
      <c r="CH162" s="188" t="s">
        <v>1323</v>
      </c>
      <c r="CI162" s="188">
        <v>0.5</v>
      </c>
      <c r="CJ162" s="188"/>
      <c r="CK162" s="188" t="s">
        <v>1323</v>
      </c>
      <c r="CL162" s="89" t="s">
        <v>1323</v>
      </c>
      <c r="CM162" s="89"/>
      <c r="CN162" s="89"/>
      <c r="CO162" s="188"/>
      <c r="CP162" s="188"/>
      <c r="CQ162" s="285"/>
      <c r="CS162" s="2">
        <v>162</v>
      </c>
      <c r="CT162" s="49"/>
      <c r="CU162" s="49"/>
      <c r="CV162" s="49"/>
      <c r="CW162" s="49"/>
    </row>
    <row r="163" spans="1:101" ht="199.5" customHeight="1" x14ac:dyDescent="0.25">
      <c r="A163" s="276">
        <v>19</v>
      </c>
      <c r="B163" s="269" t="s">
        <v>4575</v>
      </c>
      <c r="C163" s="269" t="s">
        <v>3905</v>
      </c>
      <c r="D163" s="189" t="s">
        <v>3906</v>
      </c>
      <c r="E163" s="276" t="s">
        <v>3991</v>
      </c>
      <c r="F163" s="189" t="s">
        <v>3992</v>
      </c>
      <c r="G163" s="172">
        <v>1</v>
      </c>
      <c r="H163" s="276" t="s">
        <v>3993</v>
      </c>
      <c r="I163" s="276">
        <v>138</v>
      </c>
      <c r="J163" s="276" t="s">
        <v>3994</v>
      </c>
      <c r="K163" s="276" t="s">
        <v>946</v>
      </c>
      <c r="L163" s="189" t="s">
        <v>400</v>
      </c>
      <c r="M163" s="276" t="s">
        <v>3911</v>
      </c>
      <c r="N163" s="189" t="s">
        <v>3995</v>
      </c>
      <c r="O163" s="189" t="s">
        <v>62</v>
      </c>
      <c r="P163" s="276" t="s">
        <v>63</v>
      </c>
      <c r="Q163" s="276" t="s">
        <v>3996</v>
      </c>
      <c r="R163" s="276"/>
      <c r="S163" s="276"/>
      <c r="T163" s="276" t="s">
        <v>65</v>
      </c>
      <c r="U163" s="276"/>
      <c r="V163" s="276"/>
      <c r="W163" s="83" t="s">
        <v>3997</v>
      </c>
      <c r="X163" s="173" t="e">
        <f>100/COUNTIFS(($B$6:$B$332),C163,($D$6:$D$332),E163)</f>
        <v>#DIV/0!</v>
      </c>
      <c r="Y163" s="276">
        <f t="shared" si="84"/>
        <v>1</v>
      </c>
      <c r="Z163" s="276">
        <v>0</v>
      </c>
      <c r="AA163" s="276" t="s">
        <v>1220</v>
      </c>
      <c r="AB163" s="276">
        <v>1</v>
      </c>
      <c r="AC163" s="275">
        <v>9</v>
      </c>
      <c r="AD163" s="189" t="s">
        <v>3998</v>
      </c>
      <c r="AE163" s="189" t="s">
        <v>1300</v>
      </c>
      <c r="AF163" s="189" t="s">
        <v>3999</v>
      </c>
      <c r="AG163" s="189" t="s">
        <v>4000</v>
      </c>
      <c r="AH163" s="275" t="s">
        <v>1323</v>
      </c>
      <c r="AI163" s="275">
        <v>3</v>
      </c>
      <c r="AJ163" s="83" t="str">
        <f t="shared" si="85"/>
        <v>05021383</v>
      </c>
      <c r="AK163" s="83" t="s">
        <v>4017</v>
      </c>
      <c r="AL163" s="83" t="s">
        <v>137</v>
      </c>
      <c r="AM163" s="83" t="s">
        <v>1348</v>
      </c>
      <c r="AN163" s="83" t="s">
        <v>4018</v>
      </c>
      <c r="AO163" s="78" t="s">
        <v>4003</v>
      </c>
      <c r="AP163" s="189" t="s">
        <v>4530</v>
      </c>
      <c r="AQ163" s="276" t="s">
        <v>2201</v>
      </c>
      <c r="AR163" s="189" t="s">
        <v>4531</v>
      </c>
      <c r="AS163" s="275" t="s">
        <v>1880</v>
      </c>
      <c r="AT163" s="189" t="s">
        <v>4532</v>
      </c>
      <c r="AU163" s="275" t="s">
        <v>4004</v>
      </c>
      <c r="AV163" s="275" t="s">
        <v>2179</v>
      </c>
      <c r="AW163" s="189" t="s">
        <v>4005</v>
      </c>
      <c r="AX163" s="275">
        <v>1</v>
      </c>
      <c r="AY163" s="276" t="str">
        <f t="shared" si="86"/>
        <v>050213831</v>
      </c>
      <c r="AZ163" s="276" t="s">
        <v>4004</v>
      </c>
      <c r="BA163" s="83" t="s">
        <v>4006</v>
      </c>
      <c r="BB163" s="83" t="s">
        <v>1229</v>
      </c>
      <c r="BC163" s="78" t="s">
        <v>11</v>
      </c>
      <c r="BD163" s="275" t="s">
        <v>2179</v>
      </c>
      <c r="BE163" s="78" t="s">
        <v>9</v>
      </c>
      <c r="BF163" s="78" t="s">
        <v>9</v>
      </c>
      <c r="BG163" s="83" t="s">
        <v>4019</v>
      </c>
      <c r="BH163" s="78"/>
      <c r="BI163" s="83" t="s">
        <v>3478</v>
      </c>
      <c r="BJ163" s="83" t="s">
        <v>3479</v>
      </c>
      <c r="BK163" s="83" t="s">
        <v>3479</v>
      </c>
      <c r="BL163" s="83" t="s">
        <v>3480</v>
      </c>
      <c r="BM163" s="275">
        <v>2015</v>
      </c>
      <c r="BN163" s="187">
        <v>0.24399999999999999</v>
      </c>
      <c r="BO163" s="187">
        <v>0.5</v>
      </c>
      <c r="BP163" s="89"/>
      <c r="BQ163" s="86" t="s">
        <v>4020</v>
      </c>
      <c r="BR163" s="275">
        <v>5</v>
      </c>
      <c r="BS163" s="188">
        <v>0.29520000000000002</v>
      </c>
      <c r="BT163" s="188">
        <v>0.31380000000000002</v>
      </c>
      <c r="BU163" s="86" t="s">
        <v>4021</v>
      </c>
      <c r="BV163" s="188">
        <v>0.2727</v>
      </c>
      <c r="BW163" s="188">
        <v>0.34639999999999999</v>
      </c>
      <c r="BX163" s="188">
        <v>0.43630000000000002</v>
      </c>
      <c r="BY163" s="86" t="s">
        <v>4022</v>
      </c>
      <c r="BZ163" s="89">
        <v>0.75119999999999998</v>
      </c>
      <c r="CA163" s="188">
        <v>0.39760000000000001</v>
      </c>
      <c r="CB163" s="188"/>
      <c r="CC163" s="188" t="s">
        <v>1323</v>
      </c>
      <c r="CD163" s="188" t="s">
        <v>1323</v>
      </c>
      <c r="CE163" s="188">
        <v>0.44879999999999998</v>
      </c>
      <c r="CF163" s="188"/>
      <c r="CG163" s="188" t="s">
        <v>1323</v>
      </c>
      <c r="CH163" s="188" t="s">
        <v>1323</v>
      </c>
      <c r="CI163" s="188">
        <v>0.5</v>
      </c>
      <c r="CJ163" s="188"/>
      <c r="CK163" s="188" t="s">
        <v>1323</v>
      </c>
      <c r="CL163" s="89" t="s">
        <v>1323</v>
      </c>
      <c r="CM163" s="89"/>
      <c r="CN163" s="89"/>
      <c r="CO163" s="188"/>
      <c r="CP163" s="188"/>
      <c r="CQ163" s="285"/>
      <c r="CS163" s="24">
        <v>163</v>
      </c>
      <c r="CT163" s="49"/>
      <c r="CU163" s="49"/>
      <c r="CV163" s="49"/>
      <c r="CW163" s="49"/>
    </row>
    <row r="164" spans="1:101" ht="409.5" x14ac:dyDescent="0.25">
      <c r="A164" s="276">
        <v>19</v>
      </c>
      <c r="B164" s="269" t="s">
        <v>4575</v>
      </c>
      <c r="C164" s="269" t="s">
        <v>3905</v>
      </c>
      <c r="D164" s="189" t="s">
        <v>3906</v>
      </c>
      <c r="E164" s="276" t="s">
        <v>3991</v>
      </c>
      <c r="F164" s="189" t="s">
        <v>3992</v>
      </c>
      <c r="G164" s="172">
        <v>1</v>
      </c>
      <c r="H164" s="276" t="s">
        <v>3993</v>
      </c>
      <c r="I164" s="276">
        <v>138</v>
      </c>
      <c r="J164" s="276" t="s">
        <v>3994</v>
      </c>
      <c r="K164" s="276" t="s">
        <v>946</v>
      </c>
      <c r="L164" s="189" t="s">
        <v>400</v>
      </c>
      <c r="M164" s="276" t="s">
        <v>3911</v>
      </c>
      <c r="N164" s="189" t="s">
        <v>3995</v>
      </c>
      <c r="O164" s="189" t="s">
        <v>62</v>
      </c>
      <c r="P164" s="276" t="s">
        <v>63</v>
      </c>
      <c r="Q164" s="276" t="s">
        <v>3996</v>
      </c>
      <c r="R164" s="276"/>
      <c r="S164" s="276"/>
      <c r="T164" s="276" t="s">
        <v>65</v>
      </c>
      <c r="U164" s="276"/>
      <c r="V164" s="276"/>
      <c r="W164" s="83" t="s">
        <v>3997</v>
      </c>
      <c r="X164" s="173" t="e">
        <f>100/COUNTIFS(($B$6:$B$332),C164,($D$6:$D$332),E164)</f>
        <v>#DIV/0!</v>
      </c>
      <c r="Y164" s="276">
        <f t="shared" si="84"/>
        <v>1</v>
      </c>
      <c r="Z164" s="276">
        <v>0</v>
      </c>
      <c r="AA164" s="276" t="s">
        <v>1220</v>
      </c>
      <c r="AB164" s="276">
        <v>1</v>
      </c>
      <c r="AC164" s="275">
        <v>9</v>
      </c>
      <c r="AD164" s="189" t="s">
        <v>3998</v>
      </c>
      <c r="AE164" s="189" t="s">
        <v>1300</v>
      </c>
      <c r="AF164" s="189" t="s">
        <v>3999</v>
      </c>
      <c r="AG164" s="189" t="s">
        <v>4000</v>
      </c>
      <c r="AH164" s="275" t="s">
        <v>1323</v>
      </c>
      <c r="AI164" s="275">
        <v>4</v>
      </c>
      <c r="AJ164" s="83" t="str">
        <f t="shared" si="85"/>
        <v>05021384</v>
      </c>
      <c r="AK164" s="83" t="s">
        <v>4023</v>
      </c>
      <c r="AL164" s="83" t="s">
        <v>137</v>
      </c>
      <c r="AM164" s="83" t="s">
        <v>1348</v>
      </c>
      <c r="AN164" s="83" t="s">
        <v>4024</v>
      </c>
      <c r="AO164" s="83" t="s">
        <v>4025</v>
      </c>
      <c r="AP164" s="189" t="s">
        <v>4026</v>
      </c>
      <c r="AQ164" s="276" t="s">
        <v>3451</v>
      </c>
      <c r="AR164" s="189" t="s">
        <v>4533</v>
      </c>
      <c r="AS164" s="275" t="s">
        <v>1880</v>
      </c>
      <c r="AT164" s="189" t="s">
        <v>4027</v>
      </c>
      <c r="AU164" s="275" t="s">
        <v>4004</v>
      </c>
      <c r="AV164" s="275" t="s">
        <v>2359</v>
      </c>
      <c r="AW164" s="189" t="s">
        <v>4534</v>
      </c>
      <c r="AX164" s="275">
        <v>1</v>
      </c>
      <c r="AY164" s="276" t="str">
        <f t="shared" si="86"/>
        <v>050213841</v>
      </c>
      <c r="AZ164" s="276" t="s">
        <v>4004</v>
      </c>
      <c r="BA164" s="83" t="s">
        <v>4006</v>
      </c>
      <c r="BB164" s="83" t="s">
        <v>1229</v>
      </c>
      <c r="BC164" s="78" t="s">
        <v>11</v>
      </c>
      <c r="BD164" s="275" t="s">
        <v>2179</v>
      </c>
      <c r="BE164" s="78" t="s">
        <v>9</v>
      </c>
      <c r="BF164" s="78" t="s">
        <v>9</v>
      </c>
      <c r="BG164" s="83" t="s">
        <v>4028</v>
      </c>
      <c r="BH164" s="78"/>
      <c r="BI164" s="83" t="s">
        <v>3478</v>
      </c>
      <c r="BJ164" s="83" t="s">
        <v>3479</v>
      </c>
      <c r="BK164" s="83" t="s">
        <v>3479</v>
      </c>
      <c r="BL164" s="83" t="s">
        <v>3480</v>
      </c>
      <c r="BM164" s="275">
        <v>2015</v>
      </c>
      <c r="BN164" s="81">
        <f>163/339</f>
        <v>0.4808259587020649</v>
      </c>
      <c r="BO164" s="81">
        <v>0.75</v>
      </c>
      <c r="BP164" s="89"/>
      <c r="BQ164" s="86" t="s">
        <v>4029</v>
      </c>
      <c r="BR164" s="275">
        <v>5</v>
      </c>
      <c r="BS164" s="139">
        <v>0.53</v>
      </c>
      <c r="BT164" s="139">
        <f>164/339</f>
        <v>0.48377581120943952</v>
      </c>
      <c r="BU164" s="94" t="s">
        <v>4030</v>
      </c>
      <c r="BV164" s="188">
        <v>1.0999999999999999E-2</v>
      </c>
      <c r="BW164" s="188">
        <v>0.58850000000000002</v>
      </c>
      <c r="BX164" s="188">
        <f>190/339</f>
        <v>0.56047197640117996</v>
      </c>
      <c r="BY164" s="94" t="s">
        <v>4031</v>
      </c>
      <c r="BZ164" s="89">
        <v>0.2959</v>
      </c>
      <c r="CA164" s="188">
        <v>0.64229999999999998</v>
      </c>
      <c r="CB164" s="188"/>
      <c r="CC164" s="188" t="s">
        <v>1323</v>
      </c>
      <c r="CD164" s="188" t="s">
        <v>1323</v>
      </c>
      <c r="CE164" s="188">
        <v>0.69620000000000004</v>
      </c>
      <c r="CF164" s="188"/>
      <c r="CG164" s="188" t="s">
        <v>1323</v>
      </c>
      <c r="CH164" s="188" t="s">
        <v>1323</v>
      </c>
      <c r="CI164" s="188">
        <v>0.75</v>
      </c>
      <c r="CJ164" s="188"/>
      <c r="CK164" s="188" t="s">
        <v>1323</v>
      </c>
      <c r="CL164" s="89" t="s">
        <v>1323</v>
      </c>
      <c r="CM164" s="89"/>
      <c r="CN164" s="89"/>
      <c r="CO164" s="188"/>
      <c r="CP164" s="188"/>
      <c r="CQ164" s="285"/>
      <c r="CS164" s="24">
        <v>164</v>
      </c>
      <c r="CT164" s="49"/>
      <c r="CU164" s="49"/>
      <c r="CV164" s="49"/>
      <c r="CW164" s="49"/>
    </row>
    <row r="165" spans="1:101" ht="270.75" x14ac:dyDescent="0.25">
      <c r="A165" s="276">
        <v>19</v>
      </c>
      <c r="B165" s="269" t="s">
        <v>4575</v>
      </c>
      <c r="C165" s="269" t="s">
        <v>3905</v>
      </c>
      <c r="D165" s="189" t="s">
        <v>3906</v>
      </c>
      <c r="E165" s="276" t="s">
        <v>4032</v>
      </c>
      <c r="F165" s="189" t="s">
        <v>4033</v>
      </c>
      <c r="G165" s="172">
        <v>1</v>
      </c>
      <c r="H165" s="276" t="s">
        <v>4034</v>
      </c>
      <c r="I165" s="276">
        <v>139</v>
      </c>
      <c r="J165" s="276" t="s">
        <v>4035</v>
      </c>
      <c r="K165" s="276" t="s">
        <v>947</v>
      </c>
      <c r="L165" s="189" t="s">
        <v>401</v>
      </c>
      <c r="M165" s="276" t="s">
        <v>3911</v>
      </c>
      <c r="N165" s="189" t="s">
        <v>4036</v>
      </c>
      <c r="O165" s="189" t="s">
        <v>62</v>
      </c>
      <c r="P165" s="276" t="s">
        <v>189</v>
      </c>
      <c r="Q165" s="276" t="s">
        <v>4037</v>
      </c>
      <c r="R165" s="276"/>
      <c r="S165" s="276"/>
      <c r="T165" s="276" t="s">
        <v>65</v>
      </c>
      <c r="U165" s="276"/>
      <c r="V165" s="276"/>
      <c r="W165" s="276"/>
      <c r="X165" s="173"/>
      <c r="Y165" s="276">
        <f t="shared" si="84"/>
        <v>1</v>
      </c>
      <c r="Z165" s="276">
        <v>0</v>
      </c>
      <c r="AA165" s="276" t="s">
        <v>1220</v>
      </c>
      <c r="AB165" s="276">
        <v>1</v>
      </c>
      <c r="AC165" s="275"/>
      <c r="AD165" s="189"/>
      <c r="AE165" s="189"/>
      <c r="AF165" s="79"/>
      <c r="AG165" s="276" t="s">
        <v>3975</v>
      </c>
      <c r="AH165" s="77"/>
      <c r="AI165" s="275">
        <v>1</v>
      </c>
      <c r="AJ165" s="83" t="str">
        <f t="shared" si="85"/>
        <v>05031391</v>
      </c>
      <c r="AK165" s="83" t="s">
        <v>4038</v>
      </c>
      <c r="AL165" s="189" t="s">
        <v>1259</v>
      </c>
      <c r="AM165" s="189"/>
      <c r="AN165" s="83" t="s">
        <v>9</v>
      </c>
      <c r="AO165" s="83" t="s">
        <v>10</v>
      </c>
      <c r="AP165" s="83" t="s">
        <v>4039</v>
      </c>
      <c r="AQ165" s="189" t="s">
        <v>4040</v>
      </c>
      <c r="AR165" s="189" t="s">
        <v>4041</v>
      </c>
      <c r="AS165" s="189" t="s">
        <v>3959</v>
      </c>
      <c r="AT165" s="189" t="s">
        <v>4042</v>
      </c>
      <c r="AU165" s="189" t="s">
        <v>3959</v>
      </c>
      <c r="AV165" s="79" t="s">
        <v>4043</v>
      </c>
      <c r="AW165" s="76"/>
      <c r="AX165" s="275">
        <v>1</v>
      </c>
      <c r="AY165" s="276" t="str">
        <f t="shared" si="86"/>
        <v>050313911</v>
      </c>
      <c r="AZ165" s="189" t="s">
        <v>3963</v>
      </c>
      <c r="BA165" s="83" t="s">
        <v>3959</v>
      </c>
      <c r="BB165" s="83" t="s">
        <v>4044</v>
      </c>
      <c r="BC165" s="83" t="s">
        <v>1359</v>
      </c>
      <c r="BD165" s="79" t="s">
        <v>4045</v>
      </c>
      <c r="BE165" s="83" t="s">
        <v>9</v>
      </c>
      <c r="BF165" s="83" t="s">
        <v>4046</v>
      </c>
      <c r="BG165" s="79" t="s">
        <v>4037</v>
      </c>
      <c r="BH165" s="76"/>
      <c r="BI165" s="189" t="s">
        <v>4047</v>
      </c>
      <c r="BJ165" s="189" t="s">
        <v>4048</v>
      </c>
      <c r="BK165" s="189" t="s">
        <v>4049</v>
      </c>
      <c r="BL165" s="189" t="s">
        <v>4050</v>
      </c>
      <c r="BM165" s="78">
        <v>2015</v>
      </c>
      <c r="BN165" s="169">
        <v>0.06</v>
      </c>
      <c r="BO165" s="152">
        <v>0.4</v>
      </c>
      <c r="BP165" s="77"/>
      <c r="BQ165" s="86">
        <f>+BO165-BN165</f>
        <v>0.34</v>
      </c>
      <c r="BR165" s="275">
        <v>5</v>
      </c>
      <c r="BS165" s="188">
        <f>+BN165-(((BQ165)/5)*(-1))</f>
        <v>0.128</v>
      </c>
      <c r="BT165" s="169">
        <v>8.2000000000000003E-2</v>
      </c>
      <c r="BU165" s="188">
        <f>+BT165-BN165</f>
        <v>2.2000000000000006E-2</v>
      </c>
      <c r="BV165" s="188">
        <f>+BU165/BQ165</f>
        <v>6.4705882352941183E-2</v>
      </c>
      <c r="BW165" s="188">
        <f>+BN165-(((BQ165)/5)*(-2))</f>
        <v>0.19600000000000001</v>
      </c>
      <c r="BX165" s="169">
        <v>6.7000000000000004E-2</v>
      </c>
      <c r="BY165" s="188">
        <f>+BX165-BN165</f>
        <v>7.0000000000000062E-3</v>
      </c>
      <c r="BZ165" s="89">
        <f>+BY165/BQ165</f>
        <v>2.0588235294117664E-2</v>
      </c>
      <c r="CA165" s="188">
        <f>+BN165-(((BQ165)/5)*(-3))</f>
        <v>0.26400000000000001</v>
      </c>
      <c r="CB165" s="188"/>
      <c r="CC165" s="188">
        <f>+CB165-BN165</f>
        <v>-0.06</v>
      </c>
      <c r="CD165" s="188">
        <f>+CC165/BQ165</f>
        <v>-0.1764705882352941</v>
      </c>
      <c r="CE165" s="188">
        <f>+BN165-(((BQ165)/5)*(-4))</f>
        <v>0.33200000000000002</v>
      </c>
      <c r="CF165" s="188"/>
      <c r="CG165" s="188">
        <f>+CF165-BN165</f>
        <v>-0.06</v>
      </c>
      <c r="CH165" s="188">
        <f>+CG165/BQ165</f>
        <v>-0.1764705882352941</v>
      </c>
      <c r="CI165" s="188">
        <f>+BN165-(((BQ165)/5)*(-5))</f>
        <v>0.4</v>
      </c>
      <c r="CJ165" s="188"/>
      <c r="CK165" s="188">
        <f>+CJ165-BN165</f>
        <v>-0.06</v>
      </c>
      <c r="CL165" s="89">
        <f>+CK165/BQ165</f>
        <v>-0.1764705882352941</v>
      </c>
      <c r="CM165" s="89" t="s">
        <v>4051</v>
      </c>
      <c r="CN165" s="188" t="s">
        <v>3990</v>
      </c>
      <c r="CO165" s="188"/>
      <c r="CP165" s="188"/>
      <c r="CQ165" s="285"/>
      <c r="CS165" s="2">
        <v>165</v>
      </c>
      <c r="CT165" s="49"/>
      <c r="CU165" s="49"/>
      <c r="CV165" s="49"/>
      <c r="CW165" s="49"/>
    </row>
    <row r="166" spans="1:101" ht="242.25" x14ac:dyDescent="0.25">
      <c r="A166" s="276">
        <v>19</v>
      </c>
      <c r="B166" s="269" t="s">
        <v>4575</v>
      </c>
      <c r="C166" s="269" t="s">
        <v>3905</v>
      </c>
      <c r="D166" s="189" t="s">
        <v>3906</v>
      </c>
      <c r="E166" s="276" t="s">
        <v>4032</v>
      </c>
      <c r="F166" s="189" t="s">
        <v>4052</v>
      </c>
      <c r="G166" s="172">
        <v>2</v>
      </c>
      <c r="H166" s="276" t="s">
        <v>4053</v>
      </c>
      <c r="I166" s="276">
        <v>140</v>
      </c>
      <c r="J166" s="276" t="s">
        <v>4054</v>
      </c>
      <c r="K166" s="276" t="s">
        <v>948</v>
      </c>
      <c r="L166" s="276" t="s">
        <v>402</v>
      </c>
      <c r="M166" s="276" t="s">
        <v>3911</v>
      </c>
      <c r="N166" s="189" t="s">
        <v>4036</v>
      </c>
      <c r="O166" s="189" t="s">
        <v>62</v>
      </c>
      <c r="P166" s="276" t="s">
        <v>189</v>
      </c>
      <c r="Q166" s="276" t="s">
        <v>4037</v>
      </c>
      <c r="R166" s="276">
        <v>1</v>
      </c>
      <c r="S166" s="276"/>
      <c r="T166" s="276" t="s">
        <v>65</v>
      </c>
      <c r="U166" s="276"/>
      <c r="V166" s="276"/>
      <c r="W166" s="276"/>
      <c r="X166" s="173"/>
      <c r="Y166" s="276">
        <f t="shared" si="84"/>
        <v>1</v>
      </c>
      <c r="Z166" s="276">
        <v>0</v>
      </c>
      <c r="AA166" s="276" t="s">
        <v>1220</v>
      </c>
      <c r="AB166" s="276"/>
      <c r="AC166" s="275"/>
      <c r="AD166" s="189" t="s">
        <v>4055</v>
      </c>
      <c r="AE166" s="189" t="s">
        <v>4056</v>
      </c>
      <c r="AF166" s="79"/>
      <c r="AG166" s="276" t="s">
        <v>4057</v>
      </c>
      <c r="AH166" s="77"/>
      <c r="AI166" s="275">
        <v>1</v>
      </c>
      <c r="AJ166" s="83" t="str">
        <f t="shared" si="85"/>
        <v>05031401</v>
      </c>
      <c r="AK166" s="83" t="s">
        <v>4058</v>
      </c>
      <c r="AL166" s="189" t="s">
        <v>1259</v>
      </c>
      <c r="AM166" s="189"/>
      <c r="AN166" s="83" t="s">
        <v>9</v>
      </c>
      <c r="AO166" s="83" t="s">
        <v>10</v>
      </c>
      <c r="AP166" s="83" t="s">
        <v>4059</v>
      </c>
      <c r="AQ166" s="83" t="s">
        <v>4060</v>
      </c>
      <c r="AR166" s="79" t="s">
        <v>4061</v>
      </c>
      <c r="AS166" s="189" t="s">
        <v>3959</v>
      </c>
      <c r="AT166" s="79" t="s">
        <v>4062</v>
      </c>
      <c r="AU166" s="189" t="s">
        <v>4063</v>
      </c>
      <c r="AV166" s="79" t="s">
        <v>3609</v>
      </c>
      <c r="AW166" s="76"/>
      <c r="AX166" s="275">
        <v>1</v>
      </c>
      <c r="AY166" s="276" t="str">
        <f t="shared" si="86"/>
        <v>050314011</v>
      </c>
      <c r="AZ166" s="276" t="s">
        <v>4064</v>
      </c>
      <c r="BA166" s="83" t="s">
        <v>4065</v>
      </c>
      <c r="BB166" s="83" t="s">
        <v>4066</v>
      </c>
      <c r="BC166" s="83" t="s">
        <v>1359</v>
      </c>
      <c r="BD166" s="79" t="s">
        <v>3609</v>
      </c>
      <c r="BE166" s="83" t="s">
        <v>9</v>
      </c>
      <c r="BF166" s="83" t="s">
        <v>4067</v>
      </c>
      <c r="BG166" s="189" t="s">
        <v>4068</v>
      </c>
      <c r="BH166" s="76"/>
      <c r="BI166" s="189" t="s">
        <v>4069</v>
      </c>
      <c r="BJ166" s="189" t="s">
        <v>4070</v>
      </c>
      <c r="BK166" s="189" t="s">
        <v>4071</v>
      </c>
      <c r="BL166" s="189" t="s">
        <v>4072</v>
      </c>
      <c r="BM166" s="78">
        <v>2015</v>
      </c>
      <c r="BN166" s="157">
        <v>3.5000000000000003E-2</v>
      </c>
      <c r="BO166" s="152">
        <v>0.08</v>
      </c>
      <c r="BP166" s="77"/>
      <c r="BQ166" s="187">
        <f>+BO166-BN166</f>
        <v>4.4999999999999998E-2</v>
      </c>
      <c r="BR166" s="275">
        <v>5</v>
      </c>
      <c r="BS166" s="188">
        <f>+BN166-(((BQ166)/5)*(-1))</f>
        <v>4.4000000000000004E-2</v>
      </c>
      <c r="BT166" s="188">
        <v>3.2000000000000001E-2</v>
      </c>
      <c r="BU166" s="188">
        <f>+BT166-BN166</f>
        <v>-3.0000000000000027E-3</v>
      </c>
      <c r="BV166" s="188">
        <f>+BU166/BQ166</f>
        <v>-6.6666666666666735E-2</v>
      </c>
      <c r="BW166" s="188">
        <f>+BN166-(((BQ166)/5)*(-2))</f>
        <v>5.3000000000000005E-2</v>
      </c>
      <c r="BX166" s="188">
        <v>3.2000000000000001E-2</v>
      </c>
      <c r="BY166" s="188">
        <f>+BX166-BN166</f>
        <v>-3.0000000000000027E-3</v>
      </c>
      <c r="BZ166" s="89">
        <f>+BY166/BQ166</f>
        <v>-6.6666666666666735E-2</v>
      </c>
      <c r="CA166" s="188">
        <f>+BN166-(((BQ166)/5)*(-3))</f>
        <v>6.2E-2</v>
      </c>
      <c r="CB166" s="188"/>
      <c r="CC166" s="188">
        <f>+CB166-BN166</f>
        <v>-3.5000000000000003E-2</v>
      </c>
      <c r="CD166" s="188">
        <f>+CC166/BQ166</f>
        <v>-0.7777777777777779</v>
      </c>
      <c r="CE166" s="188">
        <f>+BN166-(((BQ166)/5)*(-4))</f>
        <v>7.1000000000000008E-2</v>
      </c>
      <c r="CF166" s="188"/>
      <c r="CG166" s="188">
        <f>+CF166-BN166</f>
        <v>-3.5000000000000003E-2</v>
      </c>
      <c r="CH166" s="188">
        <f>+CG166/BQ166</f>
        <v>-0.7777777777777779</v>
      </c>
      <c r="CI166" s="188">
        <f>+BN166-(((BQ166)/5)*(-5))</f>
        <v>0.08</v>
      </c>
      <c r="CJ166" s="188"/>
      <c r="CK166" s="188">
        <f>+CJ166-BN166</f>
        <v>-3.5000000000000003E-2</v>
      </c>
      <c r="CL166" s="89">
        <f>+CK166/BQ166</f>
        <v>-0.7777777777777779</v>
      </c>
      <c r="CM166" s="89" t="s">
        <v>11</v>
      </c>
      <c r="CN166" s="188" t="s">
        <v>3990</v>
      </c>
      <c r="CO166" s="188"/>
      <c r="CP166" s="188"/>
      <c r="CQ166" s="285"/>
      <c r="CS166" s="24">
        <v>166</v>
      </c>
      <c r="CT166" s="49"/>
      <c r="CU166" s="49"/>
      <c r="CV166" s="49"/>
      <c r="CW166" s="49"/>
    </row>
    <row r="167" spans="1:101" ht="342" x14ac:dyDescent="0.25">
      <c r="A167" s="276">
        <v>19</v>
      </c>
      <c r="B167" s="269" t="s">
        <v>4575</v>
      </c>
      <c r="C167" s="269" t="s">
        <v>3905</v>
      </c>
      <c r="D167" s="189" t="s">
        <v>3906</v>
      </c>
      <c r="E167" s="276" t="s">
        <v>4073</v>
      </c>
      <c r="F167" s="189" t="s">
        <v>4074</v>
      </c>
      <c r="G167" s="172">
        <v>1</v>
      </c>
      <c r="H167" s="276" t="s">
        <v>4075</v>
      </c>
      <c r="I167" s="276">
        <v>141</v>
      </c>
      <c r="J167" s="276" t="s">
        <v>4076</v>
      </c>
      <c r="K167" s="276" t="s">
        <v>949</v>
      </c>
      <c r="L167" s="189" t="s">
        <v>403</v>
      </c>
      <c r="M167" s="276" t="s">
        <v>3911</v>
      </c>
      <c r="N167" s="189" t="s">
        <v>4077</v>
      </c>
      <c r="O167" s="189" t="s">
        <v>62</v>
      </c>
      <c r="P167" s="276" t="s">
        <v>189</v>
      </c>
      <c r="Q167" s="276" t="s">
        <v>4078</v>
      </c>
      <c r="R167" s="276">
        <v>1</v>
      </c>
      <c r="S167" s="276"/>
      <c r="T167" s="276" t="s">
        <v>65</v>
      </c>
      <c r="U167" s="276"/>
      <c r="V167" s="276">
        <v>1</v>
      </c>
      <c r="W167" s="276"/>
      <c r="X167" s="173" t="e">
        <f>100/COUNTIFS(($B$4:$B$329),C167,($D$4:$D$329),E167)</f>
        <v>#DIV/0!</v>
      </c>
      <c r="Y167" s="276">
        <f t="shared" si="84"/>
        <v>1</v>
      </c>
      <c r="Z167" s="276">
        <v>0</v>
      </c>
      <c r="AA167" s="276" t="s">
        <v>1220</v>
      </c>
      <c r="AB167" s="276"/>
      <c r="AC167" s="275"/>
      <c r="AD167" s="189"/>
      <c r="AE167" s="189"/>
      <c r="AF167" s="79"/>
      <c r="AG167" s="276" t="s">
        <v>3975</v>
      </c>
      <c r="AH167" s="77"/>
      <c r="AI167" s="275">
        <v>1</v>
      </c>
      <c r="AJ167" s="83" t="str">
        <f t="shared" si="85"/>
        <v>05041411</v>
      </c>
      <c r="AK167" s="276" t="s">
        <v>4079</v>
      </c>
      <c r="AL167" s="189" t="s">
        <v>1350</v>
      </c>
      <c r="AM167" s="189"/>
      <c r="AN167" s="276" t="s">
        <v>4080</v>
      </c>
      <c r="AO167" s="276" t="s">
        <v>3731</v>
      </c>
      <c r="AP167" s="276" t="s">
        <v>4081</v>
      </c>
      <c r="AQ167" s="276" t="s">
        <v>4535</v>
      </c>
      <c r="AR167" s="276" t="s">
        <v>4082</v>
      </c>
      <c r="AS167" s="276" t="s">
        <v>3963</v>
      </c>
      <c r="AT167" s="276" t="s">
        <v>4083</v>
      </c>
      <c r="AU167" s="276" t="s">
        <v>4084</v>
      </c>
      <c r="AV167" s="276" t="s">
        <v>1707</v>
      </c>
      <c r="AW167" s="76"/>
      <c r="AX167" s="275">
        <v>1</v>
      </c>
      <c r="AY167" s="276" t="str">
        <f t="shared" si="86"/>
        <v>050414111</v>
      </c>
      <c r="AZ167" s="276"/>
      <c r="BA167" s="77"/>
      <c r="BB167" s="276" t="s">
        <v>2446</v>
      </c>
      <c r="BC167" s="276" t="s">
        <v>4085</v>
      </c>
      <c r="BD167" s="276" t="s">
        <v>4086</v>
      </c>
      <c r="BE167" s="276" t="s">
        <v>1665</v>
      </c>
      <c r="BF167" s="77"/>
      <c r="BG167" s="77"/>
      <c r="BH167" s="276" t="s">
        <v>4087</v>
      </c>
      <c r="BI167" s="276" t="s">
        <v>3963</v>
      </c>
      <c r="BJ167" s="276" t="s">
        <v>3963</v>
      </c>
      <c r="BK167" s="276" t="s">
        <v>4088</v>
      </c>
      <c r="BL167" s="276" t="s">
        <v>4089</v>
      </c>
      <c r="BM167" s="122">
        <v>43098</v>
      </c>
      <c r="BN167" s="89">
        <v>0.34899250382598002</v>
      </c>
      <c r="BO167" s="89">
        <v>0.193</v>
      </c>
      <c r="BP167" s="275"/>
      <c r="BQ167" s="248" t="s">
        <v>4090</v>
      </c>
      <c r="BR167" s="275">
        <v>3</v>
      </c>
      <c r="BS167" s="188">
        <v>0.31780000000000003</v>
      </c>
      <c r="BT167" s="188">
        <v>0.24921599999999999</v>
      </c>
      <c r="BU167" s="248" t="s">
        <v>4091</v>
      </c>
      <c r="BV167" s="188">
        <v>0.63959999999999995</v>
      </c>
      <c r="BW167" s="188">
        <v>0.28660000000000002</v>
      </c>
      <c r="BX167" s="188">
        <v>0.224</v>
      </c>
      <c r="BY167" s="248" t="s">
        <v>4092</v>
      </c>
      <c r="BZ167" s="89">
        <v>0.80130000000000001</v>
      </c>
      <c r="CA167" s="188">
        <v>0.25540000000000002</v>
      </c>
      <c r="CB167" s="188"/>
      <c r="CC167" s="94"/>
      <c r="CD167" s="188"/>
      <c r="CE167" s="188">
        <v>0.22420000000000001</v>
      </c>
      <c r="CF167" s="188"/>
      <c r="CG167" s="94"/>
      <c r="CH167" s="188"/>
      <c r="CI167" s="188">
        <v>0.193</v>
      </c>
      <c r="CJ167" s="188">
        <v>0.193</v>
      </c>
      <c r="CK167" s="248" t="s">
        <v>4093</v>
      </c>
      <c r="CL167" s="89">
        <v>1</v>
      </c>
      <c r="CM167" s="89" t="s">
        <v>11</v>
      </c>
      <c r="CN167" s="188" t="s">
        <v>1363</v>
      </c>
      <c r="CO167" s="188"/>
      <c r="CP167" s="188"/>
      <c r="CQ167" s="285"/>
      <c r="CS167" s="24">
        <v>167</v>
      </c>
      <c r="CT167" s="49"/>
      <c r="CU167" s="49"/>
      <c r="CV167" s="49"/>
      <c r="CW167" s="49"/>
    </row>
    <row r="168" spans="1:101" ht="256.5" x14ac:dyDescent="0.25">
      <c r="A168" s="276">
        <v>19</v>
      </c>
      <c r="B168" s="269" t="s">
        <v>4575</v>
      </c>
      <c r="C168" s="269" t="s">
        <v>3905</v>
      </c>
      <c r="D168" s="189" t="s">
        <v>3906</v>
      </c>
      <c r="E168" s="276" t="s">
        <v>4094</v>
      </c>
      <c r="F168" s="189" t="s">
        <v>4095</v>
      </c>
      <c r="G168" s="172">
        <v>1</v>
      </c>
      <c r="H168" s="276" t="s">
        <v>4096</v>
      </c>
      <c r="I168" s="276">
        <v>142</v>
      </c>
      <c r="J168" s="276" t="s">
        <v>4097</v>
      </c>
      <c r="K168" s="276" t="s">
        <v>950</v>
      </c>
      <c r="L168" s="189" t="s">
        <v>404</v>
      </c>
      <c r="M168" s="276" t="s">
        <v>3911</v>
      </c>
      <c r="N168" s="189" t="s">
        <v>4098</v>
      </c>
      <c r="O168" s="189" t="s">
        <v>62</v>
      </c>
      <c r="P168" s="276" t="s">
        <v>189</v>
      </c>
      <c r="Q168" s="276" t="s">
        <v>4098</v>
      </c>
      <c r="R168" s="276">
        <v>1</v>
      </c>
      <c r="S168" s="276">
        <v>1</v>
      </c>
      <c r="T168" s="276" t="s">
        <v>65</v>
      </c>
      <c r="U168" s="276"/>
      <c r="V168" s="276">
        <v>1</v>
      </c>
      <c r="W168" s="276"/>
      <c r="X168" s="173"/>
      <c r="Y168" s="276">
        <f t="shared" si="84"/>
        <v>1</v>
      </c>
      <c r="Z168" s="276">
        <v>0</v>
      </c>
      <c r="AA168" s="276" t="s">
        <v>1220</v>
      </c>
      <c r="AB168" s="276">
        <v>1</v>
      </c>
      <c r="AC168" s="275">
        <v>2</v>
      </c>
      <c r="AD168" s="189" t="s">
        <v>4099</v>
      </c>
      <c r="AE168" s="189" t="s">
        <v>4100</v>
      </c>
      <c r="AF168" s="79"/>
      <c r="AG168" s="276" t="s">
        <v>1236</v>
      </c>
      <c r="AH168" s="77"/>
      <c r="AI168" s="275">
        <v>1</v>
      </c>
      <c r="AJ168" s="83" t="str">
        <f t="shared" si="85"/>
        <v>05051421</v>
      </c>
      <c r="AK168" s="83" t="s">
        <v>4101</v>
      </c>
      <c r="AL168" s="189" t="s">
        <v>78</v>
      </c>
      <c r="AM168" s="84" t="s">
        <v>4536</v>
      </c>
      <c r="AN168" s="189" t="s">
        <v>9</v>
      </c>
      <c r="AO168" s="189" t="s">
        <v>10</v>
      </c>
      <c r="AP168" s="83" t="s">
        <v>4102</v>
      </c>
      <c r="AQ168" s="76"/>
      <c r="AR168" s="189" t="s">
        <v>4103</v>
      </c>
      <c r="AS168" s="189" t="s">
        <v>4104</v>
      </c>
      <c r="AT168" s="189" t="s">
        <v>4105</v>
      </c>
      <c r="AU168" s="189" t="s">
        <v>4106</v>
      </c>
      <c r="AV168" s="189">
        <v>2010</v>
      </c>
      <c r="AW168" s="189"/>
      <c r="AX168" s="275">
        <v>1</v>
      </c>
      <c r="AY168" s="276" t="str">
        <f t="shared" si="86"/>
        <v>050514211</v>
      </c>
      <c r="AZ168" s="276" t="s">
        <v>2100</v>
      </c>
      <c r="BA168" s="276" t="s">
        <v>2100</v>
      </c>
      <c r="BB168" s="276" t="s">
        <v>4107</v>
      </c>
      <c r="BC168" s="276" t="s">
        <v>11</v>
      </c>
      <c r="BD168" s="189" t="s">
        <v>4108</v>
      </c>
      <c r="BE168" s="189" t="s">
        <v>9</v>
      </c>
      <c r="BF168" s="189" t="s">
        <v>1665</v>
      </c>
      <c r="BG168" s="189" t="s">
        <v>4109</v>
      </c>
      <c r="BH168" s="276" t="s">
        <v>4087</v>
      </c>
      <c r="BI168" s="189" t="s">
        <v>4110</v>
      </c>
      <c r="BJ168" s="189" t="s">
        <v>4111</v>
      </c>
      <c r="BK168" s="276" t="s">
        <v>1856</v>
      </c>
      <c r="BL168" s="276">
        <v>2222333</v>
      </c>
      <c r="BM168" s="276">
        <v>2015</v>
      </c>
      <c r="BN168" s="140">
        <v>0.97909999999999997</v>
      </c>
      <c r="BO168" s="189" t="s">
        <v>404</v>
      </c>
      <c r="BP168" s="77"/>
      <c r="BQ168" s="187"/>
      <c r="BR168" s="275">
        <v>5</v>
      </c>
      <c r="BS168" s="188"/>
      <c r="BT168" s="188">
        <v>0.96540000000000004</v>
      </c>
      <c r="BU168" s="248" t="s">
        <v>4112</v>
      </c>
      <c r="BV168" s="188"/>
      <c r="BW168" s="188">
        <f>+BN168-(((BQ168)/5)*(-2))</f>
        <v>0.97909999999999997</v>
      </c>
      <c r="BX168" s="94">
        <v>93.67</v>
      </c>
      <c r="BY168" s="248" t="s">
        <v>4113</v>
      </c>
      <c r="BZ168" s="89"/>
      <c r="CA168" s="188">
        <f>+BN168-(((BQ168)/5)*(-3))</f>
        <v>0.97909999999999997</v>
      </c>
      <c r="CB168" s="188"/>
      <c r="CC168" s="188"/>
      <c r="CD168" s="188"/>
      <c r="CE168" s="188">
        <f>+BN168-(((BQ168)/5)*(-4))</f>
        <v>0.97909999999999997</v>
      </c>
      <c r="CF168" s="188"/>
      <c r="CG168" s="188"/>
      <c r="CH168" s="188"/>
      <c r="CI168" s="188">
        <f>+BN168-(((BQ168)/5)*(-5))</f>
        <v>0.97909999999999997</v>
      </c>
      <c r="CJ168" s="188"/>
      <c r="CK168" s="188"/>
      <c r="CL168" s="89"/>
      <c r="CM168" s="89"/>
      <c r="CN168" s="188"/>
      <c r="CO168" s="188"/>
      <c r="CP168" s="188"/>
      <c r="CQ168" s="285"/>
      <c r="CS168" s="2">
        <v>168</v>
      </c>
      <c r="CT168" s="49"/>
      <c r="CU168" s="49"/>
      <c r="CV168" s="49"/>
      <c r="CW168" s="49"/>
    </row>
    <row r="169" spans="1:101" ht="256.5" x14ac:dyDescent="0.25">
      <c r="A169" s="276">
        <v>19</v>
      </c>
      <c r="B169" s="269" t="s">
        <v>4575</v>
      </c>
      <c r="C169" s="269" t="s">
        <v>3905</v>
      </c>
      <c r="D169" s="189" t="s">
        <v>3906</v>
      </c>
      <c r="E169" s="276" t="s">
        <v>4094</v>
      </c>
      <c r="F169" s="189" t="s">
        <v>4095</v>
      </c>
      <c r="G169" s="172">
        <v>1</v>
      </c>
      <c r="H169" s="276" t="s">
        <v>4096</v>
      </c>
      <c r="I169" s="276">
        <v>142</v>
      </c>
      <c r="J169" s="276" t="s">
        <v>4097</v>
      </c>
      <c r="K169" s="276" t="s">
        <v>950</v>
      </c>
      <c r="L169" s="189" t="s">
        <v>404</v>
      </c>
      <c r="M169" s="276" t="s">
        <v>3911</v>
      </c>
      <c r="N169" s="189" t="s">
        <v>4098</v>
      </c>
      <c r="O169" s="189" t="s">
        <v>62</v>
      </c>
      <c r="P169" s="276" t="s">
        <v>189</v>
      </c>
      <c r="Q169" s="276" t="s">
        <v>4098</v>
      </c>
      <c r="R169" s="276">
        <v>1</v>
      </c>
      <c r="S169" s="276">
        <v>1</v>
      </c>
      <c r="T169" s="276" t="s">
        <v>65</v>
      </c>
      <c r="U169" s="276"/>
      <c r="V169" s="276">
        <v>1</v>
      </c>
      <c r="W169" s="276"/>
      <c r="X169" s="173"/>
      <c r="Y169" s="276">
        <f t="shared" si="84"/>
        <v>1</v>
      </c>
      <c r="Z169" s="276">
        <v>0</v>
      </c>
      <c r="AA169" s="276" t="s">
        <v>1220</v>
      </c>
      <c r="AB169" s="276">
        <v>1</v>
      </c>
      <c r="AC169" s="275">
        <v>2</v>
      </c>
      <c r="AD169" s="189" t="s">
        <v>4099</v>
      </c>
      <c r="AE169" s="189" t="s">
        <v>4100</v>
      </c>
      <c r="AF169" s="79"/>
      <c r="AG169" s="276" t="s">
        <v>1236</v>
      </c>
      <c r="AH169" s="77"/>
      <c r="AI169" s="275">
        <v>1</v>
      </c>
      <c r="AJ169" s="83" t="str">
        <f t="shared" si="85"/>
        <v>05051421</v>
      </c>
      <c r="AK169" s="83" t="s">
        <v>4114</v>
      </c>
      <c r="AL169" s="189" t="s">
        <v>78</v>
      </c>
      <c r="AM169" s="84" t="s">
        <v>4536</v>
      </c>
      <c r="AN169" s="189" t="s">
        <v>9</v>
      </c>
      <c r="AO169" s="189" t="s">
        <v>10</v>
      </c>
      <c r="AP169" s="83" t="s">
        <v>4115</v>
      </c>
      <c r="AQ169" s="76"/>
      <c r="AR169" s="189" t="s">
        <v>4116</v>
      </c>
      <c r="AS169" s="189" t="s">
        <v>4104</v>
      </c>
      <c r="AT169" s="189" t="s">
        <v>4117</v>
      </c>
      <c r="AU169" s="189" t="s">
        <v>4106</v>
      </c>
      <c r="AV169" s="189">
        <v>2010</v>
      </c>
      <c r="AW169" s="189"/>
      <c r="AX169" s="275">
        <v>1</v>
      </c>
      <c r="AY169" s="276" t="str">
        <f t="shared" si="86"/>
        <v>050514211</v>
      </c>
      <c r="AZ169" s="276" t="s">
        <v>2100</v>
      </c>
      <c r="BA169" s="276" t="s">
        <v>2100</v>
      </c>
      <c r="BB169" s="276" t="s">
        <v>4107</v>
      </c>
      <c r="BC169" s="276" t="s">
        <v>11</v>
      </c>
      <c r="BD169" s="189" t="s">
        <v>4118</v>
      </c>
      <c r="BE169" s="189" t="s">
        <v>9</v>
      </c>
      <c r="BF169" s="189" t="s">
        <v>1665</v>
      </c>
      <c r="BG169" s="189" t="s">
        <v>4109</v>
      </c>
      <c r="BH169" s="77"/>
      <c r="BI169" s="189" t="s">
        <v>4110</v>
      </c>
      <c r="BJ169" s="189" t="s">
        <v>4111</v>
      </c>
      <c r="BK169" s="189" t="s">
        <v>1856</v>
      </c>
      <c r="BL169" s="189">
        <v>2222333</v>
      </c>
      <c r="BM169" s="189">
        <v>2015</v>
      </c>
      <c r="BN169" s="250">
        <v>0.999</v>
      </c>
      <c r="BO169" s="189" t="s">
        <v>404</v>
      </c>
      <c r="BP169" s="77"/>
      <c r="BQ169" s="187"/>
      <c r="BR169" s="275">
        <v>5</v>
      </c>
      <c r="BS169" s="188"/>
      <c r="BT169" s="251">
        <v>0.99880000000000002</v>
      </c>
      <c r="BU169" s="252" t="s">
        <v>4119</v>
      </c>
      <c r="BV169" s="188"/>
      <c r="BW169" s="188">
        <f>+BN169-(((BQ169)/5)*(-2))</f>
        <v>0.999</v>
      </c>
      <c r="BX169" s="251">
        <v>0.99880000000000002</v>
      </c>
      <c r="BY169" s="252" t="s">
        <v>4119</v>
      </c>
      <c r="BZ169" s="89"/>
      <c r="CA169" s="188">
        <f>+BN169-(((BQ169)/5)*(-3))</f>
        <v>0.999</v>
      </c>
      <c r="CB169" s="188"/>
      <c r="CC169" s="188"/>
      <c r="CD169" s="188"/>
      <c r="CE169" s="188">
        <f>+BN169-(((BQ169)/5)*(-4))</f>
        <v>0.999</v>
      </c>
      <c r="CF169" s="188"/>
      <c r="CG169" s="188"/>
      <c r="CH169" s="188"/>
      <c r="CI169" s="188">
        <f>+BN169-(((BQ169)/5)*(-5))</f>
        <v>0.999</v>
      </c>
      <c r="CJ169" s="188"/>
      <c r="CK169" s="188"/>
      <c r="CL169" s="89"/>
      <c r="CM169" s="89"/>
      <c r="CN169" s="188"/>
      <c r="CO169" s="188"/>
      <c r="CP169" s="188"/>
      <c r="CQ169" s="285"/>
      <c r="CS169" s="24">
        <v>169</v>
      </c>
      <c r="CT169" s="49"/>
      <c r="CU169" s="49"/>
      <c r="CV169" s="49"/>
      <c r="CW169" s="49"/>
    </row>
    <row r="170" spans="1:101" ht="270.75" x14ac:dyDescent="0.25">
      <c r="A170" s="276">
        <v>19</v>
      </c>
      <c r="B170" s="269" t="s">
        <v>4575</v>
      </c>
      <c r="C170" s="269" t="s">
        <v>3905</v>
      </c>
      <c r="D170" s="189" t="s">
        <v>3906</v>
      </c>
      <c r="E170" s="276" t="s">
        <v>4094</v>
      </c>
      <c r="F170" s="189" t="s">
        <v>4095</v>
      </c>
      <c r="G170" s="172">
        <v>1</v>
      </c>
      <c r="H170" s="276" t="s">
        <v>4096</v>
      </c>
      <c r="I170" s="276">
        <v>142</v>
      </c>
      <c r="J170" s="276" t="s">
        <v>4120</v>
      </c>
      <c r="K170" s="276" t="s">
        <v>950</v>
      </c>
      <c r="L170" s="189" t="s">
        <v>405</v>
      </c>
      <c r="M170" s="276" t="s">
        <v>3911</v>
      </c>
      <c r="N170" s="189" t="s">
        <v>4098</v>
      </c>
      <c r="O170" s="189" t="s">
        <v>62</v>
      </c>
      <c r="P170" s="276" t="s">
        <v>189</v>
      </c>
      <c r="Q170" s="276" t="s">
        <v>4098</v>
      </c>
      <c r="R170" s="276">
        <v>1</v>
      </c>
      <c r="S170" s="276">
        <v>1</v>
      </c>
      <c r="T170" s="276" t="s">
        <v>65</v>
      </c>
      <c r="U170" s="276"/>
      <c r="V170" s="276">
        <v>1</v>
      </c>
      <c r="W170" s="276"/>
      <c r="X170" s="173"/>
      <c r="Y170" s="276">
        <f t="shared" si="84"/>
        <v>1</v>
      </c>
      <c r="Z170" s="276">
        <v>0</v>
      </c>
      <c r="AA170" s="276" t="s">
        <v>1221</v>
      </c>
      <c r="AB170" s="276">
        <v>1</v>
      </c>
      <c r="AC170" s="275">
        <v>2</v>
      </c>
      <c r="AD170" s="189" t="s">
        <v>4099</v>
      </c>
      <c r="AE170" s="189" t="s">
        <v>4100</v>
      </c>
      <c r="AF170" s="79"/>
      <c r="AG170" s="276" t="s">
        <v>1236</v>
      </c>
      <c r="AH170" s="77"/>
      <c r="AI170" s="275">
        <v>1</v>
      </c>
      <c r="AJ170" s="83" t="str">
        <f t="shared" si="85"/>
        <v>05051421</v>
      </c>
      <c r="AK170" s="83" t="s">
        <v>4121</v>
      </c>
      <c r="AL170" s="189" t="s">
        <v>78</v>
      </c>
      <c r="AM170" s="84" t="s">
        <v>4536</v>
      </c>
      <c r="AN170" s="189" t="s">
        <v>9</v>
      </c>
      <c r="AO170" s="189" t="s">
        <v>10</v>
      </c>
      <c r="AP170" s="83" t="s">
        <v>4122</v>
      </c>
      <c r="AQ170" s="76"/>
      <c r="AR170" s="189" t="s">
        <v>4123</v>
      </c>
      <c r="AS170" s="189" t="s">
        <v>4104</v>
      </c>
      <c r="AT170" s="189" t="s">
        <v>4124</v>
      </c>
      <c r="AU170" s="189" t="s">
        <v>4106</v>
      </c>
      <c r="AV170" s="189">
        <v>2010</v>
      </c>
      <c r="AW170" s="76"/>
      <c r="AX170" s="275">
        <v>1</v>
      </c>
      <c r="AY170" s="276" t="str">
        <f t="shared" si="86"/>
        <v>050514211</v>
      </c>
      <c r="AZ170" s="276" t="s">
        <v>2100</v>
      </c>
      <c r="BA170" s="276" t="s">
        <v>2100</v>
      </c>
      <c r="BB170" s="276" t="s">
        <v>4107</v>
      </c>
      <c r="BC170" s="276" t="s">
        <v>11</v>
      </c>
      <c r="BD170" s="189" t="s">
        <v>4125</v>
      </c>
      <c r="BE170" s="189" t="s">
        <v>9</v>
      </c>
      <c r="BF170" s="189" t="s">
        <v>1665</v>
      </c>
      <c r="BG170" s="189" t="s">
        <v>4109</v>
      </c>
      <c r="BH170" s="77"/>
      <c r="BI170" s="189" t="s">
        <v>4110</v>
      </c>
      <c r="BJ170" s="189" t="s">
        <v>4111</v>
      </c>
      <c r="BK170" s="189" t="s">
        <v>1856</v>
      </c>
      <c r="BL170" s="189">
        <v>2222333</v>
      </c>
      <c r="BM170" s="189">
        <v>2015</v>
      </c>
      <c r="BN170" s="250">
        <v>1.0569</v>
      </c>
      <c r="BO170" s="189" t="s">
        <v>404</v>
      </c>
      <c r="BP170" s="77"/>
      <c r="BQ170" s="187"/>
      <c r="BR170" s="275">
        <v>5</v>
      </c>
      <c r="BS170" s="188"/>
      <c r="BT170" s="139">
        <v>0.98929999999999996</v>
      </c>
      <c r="BU170" s="252" t="s">
        <v>4126</v>
      </c>
      <c r="BV170" s="188"/>
      <c r="BW170" s="188">
        <f>+BN170-(((BQ170)/5)*(-2))</f>
        <v>1.0569</v>
      </c>
      <c r="BX170" s="139">
        <v>1.0384</v>
      </c>
      <c r="BY170" s="252" t="s">
        <v>4127</v>
      </c>
      <c r="BZ170" s="89"/>
      <c r="CA170" s="188">
        <f>+BN170-(((BQ170)/5)*(-3))</f>
        <v>1.0569</v>
      </c>
      <c r="CB170" s="188"/>
      <c r="CC170" s="188"/>
      <c r="CD170" s="188"/>
      <c r="CE170" s="188">
        <f>+BN170-(((BQ170)/5)*(-4))</f>
        <v>1.0569</v>
      </c>
      <c r="CF170" s="188"/>
      <c r="CG170" s="188"/>
      <c r="CH170" s="188"/>
      <c r="CI170" s="188">
        <f>+BN170-(((BQ170)/5)*(-5))</f>
        <v>1.0569</v>
      </c>
      <c r="CJ170" s="188"/>
      <c r="CK170" s="188"/>
      <c r="CL170" s="89"/>
      <c r="CM170" s="89"/>
      <c r="CN170" s="188"/>
      <c r="CO170" s="188"/>
      <c r="CP170" s="188"/>
      <c r="CQ170" s="285"/>
      <c r="CS170" s="24">
        <v>170</v>
      </c>
      <c r="CT170" s="49"/>
      <c r="CU170" s="49"/>
      <c r="CV170" s="49"/>
      <c r="CW170" s="49"/>
    </row>
    <row r="171" spans="1:101" ht="270.75" customHeight="1" x14ac:dyDescent="0.25">
      <c r="A171" s="276">
        <v>19</v>
      </c>
      <c r="B171" s="269" t="s">
        <v>4575</v>
      </c>
      <c r="C171" s="269" t="s">
        <v>3905</v>
      </c>
      <c r="D171" s="189" t="s">
        <v>3906</v>
      </c>
      <c r="E171" s="276" t="s">
        <v>4094</v>
      </c>
      <c r="F171" s="189" t="s">
        <v>4095</v>
      </c>
      <c r="G171" s="172">
        <v>1</v>
      </c>
      <c r="H171" s="276" t="s">
        <v>4096</v>
      </c>
      <c r="I171" s="276">
        <v>142</v>
      </c>
      <c r="J171" s="276" t="s">
        <v>4128</v>
      </c>
      <c r="K171" s="276" t="s">
        <v>950</v>
      </c>
      <c r="L171" s="189" t="s">
        <v>406</v>
      </c>
      <c r="M171" s="276" t="s">
        <v>3911</v>
      </c>
      <c r="N171" s="189" t="s">
        <v>4098</v>
      </c>
      <c r="O171" s="189" t="s">
        <v>62</v>
      </c>
      <c r="P171" s="276" t="s">
        <v>189</v>
      </c>
      <c r="Q171" s="276" t="s">
        <v>4098</v>
      </c>
      <c r="R171" s="276">
        <v>1</v>
      </c>
      <c r="S171" s="276">
        <v>1</v>
      </c>
      <c r="T171" s="276" t="s">
        <v>65</v>
      </c>
      <c r="U171" s="276"/>
      <c r="V171" s="276">
        <v>1</v>
      </c>
      <c r="W171" s="276"/>
      <c r="X171" s="173"/>
      <c r="Y171" s="276">
        <f t="shared" si="84"/>
        <v>1</v>
      </c>
      <c r="Z171" s="276">
        <v>0</v>
      </c>
      <c r="AA171" s="276" t="s">
        <v>1221</v>
      </c>
      <c r="AB171" s="276">
        <v>1</v>
      </c>
      <c r="AC171" s="275">
        <v>2</v>
      </c>
      <c r="AD171" s="189" t="s">
        <v>4099</v>
      </c>
      <c r="AE171" s="189" t="s">
        <v>4100</v>
      </c>
      <c r="AF171" s="79"/>
      <c r="AG171" s="276" t="s">
        <v>1236</v>
      </c>
      <c r="AH171" s="77"/>
      <c r="AI171" s="275">
        <v>1</v>
      </c>
      <c r="AJ171" s="83" t="str">
        <f t="shared" si="85"/>
        <v>05051421</v>
      </c>
      <c r="AK171" s="83" t="s">
        <v>4129</v>
      </c>
      <c r="AL171" s="189" t="s">
        <v>78</v>
      </c>
      <c r="AM171" s="84" t="s">
        <v>4536</v>
      </c>
      <c r="AN171" s="189" t="s">
        <v>9</v>
      </c>
      <c r="AO171" s="189" t="s">
        <v>10</v>
      </c>
      <c r="AP171" s="83" t="s">
        <v>4130</v>
      </c>
      <c r="AQ171" s="76"/>
      <c r="AR171" s="189" t="s">
        <v>4131</v>
      </c>
      <c r="AS171" s="189" t="s">
        <v>4104</v>
      </c>
      <c r="AT171" s="189" t="s">
        <v>4132</v>
      </c>
      <c r="AU171" s="189" t="s">
        <v>4106</v>
      </c>
      <c r="AV171" s="189">
        <v>2010</v>
      </c>
      <c r="AW171" s="76"/>
      <c r="AX171" s="275">
        <v>1</v>
      </c>
      <c r="AY171" s="276" t="str">
        <f t="shared" si="86"/>
        <v>050514211</v>
      </c>
      <c r="AZ171" s="276" t="s">
        <v>2100</v>
      </c>
      <c r="BA171" s="276" t="s">
        <v>2100</v>
      </c>
      <c r="BB171" s="276" t="s">
        <v>4107</v>
      </c>
      <c r="BC171" s="276" t="s">
        <v>11</v>
      </c>
      <c r="BD171" s="189" t="s">
        <v>4133</v>
      </c>
      <c r="BE171" s="189" t="s">
        <v>9</v>
      </c>
      <c r="BF171" s="189" t="s">
        <v>1665</v>
      </c>
      <c r="BG171" s="189" t="s">
        <v>4109</v>
      </c>
      <c r="BH171" s="77"/>
      <c r="BI171" s="189" t="s">
        <v>4110</v>
      </c>
      <c r="BJ171" s="189" t="s">
        <v>4111</v>
      </c>
      <c r="BK171" s="189" t="s">
        <v>1856</v>
      </c>
      <c r="BL171" s="189">
        <v>2222333</v>
      </c>
      <c r="BM171" s="189">
        <v>2015</v>
      </c>
      <c r="BN171" s="158">
        <v>1.0215000000000001</v>
      </c>
      <c r="BO171" s="189" t="s">
        <v>404</v>
      </c>
      <c r="BP171" s="77"/>
      <c r="BQ171" s="187"/>
      <c r="BR171" s="275">
        <v>5</v>
      </c>
      <c r="BS171" s="188">
        <f>+BN171-(((BQ171)/5)*(-1))</f>
        <v>1.0215000000000001</v>
      </c>
      <c r="BT171" s="188">
        <v>1.0035000000000001</v>
      </c>
      <c r="BU171" s="252" t="s">
        <v>4134</v>
      </c>
      <c r="BV171" s="188"/>
      <c r="BW171" s="188">
        <f>+BN171-(((BQ171)/5)*(-2))</f>
        <v>1.0215000000000001</v>
      </c>
      <c r="BX171" s="139">
        <v>1</v>
      </c>
      <c r="BY171" s="252" t="s">
        <v>4135</v>
      </c>
      <c r="BZ171" s="89"/>
      <c r="CA171" s="188">
        <f>+BN171-(((BQ171)/5)*(-3))</f>
        <v>1.0215000000000001</v>
      </c>
      <c r="CB171" s="188"/>
      <c r="CC171" s="188"/>
      <c r="CD171" s="188"/>
      <c r="CE171" s="188">
        <f>+BN171-(((BQ171)/5)*(-4))</f>
        <v>1.0215000000000001</v>
      </c>
      <c r="CF171" s="188"/>
      <c r="CG171" s="188"/>
      <c r="CH171" s="188"/>
      <c r="CI171" s="188">
        <f>+BN171-(((BQ171)/5)*(-5))</f>
        <v>1.0215000000000001</v>
      </c>
      <c r="CJ171" s="188"/>
      <c r="CK171" s="188"/>
      <c r="CL171" s="89"/>
      <c r="CM171" s="89"/>
      <c r="CN171" s="188"/>
      <c r="CO171" s="188"/>
      <c r="CP171" s="188"/>
      <c r="CQ171" s="285"/>
      <c r="CS171" s="2">
        <v>171</v>
      </c>
      <c r="CT171" s="49"/>
      <c r="CU171" s="49"/>
      <c r="CV171" s="49"/>
      <c r="CW171" s="49"/>
    </row>
    <row r="172" spans="1:101" ht="270.75" customHeight="1" x14ac:dyDescent="0.25">
      <c r="A172" s="276">
        <v>19</v>
      </c>
      <c r="B172" s="269" t="s">
        <v>4575</v>
      </c>
      <c r="C172" s="269" t="s">
        <v>3905</v>
      </c>
      <c r="D172" s="189" t="s">
        <v>3906</v>
      </c>
      <c r="E172" s="276" t="s">
        <v>4094</v>
      </c>
      <c r="F172" s="189" t="s">
        <v>4095</v>
      </c>
      <c r="G172" s="172">
        <v>1</v>
      </c>
      <c r="H172" s="276" t="s">
        <v>4096</v>
      </c>
      <c r="I172" s="276">
        <v>142</v>
      </c>
      <c r="J172" s="276" t="s">
        <v>4097</v>
      </c>
      <c r="K172" s="276" t="s">
        <v>950</v>
      </c>
      <c r="L172" s="189" t="s">
        <v>404</v>
      </c>
      <c r="M172" s="276" t="s">
        <v>3911</v>
      </c>
      <c r="N172" s="189" t="s">
        <v>4098</v>
      </c>
      <c r="O172" s="189" t="s">
        <v>62</v>
      </c>
      <c r="P172" s="276" t="s">
        <v>189</v>
      </c>
      <c r="Q172" s="276" t="s">
        <v>4098</v>
      </c>
      <c r="R172" s="276">
        <v>1</v>
      </c>
      <c r="S172" s="276">
        <v>1</v>
      </c>
      <c r="T172" s="276" t="s">
        <v>65</v>
      </c>
      <c r="U172" s="276"/>
      <c r="V172" s="276">
        <v>1</v>
      </c>
      <c r="W172" s="276"/>
      <c r="X172" s="173"/>
      <c r="Y172" s="276">
        <f t="shared" si="84"/>
        <v>1</v>
      </c>
      <c r="Z172" s="276">
        <v>0</v>
      </c>
      <c r="AA172" s="276" t="s">
        <v>1220</v>
      </c>
      <c r="AB172" s="276">
        <v>1</v>
      </c>
      <c r="AC172" s="275">
        <v>2</v>
      </c>
      <c r="AD172" s="189" t="s">
        <v>4099</v>
      </c>
      <c r="AE172" s="189" t="s">
        <v>4100</v>
      </c>
      <c r="AF172" s="79"/>
      <c r="AG172" s="276" t="s">
        <v>1236</v>
      </c>
      <c r="AH172" s="77"/>
      <c r="AI172" s="275">
        <v>1</v>
      </c>
      <c r="AJ172" s="83" t="str">
        <f t="shared" si="85"/>
        <v>05051421</v>
      </c>
      <c r="AK172" s="83" t="s">
        <v>4136</v>
      </c>
      <c r="AL172" s="189" t="s">
        <v>78</v>
      </c>
      <c r="AM172" s="84" t="s">
        <v>4536</v>
      </c>
      <c r="AN172" s="189" t="s">
        <v>9</v>
      </c>
      <c r="AO172" s="189" t="s">
        <v>10</v>
      </c>
      <c r="AP172" s="83" t="s">
        <v>4137</v>
      </c>
      <c r="AQ172" s="76"/>
      <c r="AR172" s="189" t="s">
        <v>4138</v>
      </c>
      <c r="AS172" s="189" t="s">
        <v>4104</v>
      </c>
      <c r="AT172" s="189" t="s">
        <v>4139</v>
      </c>
      <c r="AU172" s="189" t="s">
        <v>4106</v>
      </c>
      <c r="AV172" s="189">
        <v>2010</v>
      </c>
      <c r="AW172" s="76"/>
      <c r="AX172" s="275">
        <v>1</v>
      </c>
      <c r="AY172" s="276" t="str">
        <f t="shared" si="86"/>
        <v>050514211</v>
      </c>
      <c r="AZ172" s="276" t="s">
        <v>2100</v>
      </c>
      <c r="BA172" s="276" t="s">
        <v>2100</v>
      </c>
      <c r="BB172" s="276" t="s">
        <v>4107</v>
      </c>
      <c r="BC172" s="276" t="s">
        <v>11</v>
      </c>
      <c r="BD172" s="189" t="s">
        <v>4140</v>
      </c>
      <c r="BE172" s="189" t="s">
        <v>9</v>
      </c>
      <c r="BF172" s="189" t="s">
        <v>1665</v>
      </c>
      <c r="BG172" s="189" t="s">
        <v>4109</v>
      </c>
      <c r="BH172" s="77"/>
      <c r="BI172" s="189" t="s">
        <v>4110</v>
      </c>
      <c r="BJ172" s="189" t="s">
        <v>4111</v>
      </c>
      <c r="BK172" s="189" t="s">
        <v>1856</v>
      </c>
      <c r="BL172" s="189">
        <v>2222333</v>
      </c>
      <c r="BM172" s="189">
        <v>2015</v>
      </c>
      <c r="BN172" s="102">
        <v>0.99350000000000005</v>
      </c>
      <c r="BO172" s="189" t="s">
        <v>404</v>
      </c>
      <c r="BP172" s="77"/>
      <c r="BQ172" s="187"/>
      <c r="BR172" s="275">
        <v>5</v>
      </c>
      <c r="BS172" s="188"/>
      <c r="BT172" s="188">
        <v>0.97250000000000003</v>
      </c>
      <c r="BU172" s="188"/>
      <c r="BV172" s="188"/>
      <c r="BW172" s="188"/>
      <c r="BX172" s="188">
        <v>1.0269999999999999</v>
      </c>
      <c r="BY172" s="188"/>
      <c r="BZ172" s="89"/>
      <c r="CA172" s="188"/>
      <c r="CB172" s="188"/>
      <c r="CC172" s="188"/>
      <c r="CD172" s="188"/>
      <c r="CE172" s="188"/>
      <c r="CF172" s="188"/>
      <c r="CG172" s="188"/>
      <c r="CH172" s="188"/>
      <c r="CI172" s="188"/>
      <c r="CJ172" s="188"/>
      <c r="CK172" s="188"/>
      <c r="CL172" s="89"/>
      <c r="CM172" s="89"/>
      <c r="CN172" s="188"/>
      <c r="CO172" s="188"/>
      <c r="CP172" s="188"/>
      <c r="CQ172" s="285"/>
      <c r="CS172" s="24">
        <v>172</v>
      </c>
      <c r="CT172" s="49"/>
      <c r="CU172" s="49"/>
      <c r="CV172" s="49"/>
      <c r="CW172" s="49"/>
    </row>
    <row r="173" spans="1:101" ht="299.25" x14ac:dyDescent="0.25">
      <c r="A173" s="276">
        <v>19</v>
      </c>
      <c r="B173" s="269" t="s">
        <v>4575</v>
      </c>
      <c r="C173" s="269" t="s">
        <v>3905</v>
      </c>
      <c r="D173" s="189" t="s">
        <v>3906</v>
      </c>
      <c r="E173" s="276" t="s">
        <v>4094</v>
      </c>
      <c r="F173" s="189" t="s">
        <v>4095</v>
      </c>
      <c r="G173" s="172">
        <v>1</v>
      </c>
      <c r="H173" s="276" t="s">
        <v>4096</v>
      </c>
      <c r="I173" s="276">
        <v>142</v>
      </c>
      <c r="J173" s="276" t="s">
        <v>4097</v>
      </c>
      <c r="K173" s="276" t="s">
        <v>950</v>
      </c>
      <c r="L173" s="189" t="s">
        <v>404</v>
      </c>
      <c r="M173" s="276" t="s">
        <v>3911</v>
      </c>
      <c r="N173" s="189" t="s">
        <v>4098</v>
      </c>
      <c r="O173" s="189" t="s">
        <v>62</v>
      </c>
      <c r="P173" s="276" t="s">
        <v>189</v>
      </c>
      <c r="Q173" s="276" t="s">
        <v>4098</v>
      </c>
      <c r="R173" s="276">
        <v>1</v>
      </c>
      <c r="S173" s="276">
        <v>1</v>
      </c>
      <c r="T173" s="276" t="s">
        <v>65</v>
      </c>
      <c r="U173" s="276"/>
      <c r="V173" s="276">
        <v>1</v>
      </c>
      <c r="W173" s="276"/>
      <c r="X173" s="173"/>
      <c r="Y173" s="276">
        <f t="shared" si="84"/>
        <v>1</v>
      </c>
      <c r="Z173" s="276">
        <v>0</v>
      </c>
      <c r="AA173" s="276" t="s">
        <v>1220</v>
      </c>
      <c r="AB173" s="276">
        <v>1</v>
      </c>
      <c r="AC173" s="275">
        <v>2</v>
      </c>
      <c r="AD173" s="189" t="s">
        <v>4099</v>
      </c>
      <c r="AE173" s="189" t="s">
        <v>4100</v>
      </c>
      <c r="AF173" s="79"/>
      <c r="AG173" s="276" t="s">
        <v>1236</v>
      </c>
      <c r="AH173" s="77"/>
      <c r="AI173" s="275">
        <v>1</v>
      </c>
      <c r="AJ173" s="83" t="str">
        <f t="shared" si="85"/>
        <v>05051421</v>
      </c>
      <c r="AK173" s="83" t="s">
        <v>4141</v>
      </c>
      <c r="AL173" s="189" t="s">
        <v>78</v>
      </c>
      <c r="AM173" s="84" t="s">
        <v>4536</v>
      </c>
      <c r="AN173" s="189" t="s">
        <v>9</v>
      </c>
      <c r="AO173" s="189" t="s">
        <v>10</v>
      </c>
      <c r="AP173" s="83" t="s">
        <v>4142</v>
      </c>
      <c r="AQ173" s="76"/>
      <c r="AR173" s="189" t="s">
        <v>4143</v>
      </c>
      <c r="AS173" s="189" t="s">
        <v>4104</v>
      </c>
      <c r="AT173" s="189" t="s">
        <v>4144</v>
      </c>
      <c r="AU173" s="189" t="s">
        <v>4106</v>
      </c>
      <c r="AV173" s="189">
        <v>2010</v>
      </c>
      <c r="AW173" s="76"/>
      <c r="AX173" s="275">
        <v>1</v>
      </c>
      <c r="AY173" s="276" t="str">
        <f t="shared" si="86"/>
        <v>050514211</v>
      </c>
      <c r="AZ173" s="276" t="s">
        <v>2100</v>
      </c>
      <c r="BA173" s="276" t="s">
        <v>2100</v>
      </c>
      <c r="BB173" s="276" t="s">
        <v>4107</v>
      </c>
      <c r="BC173" s="276" t="s">
        <v>11</v>
      </c>
      <c r="BD173" s="189" t="s">
        <v>4145</v>
      </c>
      <c r="BE173" s="189" t="s">
        <v>9</v>
      </c>
      <c r="BF173" s="189" t="s">
        <v>1665</v>
      </c>
      <c r="BG173" s="189" t="s">
        <v>4109</v>
      </c>
      <c r="BH173" s="77"/>
      <c r="BI173" s="189" t="s">
        <v>4110</v>
      </c>
      <c r="BJ173" s="189" t="s">
        <v>4111</v>
      </c>
      <c r="BK173" s="189" t="s">
        <v>1856</v>
      </c>
      <c r="BL173" s="189">
        <v>2222333</v>
      </c>
      <c r="BM173" s="189">
        <v>2015</v>
      </c>
      <c r="BN173" s="188">
        <v>1.9201999999999999</v>
      </c>
      <c r="BO173" s="189" t="s">
        <v>404</v>
      </c>
      <c r="BP173" s="77"/>
      <c r="BQ173" s="187"/>
      <c r="BR173" s="275">
        <v>5</v>
      </c>
      <c r="BS173" s="188"/>
      <c r="BT173" s="188">
        <v>2.4702000000000002</v>
      </c>
      <c r="BU173" s="188"/>
      <c r="BV173" s="188"/>
      <c r="BW173" s="188"/>
      <c r="BX173" s="188">
        <v>1.9524999999999999</v>
      </c>
      <c r="BY173" s="188"/>
      <c r="BZ173" s="89"/>
      <c r="CA173" s="188"/>
      <c r="CB173" s="188"/>
      <c r="CC173" s="188"/>
      <c r="CD173" s="188"/>
      <c r="CE173" s="188"/>
      <c r="CF173" s="188"/>
      <c r="CG173" s="188"/>
      <c r="CH173" s="188"/>
      <c r="CI173" s="188"/>
      <c r="CJ173" s="188"/>
      <c r="CK173" s="188"/>
      <c r="CL173" s="89"/>
      <c r="CM173" s="89"/>
      <c r="CN173" s="188"/>
      <c r="CO173" s="188"/>
      <c r="CP173" s="188"/>
      <c r="CQ173" s="285"/>
      <c r="CS173" s="24">
        <v>173</v>
      </c>
      <c r="CT173" s="49"/>
      <c r="CU173" s="49"/>
      <c r="CV173" s="49"/>
      <c r="CW173" s="49"/>
    </row>
    <row r="174" spans="1:101" ht="299.25" x14ac:dyDescent="0.25">
      <c r="A174" s="276">
        <v>19</v>
      </c>
      <c r="B174" s="269" t="s">
        <v>4575</v>
      </c>
      <c r="C174" s="269" t="s">
        <v>3905</v>
      </c>
      <c r="D174" s="189" t="s">
        <v>3906</v>
      </c>
      <c r="E174" s="276" t="s">
        <v>4094</v>
      </c>
      <c r="F174" s="189" t="s">
        <v>4095</v>
      </c>
      <c r="G174" s="172">
        <v>1</v>
      </c>
      <c r="H174" s="276" t="s">
        <v>4096</v>
      </c>
      <c r="I174" s="276">
        <v>142</v>
      </c>
      <c r="J174" s="276" t="s">
        <v>4120</v>
      </c>
      <c r="K174" s="276" t="s">
        <v>950</v>
      </c>
      <c r="L174" s="189" t="s">
        <v>404</v>
      </c>
      <c r="M174" s="276" t="s">
        <v>3911</v>
      </c>
      <c r="N174" s="189" t="s">
        <v>4098</v>
      </c>
      <c r="O174" s="189" t="s">
        <v>62</v>
      </c>
      <c r="P174" s="276" t="s">
        <v>189</v>
      </c>
      <c r="Q174" s="276" t="s">
        <v>4098</v>
      </c>
      <c r="R174" s="276">
        <v>1</v>
      </c>
      <c r="S174" s="276">
        <v>1</v>
      </c>
      <c r="T174" s="276" t="s">
        <v>65</v>
      </c>
      <c r="U174" s="276"/>
      <c r="V174" s="276">
        <v>1</v>
      </c>
      <c r="W174" s="276"/>
      <c r="X174" s="173"/>
      <c r="Y174" s="276">
        <f t="shared" si="84"/>
        <v>1</v>
      </c>
      <c r="Z174" s="276">
        <v>0</v>
      </c>
      <c r="AA174" s="276" t="s">
        <v>1220</v>
      </c>
      <c r="AB174" s="276">
        <v>1</v>
      </c>
      <c r="AC174" s="275">
        <v>2</v>
      </c>
      <c r="AD174" s="189" t="s">
        <v>4099</v>
      </c>
      <c r="AE174" s="189" t="s">
        <v>4100</v>
      </c>
      <c r="AF174" s="79"/>
      <c r="AG174" s="276" t="s">
        <v>1236</v>
      </c>
      <c r="AH174" s="77"/>
      <c r="AI174" s="275">
        <v>1</v>
      </c>
      <c r="AJ174" s="83" t="str">
        <f t="shared" si="85"/>
        <v>05051421</v>
      </c>
      <c r="AK174" s="83" t="s">
        <v>4146</v>
      </c>
      <c r="AL174" s="189" t="s">
        <v>78</v>
      </c>
      <c r="AM174" s="84" t="s">
        <v>4536</v>
      </c>
      <c r="AN174" s="189" t="s">
        <v>9</v>
      </c>
      <c r="AO174" s="189" t="s">
        <v>10</v>
      </c>
      <c r="AP174" s="83" t="s">
        <v>4147</v>
      </c>
      <c r="AQ174" s="76"/>
      <c r="AR174" s="189" t="s">
        <v>4148</v>
      </c>
      <c r="AS174" s="189" t="s">
        <v>4104</v>
      </c>
      <c r="AT174" s="189" t="s">
        <v>4149</v>
      </c>
      <c r="AU174" s="189" t="s">
        <v>4106</v>
      </c>
      <c r="AV174" s="189">
        <v>2010</v>
      </c>
      <c r="AW174" s="76"/>
      <c r="AX174" s="275">
        <v>1</v>
      </c>
      <c r="AY174" s="276" t="str">
        <f t="shared" si="86"/>
        <v>050514211</v>
      </c>
      <c r="AZ174" s="276" t="s">
        <v>2100</v>
      </c>
      <c r="BA174" s="276" t="s">
        <v>2100</v>
      </c>
      <c r="BB174" s="276" t="s">
        <v>4107</v>
      </c>
      <c r="BC174" s="276" t="s">
        <v>11</v>
      </c>
      <c r="BD174" s="189" t="s">
        <v>4150</v>
      </c>
      <c r="BE174" s="189" t="s">
        <v>9</v>
      </c>
      <c r="BF174" s="189" t="s">
        <v>1665</v>
      </c>
      <c r="BG174" s="189" t="s">
        <v>4109</v>
      </c>
      <c r="BH174" s="77"/>
      <c r="BI174" s="189" t="s">
        <v>4110</v>
      </c>
      <c r="BJ174" s="189" t="s">
        <v>4111</v>
      </c>
      <c r="BK174" s="189" t="s">
        <v>1856</v>
      </c>
      <c r="BL174" s="189">
        <v>2222333</v>
      </c>
      <c r="BM174" s="189">
        <v>2015</v>
      </c>
      <c r="BN174" s="102">
        <v>0.97030000000000005</v>
      </c>
      <c r="BO174" s="189" t="s">
        <v>404</v>
      </c>
      <c r="BP174" s="77"/>
      <c r="BQ174" s="187"/>
      <c r="BR174" s="275">
        <v>5</v>
      </c>
      <c r="BS174" s="188"/>
      <c r="BT174" s="188">
        <v>0.95389999999999997</v>
      </c>
      <c r="BU174" s="188"/>
      <c r="BV174" s="188"/>
      <c r="BW174" s="188"/>
      <c r="BX174" s="188">
        <v>0.97909999999999997</v>
      </c>
      <c r="BY174" s="188"/>
      <c r="BZ174" s="89"/>
      <c r="CA174" s="188"/>
      <c r="CB174" s="188"/>
      <c r="CC174" s="188"/>
      <c r="CD174" s="188"/>
      <c r="CE174" s="188"/>
      <c r="CF174" s="188"/>
      <c r="CG174" s="188"/>
      <c r="CH174" s="188"/>
      <c r="CI174" s="188"/>
      <c r="CJ174" s="188"/>
      <c r="CK174" s="188"/>
      <c r="CL174" s="89"/>
      <c r="CM174" s="89"/>
      <c r="CN174" s="188"/>
      <c r="CO174" s="188"/>
      <c r="CP174" s="188"/>
      <c r="CQ174" s="285"/>
      <c r="CS174" s="2">
        <v>174</v>
      </c>
      <c r="CT174" s="49"/>
      <c r="CU174" s="49"/>
      <c r="CV174" s="49"/>
      <c r="CW174" s="49"/>
    </row>
    <row r="175" spans="1:101" ht="285" x14ac:dyDescent="0.25">
      <c r="A175" s="276">
        <v>19</v>
      </c>
      <c r="B175" s="269" t="s">
        <v>4575</v>
      </c>
      <c r="C175" s="269" t="s">
        <v>3905</v>
      </c>
      <c r="D175" s="189" t="s">
        <v>3906</v>
      </c>
      <c r="E175" s="276" t="s">
        <v>4094</v>
      </c>
      <c r="F175" s="189" t="s">
        <v>4095</v>
      </c>
      <c r="G175" s="172">
        <v>1</v>
      </c>
      <c r="H175" s="276" t="s">
        <v>4096</v>
      </c>
      <c r="I175" s="276">
        <v>142</v>
      </c>
      <c r="J175" s="276" t="s">
        <v>4128</v>
      </c>
      <c r="K175" s="276" t="s">
        <v>950</v>
      </c>
      <c r="L175" s="189" t="s">
        <v>404</v>
      </c>
      <c r="M175" s="276" t="s">
        <v>3911</v>
      </c>
      <c r="N175" s="189" t="s">
        <v>4098</v>
      </c>
      <c r="O175" s="189" t="s">
        <v>62</v>
      </c>
      <c r="P175" s="276" t="s">
        <v>189</v>
      </c>
      <c r="Q175" s="276" t="s">
        <v>4098</v>
      </c>
      <c r="R175" s="276">
        <v>1</v>
      </c>
      <c r="S175" s="276">
        <v>1</v>
      </c>
      <c r="T175" s="276" t="s">
        <v>65</v>
      </c>
      <c r="U175" s="276"/>
      <c r="V175" s="276">
        <v>1</v>
      </c>
      <c r="W175" s="276"/>
      <c r="X175" s="173"/>
      <c r="Y175" s="276">
        <f t="shared" si="84"/>
        <v>1</v>
      </c>
      <c r="Z175" s="276">
        <v>0</v>
      </c>
      <c r="AA175" s="276" t="s">
        <v>1220</v>
      </c>
      <c r="AB175" s="276">
        <v>1</v>
      </c>
      <c r="AC175" s="275">
        <v>2</v>
      </c>
      <c r="AD175" s="189" t="s">
        <v>4099</v>
      </c>
      <c r="AE175" s="189" t="s">
        <v>4100</v>
      </c>
      <c r="AF175" s="79"/>
      <c r="AG175" s="276" t="s">
        <v>1236</v>
      </c>
      <c r="AH175" s="77"/>
      <c r="AI175" s="275">
        <v>1</v>
      </c>
      <c r="AJ175" s="83" t="str">
        <f t="shared" si="85"/>
        <v>05051421</v>
      </c>
      <c r="AK175" s="83" t="s">
        <v>4151</v>
      </c>
      <c r="AL175" s="189" t="s">
        <v>78</v>
      </c>
      <c r="AM175" s="84" t="s">
        <v>4536</v>
      </c>
      <c r="AN175" s="189" t="s">
        <v>9</v>
      </c>
      <c r="AO175" s="189" t="s">
        <v>10</v>
      </c>
      <c r="AP175" s="83" t="s">
        <v>4152</v>
      </c>
      <c r="AQ175" s="76"/>
      <c r="AR175" s="189" t="s">
        <v>4153</v>
      </c>
      <c r="AS175" s="189" t="s">
        <v>4104</v>
      </c>
      <c r="AT175" s="189" t="s">
        <v>4154</v>
      </c>
      <c r="AU175" s="189" t="s">
        <v>4106</v>
      </c>
      <c r="AV175" s="189">
        <v>2010</v>
      </c>
      <c r="AW175" s="76"/>
      <c r="AX175" s="275">
        <v>1</v>
      </c>
      <c r="AY175" s="276" t="str">
        <f t="shared" si="86"/>
        <v>050514211</v>
      </c>
      <c r="AZ175" s="276" t="s">
        <v>2100</v>
      </c>
      <c r="BA175" s="276" t="s">
        <v>2100</v>
      </c>
      <c r="BB175" s="276" t="s">
        <v>4107</v>
      </c>
      <c r="BC175" s="276" t="s">
        <v>11</v>
      </c>
      <c r="BD175" s="189" t="s">
        <v>4155</v>
      </c>
      <c r="BE175" s="189" t="s">
        <v>9</v>
      </c>
      <c r="BF175" s="189" t="s">
        <v>1665</v>
      </c>
      <c r="BG175" s="189" t="s">
        <v>4109</v>
      </c>
      <c r="BH175" s="77"/>
      <c r="BI175" s="189" t="s">
        <v>4110</v>
      </c>
      <c r="BJ175" s="189" t="s">
        <v>4111</v>
      </c>
      <c r="BK175" s="189" t="s">
        <v>1856</v>
      </c>
      <c r="BL175" s="189">
        <v>2222333</v>
      </c>
      <c r="BM175" s="189">
        <v>2015</v>
      </c>
      <c r="BN175" s="102">
        <v>0.94879999999999998</v>
      </c>
      <c r="BO175" s="189" t="s">
        <v>404</v>
      </c>
      <c r="BP175" s="77"/>
      <c r="BQ175" s="187"/>
      <c r="BR175" s="275">
        <v>5</v>
      </c>
      <c r="BS175" s="188"/>
      <c r="BT175" s="188">
        <v>0.87660000000000005</v>
      </c>
      <c r="BU175" s="188"/>
      <c r="BV175" s="188"/>
      <c r="BW175" s="188"/>
      <c r="BX175" s="188">
        <v>0.88480000000000003</v>
      </c>
      <c r="BY175" s="188"/>
      <c r="BZ175" s="89"/>
      <c r="CA175" s="188"/>
      <c r="CB175" s="188"/>
      <c r="CC175" s="188"/>
      <c r="CD175" s="188"/>
      <c r="CE175" s="188"/>
      <c r="CF175" s="188"/>
      <c r="CG175" s="188"/>
      <c r="CH175" s="188"/>
      <c r="CI175" s="188"/>
      <c r="CJ175" s="188"/>
      <c r="CK175" s="188"/>
      <c r="CL175" s="89"/>
      <c r="CM175" s="89"/>
      <c r="CN175" s="188"/>
      <c r="CO175" s="188"/>
      <c r="CP175" s="188"/>
      <c r="CQ175" s="285"/>
      <c r="CS175" s="24">
        <v>175</v>
      </c>
      <c r="CT175" s="49"/>
      <c r="CU175" s="49"/>
      <c r="CV175" s="49"/>
      <c r="CW175" s="49"/>
    </row>
    <row r="176" spans="1:101" ht="313.5" x14ac:dyDescent="0.25">
      <c r="A176" s="276">
        <v>19</v>
      </c>
      <c r="B176" s="269" t="s">
        <v>4575</v>
      </c>
      <c r="C176" s="269" t="s">
        <v>3905</v>
      </c>
      <c r="D176" s="189" t="s">
        <v>3906</v>
      </c>
      <c r="E176" s="276" t="s">
        <v>4094</v>
      </c>
      <c r="F176" s="189" t="s">
        <v>4095</v>
      </c>
      <c r="G176" s="172">
        <v>1</v>
      </c>
      <c r="H176" s="276" t="s">
        <v>4096</v>
      </c>
      <c r="I176" s="276">
        <v>142</v>
      </c>
      <c r="J176" s="276" t="s">
        <v>4128</v>
      </c>
      <c r="K176" s="276" t="s">
        <v>950</v>
      </c>
      <c r="L176" s="189" t="s">
        <v>404</v>
      </c>
      <c r="M176" s="276" t="s">
        <v>3911</v>
      </c>
      <c r="N176" s="189" t="s">
        <v>4098</v>
      </c>
      <c r="O176" s="189" t="s">
        <v>62</v>
      </c>
      <c r="P176" s="276" t="s">
        <v>189</v>
      </c>
      <c r="Q176" s="276" t="s">
        <v>4098</v>
      </c>
      <c r="R176" s="276">
        <v>1</v>
      </c>
      <c r="S176" s="276">
        <v>1</v>
      </c>
      <c r="T176" s="276" t="s">
        <v>65</v>
      </c>
      <c r="U176" s="276"/>
      <c r="V176" s="276">
        <v>1</v>
      </c>
      <c r="W176" s="276"/>
      <c r="X176" s="173"/>
      <c r="Y176" s="276">
        <f t="shared" si="84"/>
        <v>1</v>
      </c>
      <c r="Z176" s="276">
        <v>0</v>
      </c>
      <c r="AA176" s="276" t="s">
        <v>1220</v>
      </c>
      <c r="AB176" s="276">
        <v>1</v>
      </c>
      <c r="AC176" s="275">
        <v>2</v>
      </c>
      <c r="AD176" s="189" t="s">
        <v>4099</v>
      </c>
      <c r="AE176" s="189" t="s">
        <v>4100</v>
      </c>
      <c r="AF176" s="79"/>
      <c r="AG176" s="276" t="s">
        <v>1236</v>
      </c>
      <c r="AH176" s="77"/>
      <c r="AI176" s="275">
        <v>1</v>
      </c>
      <c r="AJ176" s="83" t="str">
        <f t="shared" si="85"/>
        <v>05051421</v>
      </c>
      <c r="AK176" s="83" t="s">
        <v>4156</v>
      </c>
      <c r="AL176" s="189" t="s">
        <v>78</v>
      </c>
      <c r="AM176" s="84" t="s">
        <v>4536</v>
      </c>
      <c r="AN176" s="189" t="s">
        <v>9</v>
      </c>
      <c r="AO176" s="189" t="s">
        <v>10</v>
      </c>
      <c r="AP176" s="83" t="s">
        <v>4157</v>
      </c>
      <c r="AQ176" s="76"/>
      <c r="AR176" s="189" t="s">
        <v>4158</v>
      </c>
      <c r="AS176" s="189" t="s">
        <v>4104</v>
      </c>
      <c r="AT176" s="189" t="s">
        <v>4159</v>
      </c>
      <c r="AU176" s="189" t="s">
        <v>4106</v>
      </c>
      <c r="AV176" s="189">
        <v>2010</v>
      </c>
      <c r="AW176" s="76"/>
      <c r="AX176" s="275">
        <v>1</v>
      </c>
      <c r="AY176" s="276" t="str">
        <f t="shared" si="86"/>
        <v>050514211</v>
      </c>
      <c r="AZ176" s="276" t="s">
        <v>2100</v>
      </c>
      <c r="BA176" s="276" t="s">
        <v>2100</v>
      </c>
      <c r="BB176" s="276" t="s">
        <v>4107</v>
      </c>
      <c r="BC176" s="276" t="s">
        <v>11</v>
      </c>
      <c r="BD176" s="189" t="s">
        <v>4160</v>
      </c>
      <c r="BE176" s="189" t="s">
        <v>9</v>
      </c>
      <c r="BF176" s="189" t="s">
        <v>1665</v>
      </c>
      <c r="BG176" s="189" t="s">
        <v>4109</v>
      </c>
      <c r="BH176" s="77"/>
      <c r="BI176" s="189" t="s">
        <v>4110</v>
      </c>
      <c r="BJ176" s="189" t="s">
        <v>4111</v>
      </c>
      <c r="BK176" s="189" t="s">
        <v>1856</v>
      </c>
      <c r="BL176" s="189">
        <v>2222333</v>
      </c>
      <c r="BM176" s="189">
        <v>2015</v>
      </c>
      <c r="BN176" s="102">
        <v>0.97470000000000001</v>
      </c>
      <c r="BO176" s="189" t="s">
        <v>404</v>
      </c>
      <c r="BP176" s="77"/>
      <c r="BQ176" s="187"/>
      <c r="BR176" s="275">
        <v>5</v>
      </c>
      <c r="BS176" s="188"/>
      <c r="BT176" s="188">
        <v>0.96479999999999999</v>
      </c>
      <c r="BU176" s="188"/>
      <c r="BV176" s="188"/>
      <c r="BW176" s="188"/>
      <c r="BX176" s="188">
        <v>0.96830000000000005</v>
      </c>
      <c r="BY176" s="188"/>
      <c r="BZ176" s="89"/>
      <c r="CA176" s="188"/>
      <c r="CB176" s="188"/>
      <c r="CC176" s="188"/>
      <c r="CD176" s="188"/>
      <c r="CE176" s="188"/>
      <c r="CF176" s="188"/>
      <c r="CG176" s="188"/>
      <c r="CH176" s="188"/>
      <c r="CI176" s="188"/>
      <c r="CJ176" s="188"/>
      <c r="CK176" s="188"/>
      <c r="CL176" s="89"/>
      <c r="CM176" s="89"/>
      <c r="CN176" s="188"/>
      <c r="CO176" s="188"/>
      <c r="CP176" s="188"/>
      <c r="CQ176" s="285"/>
      <c r="CS176" s="24">
        <v>176</v>
      </c>
      <c r="CT176" s="49"/>
      <c r="CU176" s="49"/>
      <c r="CV176" s="49"/>
      <c r="CW176" s="49"/>
    </row>
    <row r="177" spans="1:111" ht="270.75" x14ac:dyDescent="0.25">
      <c r="A177" s="276">
        <v>19</v>
      </c>
      <c r="B177" s="269" t="s">
        <v>4575</v>
      </c>
      <c r="C177" s="269" t="s">
        <v>3905</v>
      </c>
      <c r="D177" s="189" t="s">
        <v>3906</v>
      </c>
      <c r="E177" s="276" t="s">
        <v>4094</v>
      </c>
      <c r="F177" s="189" t="s">
        <v>4095</v>
      </c>
      <c r="G177" s="172">
        <v>1</v>
      </c>
      <c r="H177" s="276" t="s">
        <v>4096</v>
      </c>
      <c r="I177" s="276">
        <v>142</v>
      </c>
      <c r="J177" s="276" t="s">
        <v>4128</v>
      </c>
      <c r="K177" s="276" t="s">
        <v>950</v>
      </c>
      <c r="L177" s="189" t="s">
        <v>404</v>
      </c>
      <c r="M177" s="276" t="s">
        <v>3911</v>
      </c>
      <c r="N177" s="189" t="s">
        <v>4098</v>
      </c>
      <c r="O177" s="189" t="s">
        <v>62</v>
      </c>
      <c r="P177" s="276" t="s">
        <v>189</v>
      </c>
      <c r="Q177" s="276" t="s">
        <v>4098</v>
      </c>
      <c r="R177" s="276">
        <v>1</v>
      </c>
      <c r="S177" s="276">
        <v>1</v>
      </c>
      <c r="T177" s="276" t="s">
        <v>65</v>
      </c>
      <c r="U177" s="276"/>
      <c r="V177" s="276">
        <v>1</v>
      </c>
      <c r="W177" s="276"/>
      <c r="X177" s="173"/>
      <c r="Y177" s="276">
        <f t="shared" si="84"/>
        <v>1</v>
      </c>
      <c r="Z177" s="276">
        <v>0</v>
      </c>
      <c r="AA177" s="276" t="s">
        <v>1220</v>
      </c>
      <c r="AB177" s="276">
        <v>1</v>
      </c>
      <c r="AC177" s="275">
        <v>2</v>
      </c>
      <c r="AD177" s="189" t="s">
        <v>4099</v>
      </c>
      <c r="AE177" s="189" t="s">
        <v>4100</v>
      </c>
      <c r="AF177" s="79"/>
      <c r="AG177" s="276" t="s">
        <v>1236</v>
      </c>
      <c r="AH177" s="77"/>
      <c r="AI177" s="275">
        <v>1</v>
      </c>
      <c r="AJ177" s="83" t="str">
        <f t="shared" si="85"/>
        <v>05051421</v>
      </c>
      <c r="AK177" s="83" t="s">
        <v>4161</v>
      </c>
      <c r="AL177" s="189" t="s">
        <v>78</v>
      </c>
      <c r="AM177" s="84" t="s">
        <v>4536</v>
      </c>
      <c r="AN177" s="189" t="s">
        <v>9</v>
      </c>
      <c r="AO177" s="189" t="s">
        <v>10</v>
      </c>
      <c r="AP177" s="83" t="s">
        <v>4162</v>
      </c>
      <c r="AQ177" s="76"/>
      <c r="AR177" s="189" t="s">
        <v>4163</v>
      </c>
      <c r="AS177" s="189" t="s">
        <v>4104</v>
      </c>
      <c r="AT177" s="189" t="s">
        <v>4164</v>
      </c>
      <c r="AU177" s="189" t="s">
        <v>4106</v>
      </c>
      <c r="AV177" s="189">
        <v>2010</v>
      </c>
      <c r="AW177" s="76"/>
      <c r="AX177" s="275">
        <v>1</v>
      </c>
      <c r="AY177" s="276" t="str">
        <f t="shared" si="86"/>
        <v>050514211</v>
      </c>
      <c r="AZ177" s="276" t="s">
        <v>2100</v>
      </c>
      <c r="BA177" s="276" t="s">
        <v>2100</v>
      </c>
      <c r="BB177" s="276" t="s">
        <v>4107</v>
      </c>
      <c r="BC177" s="276" t="s">
        <v>11</v>
      </c>
      <c r="BD177" s="189" t="s">
        <v>4165</v>
      </c>
      <c r="BE177" s="189" t="s">
        <v>9</v>
      </c>
      <c r="BF177" s="189" t="s">
        <v>1665</v>
      </c>
      <c r="BG177" s="189" t="s">
        <v>4109</v>
      </c>
      <c r="BH177" s="77"/>
      <c r="BI177" s="189" t="s">
        <v>4110</v>
      </c>
      <c r="BJ177" s="189" t="s">
        <v>4111</v>
      </c>
      <c r="BK177" s="189" t="s">
        <v>1856</v>
      </c>
      <c r="BL177" s="189">
        <v>2222333</v>
      </c>
      <c r="BM177" s="189">
        <v>2015</v>
      </c>
      <c r="BN177" s="102">
        <v>0.99050000000000005</v>
      </c>
      <c r="BO177" s="189" t="s">
        <v>404</v>
      </c>
      <c r="BP177" s="77"/>
      <c r="BQ177" s="187"/>
      <c r="BR177" s="275">
        <v>5</v>
      </c>
      <c r="BS177" s="188"/>
      <c r="BT177" s="188">
        <v>0.99180000000000001</v>
      </c>
      <c r="BU177" s="188"/>
      <c r="BV177" s="188"/>
      <c r="BW177" s="188"/>
      <c r="BX177" s="188">
        <v>0.99529999999999996</v>
      </c>
      <c r="BY177" s="188"/>
      <c r="BZ177" s="89"/>
      <c r="CA177" s="188"/>
      <c r="CB177" s="188"/>
      <c r="CC177" s="188"/>
      <c r="CD177" s="188"/>
      <c r="CE177" s="188"/>
      <c r="CF177" s="188"/>
      <c r="CG177" s="188"/>
      <c r="CH177" s="188"/>
      <c r="CI177" s="188"/>
      <c r="CJ177" s="188"/>
      <c r="CK177" s="188"/>
      <c r="CL177" s="89"/>
      <c r="CM177" s="89"/>
      <c r="CN177" s="188"/>
      <c r="CO177" s="188"/>
      <c r="CP177" s="188"/>
      <c r="CQ177" s="285"/>
      <c r="CS177" s="2">
        <v>177</v>
      </c>
      <c r="CT177" s="49"/>
      <c r="CU177" s="49"/>
      <c r="CV177" s="49"/>
      <c r="CW177" s="49"/>
    </row>
    <row r="178" spans="1:111" ht="299.25" x14ac:dyDescent="0.25">
      <c r="A178" s="276">
        <v>19</v>
      </c>
      <c r="B178" s="269" t="s">
        <v>4575</v>
      </c>
      <c r="C178" s="269" t="s">
        <v>3905</v>
      </c>
      <c r="D178" s="189" t="s">
        <v>3906</v>
      </c>
      <c r="E178" s="276" t="s">
        <v>4094</v>
      </c>
      <c r="F178" s="189" t="s">
        <v>4095</v>
      </c>
      <c r="G178" s="172">
        <v>1</v>
      </c>
      <c r="H178" s="276" t="s">
        <v>4096</v>
      </c>
      <c r="I178" s="276">
        <v>142</v>
      </c>
      <c r="J178" s="276" t="s">
        <v>4128</v>
      </c>
      <c r="K178" s="276" t="s">
        <v>950</v>
      </c>
      <c r="L178" s="189" t="s">
        <v>404</v>
      </c>
      <c r="M178" s="276" t="s">
        <v>3911</v>
      </c>
      <c r="N178" s="189" t="s">
        <v>4098</v>
      </c>
      <c r="O178" s="189" t="s">
        <v>62</v>
      </c>
      <c r="P178" s="276" t="s">
        <v>189</v>
      </c>
      <c r="Q178" s="276" t="s">
        <v>4098</v>
      </c>
      <c r="R178" s="276">
        <v>1</v>
      </c>
      <c r="S178" s="276">
        <v>1</v>
      </c>
      <c r="T178" s="276" t="s">
        <v>65</v>
      </c>
      <c r="U178" s="276"/>
      <c r="V178" s="276">
        <v>1</v>
      </c>
      <c r="W178" s="276"/>
      <c r="X178" s="173"/>
      <c r="Y178" s="276">
        <f t="shared" si="84"/>
        <v>1</v>
      </c>
      <c r="Z178" s="276">
        <v>0</v>
      </c>
      <c r="AA178" s="276" t="s">
        <v>1220</v>
      </c>
      <c r="AB178" s="276">
        <v>1</v>
      </c>
      <c r="AC178" s="275">
        <v>2</v>
      </c>
      <c r="AD178" s="189" t="s">
        <v>4099</v>
      </c>
      <c r="AE178" s="189" t="s">
        <v>4100</v>
      </c>
      <c r="AF178" s="79"/>
      <c r="AG178" s="276" t="s">
        <v>1236</v>
      </c>
      <c r="AH178" s="77"/>
      <c r="AI178" s="275">
        <v>1</v>
      </c>
      <c r="AJ178" s="83" t="str">
        <f t="shared" si="85"/>
        <v>05051421</v>
      </c>
      <c r="AK178" s="83" t="s">
        <v>4166</v>
      </c>
      <c r="AL178" s="189" t="s">
        <v>78</v>
      </c>
      <c r="AM178" s="84" t="s">
        <v>4536</v>
      </c>
      <c r="AN178" s="189" t="s">
        <v>9</v>
      </c>
      <c r="AO178" s="189" t="s">
        <v>10</v>
      </c>
      <c r="AP178" s="83" t="s">
        <v>4167</v>
      </c>
      <c r="AQ178" s="76"/>
      <c r="AR178" s="189" t="s">
        <v>4168</v>
      </c>
      <c r="AS178" s="189" t="s">
        <v>4104</v>
      </c>
      <c r="AT178" s="189" t="s">
        <v>4169</v>
      </c>
      <c r="AU178" s="189" t="s">
        <v>4106</v>
      </c>
      <c r="AV178" s="189">
        <v>2010</v>
      </c>
      <c r="AW178" s="76"/>
      <c r="AX178" s="275">
        <v>1</v>
      </c>
      <c r="AY178" s="276" t="str">
        <f t="shared" si="86"/>
        <v>050514211</v>
      </c>
      <c r="AZ178" s="276" t="s">
        <v>2100</v>
      </c>
      <c r="BA178" s="276" t="s">
        <v>2100</v>
      </c>
      <c r="BB178" s="276" t="s">
        <v>4107</v>
      </c>
      <c r="BC178" s="276" t="s">
        <v>11</v>
      </c>
      <c r="BD178" s="189" t="s">
        <v>4170</v>
      </c>
      <c r="BE178" s="189" t="s">
        <v>9</v>
      </c>
      <c r="BF178" s="189" t="s">
        <v>1665</v>
      </c>
      <c r="BG178" s="189" t="s">
        <v>4109</v>
      </c>
      <c r="BH178" s="77"/>
      <c r="BI178" s="189" t="s">
        <v>4110</v>
      </c>
      <c r="BJ178" s="189" t="s">
        <v>4111</v>
      </c>
      <c r="BK178" s="189" t="s">
        <v>1856</v>
      </c>
      <c r="BL178" s="189">
        <v>2222333</v>
      </c>
      <c r="BM178" s="189">
        <v>2015</v>
      </c>
      <c r="BN178" s="102">
        <v>1.0004</v>
      </c>
      <c r="BO178" s="189" t="s">
        <v>404</v>
      </c>
      <c r="BP178" s="77"/>
      <c r="BQ178" s="187"/>
      <c r="BR178" s="275">
        <v>5</v>
      </c>
      <c r="BS178" s="188"/>
      <c r="BT178" s="188">
        <v>0.99580000000000002</v>
      </c>
      <c r="BU178" s="188"/>
      <c r="BV178" s="188"/>
      <c r="BW178" s="188"/>
      <c r="BX178" s="188">
        <v>0.99719999999999998</v>
      </c>
      <c r="BY178" s="188"/>
      <c r="BZ178" s="89"/>
      <c r="CA178" s="188"/>
      <c r="CB178" s="188"/>
      <c r="CC178" s="188"/>
      <c r="CD178" s="188"/>
      <c r="CE178" s="188"/>
      <c r="CF178" s="188"/>
      <c r="CG178" s="188"/>
      <c r="CH178" s="188"/>
      <c r="CI178" s="188"/>
      <c r="CJ178" s="188"/>
      <c r="CK178" s="188"/>
      <c r="CL178" s="89"/>
      <c r="CM178" s="89"/>
      <c r="CN178" s="188"/>
      <c r="CO178" s="188"/>
      <c r="CP178" s="188"/>
      <c r="CQ178" s="285"/>
      <c r="CS178" s="24">
        <v>178</v>
      </c>
      <c r="CT178" s="49"/>
      <c r="CU178" s="49"/>
      <c r="CV178" s="49"/>
      <c r="CW178" s="49"/>
    </row>
    <row r="179" spans="1:111" ht="270.75" x14ac:dyDescent="0.25">
      <c r="A179" s="276">
        <v>19</v>
      </c>
      <c r="B179" s="269" t="s">
        <v>4575</v>
      </c>
      <c r="C179" s="269" t="s">
        <v>3905</v>
      </c>
      <c r="D179" s="189" t="s">
        <v>3906</v>
      </c>
      <c r="E179" s="276" t="s">
        <v>4094</v>
      </c>
      <c r="F179" s="189" t="s">
        <v>4095</v>
      </c>
      <c r="G179" s="172">
        <v>1</v>
      </c>
      <c r="H179" s="276" t="s">
        <v>4096</v>
      </c>
      <c r="I179" s="276">
        <v>142</v>
      </c>
      <c r="J179" s="276" t="s">
        <v>4128</v>
      </c>
      <c r="K179" s="276" t="s">
        <v>950</v>
      </c>
      <c r="L179" s="189" t="s">
        <v>404</v>
      </c>
      <c r="M179" s="276" t="s">
        <v>3911</v>
      </c>
      <c r="N179" s="189" t="s">
        <v>4098</v>
      </c>
      <c r="O179" s="189" t="s">
        <v>62</v>
      </c>
      <c r="P179" s="276" t="s">
        <v>189</v>
      </c>
      <c r="Q179" s="276" t="s">
        <v>4098</v>
      </c>
      <c r="R179" s="276">
        <v>1</v>
      </c>
      <c r="S179" s="276">
        <v>1</v>
      </c>
      <c r="T179" s="276" t="s">
        <v>65</v>
      </c>
      <c r="U179" s="276"/>
      <c r="V179" s="276">
        <v>1</v>
      </c>
      <c r="W179" s="276"/>
      <c r="X179" s="173"/>
      <c r="Y179" s="276">
        <f t="shared" si="84"/>
        <v>1</v>
      </c>
      <c r="Z179" s="276">
        <v>0</v>
      </c>
      <c r="AA179" s="276" t="s">
        <v>1220</v>
      </c>
      <c r="AB179" s="276">
        <v>1</v>
      </c>
      <c r="AC179" s="275">
        <v>2</v>
      </c>
      <c r="AD179" s="189" t="s">
        <v>4099</v>
      </c>
      <c r="AE179" s="189" t="s">
        <v>4100</v>
      </c>
      <c r="AF179" s="79"/>
      <c r="AG179" s="276" t="s">
        <v>1236</v>
      </c>
      <c r="AH179" s="77"/>
      <c r="AI179" s="275">
        <v>1</v>
      </c>
      <c r="AJ179" s="83" t="str">
        <f t="shared" si="85"/>
        <v>05051421</v>
      </c>
      <c r="AK179" s="83" t="s">
        <v>4171</v>
      </c>
      <c r="AL179" s="189" t="s">
        <v>78</v>
      </c>
      <c r="AM179" s="84" t="s">
        <v>4536</v>
      </c>
      <c r="AN179" s="189" t="s">
        <v>9</v>
      </c>
      <c r="AO179" s="189" t="s">
        <v>10</v>
      </c>
      <c r="AP179" s="83" t="s">
        <v>4172</v>
      </c>
      <c r="AQ179" s="76"/>
      <c r="AR179" s="189" t="s">
        <v>4173</v>
      </c>
      <c r="AS179" s="189" t="s">
        <v>4104</v>
      </c>
      <c r="AT179" s="189" t="s">
        <v>4174</v>
      </c>
      <c r="AU179" s="189" t="s">
        <v>4106</v>
      </c>
      <c r="AV179" s="189">
        <v>2010</v>
      </c>
      <c r="AW179" s="76"/>
      <c r="AX179" s="275">
        <v>1</v>
      </c>
      <c r="AY179" s="276" t="str">
        <f t="shared" si="86"/>
        <v>050514211</v>
      </c>
      <c r="AZ179" s="276" t="s">
        <v>2100</v>
      </c>
      <c r="BA179" s="276" t="s">
        <v>2100</v>
      </c>
      <c r="BB179" s="276" t="s">
        <v>4107</v>
      </c>
      <c r="BC179" s="276" t="s">
        <v>11</v>
      </c>
      <c r="BD179" s="189" t="s">
        <v>4175</v>
      </c>
      <c r="BE179" s="189" t="s">
        <v>9</v>
      </c>
      <c r="BF179" s="189" t="s">
        <v>1665</v>
      </c>
      <c r="BG179" s="189" t="s">
        <v>4109</v>
      </c>
      <c r="BH179" s="77"/>
      <c r="BI179" s="189" t="s">
        <v>4110</v>
      </c>
      <c r="BJ179" s="189" t="s">
        <v>4111</v>
      </c>
      <c r="BK179" s="189" t="s">
        <v>1856</v>
      </c>
      <c r="BL179" s="189">
        <v>2222333</v>
      </c>
      <c r="BM179" s="189">
        <v>2015</v>
      </c>
      <c r="BN179" s="158">
        <v>1</v>
      </c>
      <c r="BO179" s="189" t="s">
        <v>404</v>
      </c>
      <c r="BP179" s="77"/>
      <c r="BQ179" s="187"/>
      <c r="BR179" s="275">
        <v>5</v>
      </c>
      <c r="BS179" s="188"/>
      <c r="BT179" s="139">
        <v>1</v>
      </c>
      <c r="BU179" s="188"/>
      <c r="BV179" s="188"/>
      <c r="BW179" s="188"/>
      <c r="BX179" s="139">
        <v>1</v>
      </c>
      <c r="BY179" s="188"/>
      <c r="BZ179" s="89"/>
      <c r="CA179" s="188"/>
      <c r="CB179" s="188"/>
      <c r="CC179" s="188"/>
      <c r="CD179" s="188"/>
      <c r="CE179" s="188"/>
      <c r="CF179" s="188"/>
      <c r="CG179" s="188"/>
      <c r="CH179" s="188"/>
      <c r="CI179" s="188"/>
      <c r="CJ179" s="188"/>
      <c r="CK179" s="188"/>
      <c r="CL179" s="89"/>
      <c r="CM179" s="89"/>
      <c r="CN179" s="188"/>
      <c r="CO179" s="188"/>
      <c r="CP179" s="188"/>
      <c r="CQ179" s="285"/>
      <c r="CS179" s="24">
        <v>179</v>
      </c>
      <c r="CT179" s="49"/>
      <c r="CU179" s="49"/>
      <c r="CV179" s="49"/>
      <c r="CW179" s="49"/>
    </row>
    <row r="180" spans="1:111" ht="256.5" x14ac:dyDescent="0.25">
      <c r="A180" s="276">
        <v>19</v>
      </c>
      <c r="B180" s="269" t="s">
        <v>4575</v>
      </c>
      <c r="C180" s="269" t="s">
        <v>3905</v>
      </c>
      <c r="D180" s="189" t="s">
        <v>3906</v>
      </c>
      <c r="E180" s="276" t="s">
        <v>4094</v>
      </c>
      <c r="F180" s="189" t="s">
        <v>4095</v>
      </c>
      <c r="G180" s="172">
        <v>1</v>
      </c>
      <c r="H180" s="276" t="s">
        <v>4096</v>
      </c>
      <c r="I180" s="276">
        <v>142</v>
      </c>
      <c r="J180" s="276" t="s">
        <v>4128</v>
      </c>
      <c r="K180" s="276" t="s">
        <v>950</v>
      </c>
      <c r="L180" s="189" t="s">
        <v>404</v>
      </c>
      <c r="M180" s="276" t="s">
        <v>3911</v>
      </c>
      <c r="N180" s="189" t="s">
        <v>4098</v>
      </c>
      <c r="O180" s="189" t="s">
        <v>62</v>
      </c>
      <c r="P180" s="276" t="s">
        <v>189</v>
      </c>
      <c r="Q180" s="276" t="s">
        <v>4098</v>
      </c>
      <c r="R180" s="276">
        <v>1</v>
      </c>
      <c r="S180" s="276">
        <v>1</v>
      </c>
      <c r="T180" s="276" t="s">
        <v>65</v>
      </c>
      <c r="U180" s="276"/>
      <c r="V180" s="276">
        <v>1</v>
      </c>
      <c r="W180" s="276"/>
      <c r="X180" s="173"/>
      <c r="Y180" s="276">
        <f t="shared" si="84"/>
        <v>1</v>
      </c>
      <c r="Z180" s="276">
        <v>0</v>
      </c>
      <c r="AA180" s="276" t="s">
        <v>1220</v>
      </c>
      <c r="AB180" s="276">
        <v>1</v>
      </c>
      <c r="AC180" s="275">
        <v>2</v>
      </c>
      <c r="AD180" s="189" t="s">
        <v>4099</v>
      </c>
      <c r="AE180" s="189" t="s">
        <v>4100</v>
      </c>
      <c r="AF180" s="79"/>
      <c r="AG180" s="276" t="s">
        <v>1236</v>
      </c>
      <c r="AH180" s="77"/>
      <c r="AI180" s="275">
        <v>1</v>
      </c>
      <c r="AJ180" s="83" t="str">
        <f t="shared" si="85"/>
        <v>05051421</v>
      </c>
      <c r="AK180" s="83" t="s">
        <v>4176</v>
      </c>
      <c r="AL180" s="189" t="s">
        <v>78</v>
      </c>
      <c r="AM180" s="84" t="s">
        <v>4536</v>
      </c>
      <c r="AN180" s="189" t="s">
        <v>9</v>
      </c>
      <c r="AO180" s="189" t="s">
        <v>10</v>
      </c>
      <c r="AP180" s="83" t="s">
        <v>4177</v>
      </c>
      <c r="AQ180" s="76"/>
      <c r="AR180" s="189" t="s">
        <v>4178</v>
      </c>
      <c r="AS180" s="189" t="s">
        <v>4104</v>
      </c>
      <c r="AT180" s="189" t="s">
        <v>4179</v>
      </c>
      <c r="AU180" s="189" t="s">
        <v>4106</v>
      </c>
      <c r="AV180" s="189">
        <v>2010</v>
      </c>
      <c r="AW180" s="76"/>
      <c r="AX180" s="275">
        <v>1</v>
      </c>
      <c r="AY180" s="276" t="str">
        <f t="shared" si="86"/>
        <v>050514211</v>
      </c>
      <c r="AZ180" s="276" t="s">
        <v>2100</v>
      </c>
      <c r="BA180" s="276" t="s">
        <v>2100</v>
      </c>
      <c r="BB180" s="276" t="s">
        <v>4107</v>
      </c>
      <c r="BC180" s="276" t="s">
        <v>11</v>
      </c>
      <c r="BD180" s="189" t="s">
        <v>4180</v>
      </c>
      <c r="BE180" s="189" t="s">
        <v>9</v>
      </c>
      <c r="BF180" s="189" t="s">
        <v>1665</v>
      </c>
      <c r="BG180" s="189" t="s">
        <v>4181</v>
      </c>
      <c r="BH180" s="77"/>
      <c r="BI180" s="189" t="s">
        <v>4110</v>
      </c>
      <c r="BJ180" s="189" t="s">
        <v>4111</v>
      </c>
      <c r="BK180" s="189" t="s">
        <v>1856</v>
      </c>
      <c r="BL180" s="189">
        <v>2222333</v>
      </c>
      <c r="BM180" s="189">
        <v>2015</v>
      </c>
      <c r="BN180" s="188">
        <v>0.99980000000000002</v>
      </c>
      <c r="BO180" s="189" t="s">
        <v>404</v>
      </c>
      <c r="BP180" s="77"/>
      <c r="BQ180" s="187"/>
      <c r="BR180" s="275">
        <v>5</v>
      </c>
      <c r="BS180" s="188"/>
      <c r="BT180" s="188">
        <v>0.99909999999999999</v>
      </c>
      <c r="BU180" s="188"/>
      <c r="BV180" s="188"/>
      <c r="BW180" s="188"/>
      <c r="BX180" s="188">
        <v>0.99970000000000003</v>
      </c>
      <c r="BY180" s="188"/>
      <c r="BZ180" s="89"/>
      <c r="CA180" s="188"/>
      <c r="CB180" s="188"/>
      <c r="CC180" s="188"/>
      <c r="CD180" s="188"/>
      <c r="CE180" s="188"/>
      <c r="CF180" s="188"/>
      <c r="CG180" s="188"/>
      <c r="CH180" s="188"/>
      <c r="CI180" s="188"/>
      <c r="CJ180" s="188"/>
      <c r="CK180" s="188"/>
      <c r="CL180" s="89"/>
      <c r="CM180" s="89"/>
      <c r="CN180" s="188"/>
      <c r="CO180" s="188"/>
      <c r="CP180" s="188"/>
      <c r="CQ180" s="285"/>
      <c r="CS180" s="2">
        <v>180</v>
      </c>
      <c r="CT180" s="49"/>
      <c r="CU180" s="49"/>
      <c r="CV180" s="49"/>
      <c r="CW180" s="49"/>
    </row>
    <row r="181" spans="1:111" ht="256.5" x14ac:dyDescent="0.25">
      <c r="A181" s="276">
        <v>19</v>
      </c>
      <c r="B181" s="269" t="s">
        <v>4575</v>
      </c>
      <c r="C181" s="269" t="s">
        <v>3905</v>
      </c>
      <c r="D181" s="189" t="s">
        <v>3906</v>
      </c>
      <c r="E181" s="276" t="s">
        <v>4094</v>
      </c>
      <c r="F181" s="189" t="s">
        <v>4095</v>
      </c>
      <c r="G181" s="172">
        <v>1</v>
      </c>
      <c r="H181" s="276" t="s">
        <v>4096</v>
      </c>
      <c r="I181" s="276">
        <v>142</v>
      </c>
      <c r="J181" s="276" t="s">
        <v>4128</v>
      </c>
      <c r="K181" s="276" t="s">
        <v>950</v>
      </c>
      <c r="L181" s="189" t="s">
        <v>404</v>
      </c>
      <c r="M181" s="276" t="s">
        <v>3911</v>
      </c>
      <c r="N181" s="189" t="s">
        <v>4098</v>
      </c>
      <c r="O181" s="189" t="s">
        <v>62</v>
      </c>
      <c r="P181" s="276" t="s">
        <v>189</v>
      </c>
      <c r="Q181" s="276" t="s">
        <v>4098</v>
      </c>
      <c r="R181" s="276">
        <v>1</v>
      </c>
      <c r="S181" s="276">
        <v>1</v>
      </c>
      <c r="T181" s="276" t="s">
        <v>65</v>
      </c>
      <c r="U181" s="276"/>
      <c r="V181" s="276">
        <v>1</v>
      </c>
      <c r="W181" s="276"/>
      <c r="X181" s="173">
        <v>5.2631578947368425</v>
      </c>
      <c r="Y181" s="276">
        <v>1</v>
      </c>
      <c r="Z181" s="276">
        <v>0</v>
      </c>
      <c r="AA181" s="276" t="s">
        <v>1220</v>
      </c>
      <c r="AB181" s="276">
        <v>1</v>
      </c>
      <c r="AC181" s="275">
        <v>2</v>
      </c>
      <c r="AD181" s="189" t="s">
        <v>4099</v>
      </c>
      <c r="AE181" s="189" t="s">
        <v>4100</v>
      </c>
      <c r="AF181" s="79"/>
      <c r="AG181" s="276" t="s">
        <v>1236</v>
      </c>
      <c r="AH181" s="77"/>
      <c r="AI181" s="275">
        <v>1</v>
      </c>
      <c r="AJ181" s="83" t="s">
        <v>4182</v>
      </c>
      <c r="AK181" s="83" t="s">
        <v>4183</v>
      </c>
      <c r="AL181" s="189" t="s">
        <v>78</v>
      </c>
      <c r="AM181" s="84" t="s">
        <v>4536</v>
      </c>
      <c r="AN181" s="189" t="s">
        <v>9</v>
      </c>
      <c r="AO181" s="189" t="s">
        <v>10</v>
      </c>
      <c r="AP181" s="83" t="s">
        <v>4184</v>
      </c>
      <c r="AQ181" s="76"/>
      <c r="AR181" s="189" t="s">
        <v>4185</v>
      </c>
      <c r="AS181" s="189" t="s">
        <v>4104</v>
      </c>
      <c r="AT181" s="189" t="s">
        <v>4186</v>
      </c>
      <c r="AU181" s="189" t="s">
        <v>4106</v>
      </c>
      <c r="AV181" s="189">
        <v>2010</v>
      </c>
      <c r="AW181" s="76"/>
      <c r="AX181" s="275">
        <v>1</v>
      </c>
      <c r="AY181" s="276" t="s">
        <v>4187</v>
      </c>
      <c r="AZ181" s="276" t="s">
        <v>2100</v>
      </c>
      <c r="BA181" s="276" t="s">
        <v>2100</v>
      </c>
      <c r="BB181" s="276" t="s">
        <v>4107</v>
      </c>
      <c r="BC181" s="276" t="s">
        <v>11</v>
      </c>
      <c r="BD181" s="189" t="s">
        <v>4188</v>
      </c>
      <c r="BE181" s="277" t="s">
        <v>9</v>
      </c>
      <c r="BF181" s="277" t="s">
        <v>1665</v>
      </c>
      <c r="BG181" s="277" t="s">
        <v>4181</v>
      </c>
      <c r="BH181" s="77"/>
      <c r="BI181" s="277" t="s">
        <v>4110</v>
      </c>
      <c r="BJ181" s="277" t="s">
        <v>4111</v>
      </c>
      <c r="BK181" s="277" t="s">
        <v>1856</v>
      </c>
      <c r="BL181" s="277">
        <v>2222333</v>
      </c>
      <c r="BM181" s="189">
        <v>2015</v>
      </c>
      <c r="BN181" s="253">
        <v>100</v>
      </c>
      <c r="BO181" s="189" t="s">
        <v>404</v>
      </c>
      <c r="BP181" s="25"/>
      <c r="BQ181" s="188"/>
      <c r="BR181" s="275">
        <v>5</v>
      </c>
      <c r="BS181" s="188"/>
      <c r="BT181" s="188">
        <v>0.99919999999999998</v>
      </c>
      <c r="BU181" s="188"/>
      <c r="BV181" s="188"/>
      <c r="BW181" s="189" t="s">
        <v>404</v>
      </c>
      <c r="BX181" s="188">
        <v>0.99980000000000002</v>
      </c>
      <c r="BY181" s="188"/>
      <c r="BZ181" s="188"/>
      <c r="CA181" s="188"/>
      <c r="CB181" s="188"/>
      <c r="CC181" s="188"/>
      <c r="CD181" s="89"/>
      <c r="CE181" s="89"/>
      <c r="CF181" s="188"/>
      <c r="CG181" s="188"/>
      <c r="CH181" s="188"/>
      <c r="CI181" s="188"/>
      <c r="CJ181" s="77"/>
      <c r="CK181" s="77"/>
      <c r="CL181" s="77"/>
      <c r="CM181" s="77"/>
      <c r="CN181" s="77"/>
      <c r="CO181" s="77"/>
      <c r="CP181" s="77"/>
      <c r="CQ181" s="288"/>
      <c r="CS181" s="24">
        <v>181</v>
      </c>
      <c r="CT181" s="51"/>
      <c r="CU181" s="51"/>
      <c r="CV181" s="51"/>
      <c r="CW181" s="51"/>
    </row>
    <row r="182" spans="1:111" ht="370.5" customHeight="1" x14ac:dyDescent="0.25">
      <c r="A182" s="276">
        <v>19</v>
      </c>
      <c r="B182" s="269" t="s">
        <v>4575</v>
      </c>
      <c r="C182" s="269" t="s">
        <v>3905</v>
      </c>
      <c r="D182" s="189" t="s">
        <v>3906</v>
      </c>
      <c r="E182" s="276" t="s">
        <v>4094</v>
      </c>
      <c r="F182" s="189" t="s">
        <v>4095</v>
      </c>
      <c r="G182" s="172">
        <v>1</v>
      </c>
      <c r="H182" s="276" t="s">
        <v>4096</v>
      </c>
      <c r="I182" s="276">
        <v>142</v>
      </c>
      <c r="J182" s="276" t="s">
        <v>4128</v>
      </c>
      <c r="K182" s="276" t="s">
        <v>950</v>
      </c>
      <c r="L182" s="189" t="s">
        <v>404</v>
      </c>
      <c r="M182" s="276" t="s">
        <v>3911</v>
      </c>
      <c r="N182" s="189" t="s">
        <v>4098</v>
      </c>
      <c r="O182" s="189" t="s">
        <v>62</v>
      </c>
      <c r="P182" s="276" t="s">
        <v>189</v>
      </c>
      <c r="Q182" s="276" t="s">
        <v>4098</v>
      </c>
      <c r="R182" s="276">
        <v>1</v>
      </c>
      <c r="S182" s="276">
        <v>1</v>
      </c>
      <c r="T182" s="276" t="s">
        <v>65</v>
      </c>
      <c r="U182" s="276"/>
      <c r="V182" s="276">
        <v>1</v>
      </c>
      <c r="W182" s="276"/>
      <c r="X182" s="173">
        <v>5.2631578947368425</v>
      </c>
      <c r="Y182" s="276">
        <v>1</v>
      </c>
      <c r="Z182" s="276">
        <v>0</v>
      </c>
      <c r="AA182" s="276" t="s">
        <v>1220</v>
      </c>
      <c r="AB182" s="276">
        <v>1</v>
      </c>
      <c r="AC182" s="275">
        <v>2</v>
      </c>
      <c r="AD182" s="189" t="s">
        <v>4099</v>
      </c>
      <c r="AE182" s="189" t="s">
        <v>4100</v>
      </c>
      <c r="AF182" s="79"/>
      <c r="AG182" s="276" t="s">
        <v>1236</v>
      </c>
      <c r="AH182" s="77"/>
      <c r="AI182" s="275">
        <v>1</v>
      </c>
      <c r="AJ182" s="83" t="s">
        <v>4182</v>
      </c>
      <c r="AK182" s="83" t="s">
        <v>4189</v>
      </c>
      <c r="AL182" s="189" t="s">
        <v>78</v>
      </c>
      <c r="AM182" s="84" t="s">
        <v>4536</v>
      </c>
      <c r="AN182" s="189" t="s">
        <v>9</v>
      </c>
      <c r="AO182" s="189" t="s">
        <v>10</v>
      </c>
      <c r="AP182" s="83" t="s">
        <v>4190</v>
      </c>
      <c r="AQ182" s="76"/>
      <c r="AR182" s="189" t="s">
        <v>4191</v>
      </c>
      <c r="AS182" s="189" t="s">
        <v>4104</v>
      </c>
      <c r="AT182" s="189" t="s">
        <v>4192</v>
      </c>
      <c r="AU182" s="189" t="s">
        <v>4106</v>
      </c>
      <c r="AV182" s="189">
        <v>2010</v>
      </c>
      <c r="AW182" s="76"/>
      <c r="AX182" s="275">
        <v>1</v>
      </c>
      <c r="AY182" s="276" t="s">
        <v>4187</v>
      </c>
      <c r="AZ182" s="276" t="s">
        <v>2100</v>
      </c>
      <c r="BA182" s="276" t="s">
        <v>2100</v>
      </c>
      <c r="BB182" s="276" t="s">
        <v>4107</v>
      </c>
      <c r="BC182" s="276" t="s">
        <v>11</v>
      </c>
      <c r="BD182" s="189" t="s">
        <v>4193</v>
      </c>
      <c r="BE182" s="277" t="s">
        <v>9</v>
      </c>
      <c r="BF182" s="277" t="s">
        <v>1665</v>
      </c>
      <c r="BG182" s="277" t="s">
        <v>4181</v>
      </c>
      <c r="BH182" s="77"/>
      <c r="BI182" s="277" t="s">
        <v>4110</v>
      </c>
      <c r="BJ182" s="277" t="s">
        <v>4111</v>
      </c>
      <c r="BK182" s="277" t="s">
        <v>1856</v>
      </c>
      <c r="BL182" s="277">
        <v>2222333</v>
      </c>
      <c r="BM182" s="189">
        <v>2015</v>
      </c>
      <c r="BN182" s="253">
        <v>100</v>
      </c>
      <c r="BO182" s="189" t="s">
        <v>404</v>
      </c>
      <c r="BP182" s="25"/>
      <c r="BQ182" s="188"/>
      <c r="BR182" s="275">
        <v>5</v>
      </c>
      <c r="BS182" s="188"/>
      <c r="BT182" s="139">
        <v>1</v>
      </c>
      <c r="BU182" s="188"/>
      <c r="BV182" s="188"/>
      <c r="BW182" s="189" t="s">
        <v>404</v>
      </c>
      <c r="BX182" s="139">
        <v>1</v>
      </c>
      <c r="BY182" s="188"/>
      <c r="BZ182" s="188"/>
      <c r="CA182" s="188"/>
      <c r="CB182" s="188"/>
      <c r="CC182" s="188"/>
      <c r="CD182" s="89"/>
      <c r="CE182" s="89"/>
      <c r="CF182" s="188"/>
      <c r="CG182" s="188"/>
      <c r="CH182" s="188"/>
      <c r="CI182" s="188"/>
      <c r="CJ182" s="77"/>
      <c r="CK182" s="77"/>
      <c r="CL182" s="77"/>
      <c r="CM182" s="77"/>
      <c r="CN182" s="77"/>
      <c r="CO182" s="77"/>
      <c r="CP182" s="77"/>
      <c r="CQ182" s="77"/>
      <c r="CR182" s="5"/>
      <c r="CS182" s="24">
        <v>182</v>
      </c>
      <c r="CT182" s="5"/>
      <c r="CU182" s="5"/>
      <c r="CV182" s="5"/>
      <c r="CW182" s="5"/>
      <c r="CX182" s="5"/>
      <c r="CY182" s="5"/>
      <c r="CZ182" s="5"/>
      <c r="DA182" s="5"/>
      <c r="DB182" s="5"/>
      <c r="DC182" s="5"/>
      <c r="DD182" s="5"/>
      <c r="DE182" s="5"/>
      <c r="DF182" s="5"/>
      <c r="DG182" s="5"/>
    </row>
    <row r="183" spans="1:111" ht="256.5" x14ac:dyDescent="0.25">
      <c r="A183" s="276">
        <v>19</v>
      </c>
      <c r="B183" s="269" t="s">
        <v>4575</v>
      </c>
      <c r="C183" s="269" t="s">
        <v>3905</v>
      </c>
      <c r="D183" s="189" t="s">
        <v>3906</v>
      </c>
      <c r="E183" s="276" t="s">
        <v>4094</v>
      </c>
      <c r="F183" s="189" t="s">
        <v>4095</v>
      </c>
      <c r="G183" s="172">
        <v>1</v>
      </c>
      <c r="H183" s="276" t="s">
        <v>4096</v>
      </c>
      <c r="I183" s="276">
        <v>142</v>
      </c>
      <c r="J183" s="276" t="s">
        <v>4128</v>
      </c>
      <c r="K183" s="276" t="s">
        <v>950</v>
      </c>
      <c r="L183" s="189" t="s">
        <v>404</v>
      </c>
      <c r="M183" s="276" t="s">
        <v>3911</v>
      </c>
      <c r="N183" s="189" t="s">
        <v>4098</v>
      </c>
      <c r="O183" s="189" t="s">
        <v>62</v>
      </c>
      <c r="P183" s="276" t="s">
        <v>189</v>
      </c>
      <c r="Q183" s="276" t="s">
        <v>4098</v>
      </c>
      <c r="R183" s="276">
        <v>1</v>
      </c>
      <c r="S183" s="276">
        <v>1</v>
      </c>
      <c r="T183" s="276" t="s">
        <v>65</v>
      </c>
      <c r="U183" s="276"/>
      <c r="V183" s="276">
        <v>1</v>
      </c>
      <c r="W183" s="276"/>
      <c r="X183" s="173"/>
      <c r="Y183" s="276">
        <f>COUNTIF(T183,"RS")</f>
        <v>1</v>
      </c>
      <c r="Z183" s="276">
        <v>0</v>
      </c>
      <c r="AA183" s="276" t="s">
        <v>1220</v>
      </c>
      <c r="AB183" s="276">
        <v>1</v>
      </c>
      <c r="AC183" s="275">
        <v>2</v>
      </c>
      <c r="AD183" s="189" t="s">
        <v>4099</v>
      </c>
      <c r="AE183" s="189" t="s">
        <v>4100</v>
      </c>
      <c r="AF183" s="79"/>
      <c r="AG183" s="276" t="s">
        <v>1236</v>
      </c>
      <c r="AH183" s="77"/>
      <c r="AI183" s="275">
        <v>1</v>
      </c>
      <c r="AJ183" s="83" t="str">
        <f>CONCATENATE(K183,AI183)</f>
        <v>05051421</v>
      </c>
      <c r="AK183" s="83" t="s">
        <v>4194</v>
      </c>
      <c r="AL183" s="189" t="s">
        <v>78</v>
      </c>
      <c r="AM183" s="84" t="s">
        <v>4536</v>
      </c>
      <c r="AN183" s="189" t="s">
        <v>9</v>
      </c>
      <c r="AO183" s="189" t="s">
        <v>10</v>
      </c>
      <c r="AP183" s="83" t="s">
        <v>4195</v>
      </c>
      <c r="AQ183" s="76"/>
      <c r="AR183" s="189" t="s">
        <v>4196</v>
      </c>
      <c r="AS183" s="189" t="s">
        <v>4104</v>
      </c>
      <c r="AT183" s="189" t="s">
        <v>4197</v>
      </c>
      <c r="AU183" s="189" t="s">
        <v>4106</v>
      </c>
      <c r="AV183" s="189">
        <v>2010</v>
      </c>
      <c r="AW183" s="76"/>
      <c r="AX183" s="275">
        <v>1</v>
      </c>
      <c r="AY183" s="276" t="str">
        <f>CONCATENATE(AJ183,AX183)</f>
        <v>050514211</v>
      </c>
      <c r="AZ183" s="276" t="s">
        <v>2100</v>
      </c>
      <c r="BA183" s="276" t="s">
        <v>2100</v>
      </c>
      <c r="BB183" s="276" t="s">
        <v>4107</v>
      </c>
      <c r="BC183" s="276" t="s">
        <v>11</v>
      </c>
      <c r="BD183" s="189" t="s">
        <v>4198</v>
      </c>
      <c r="BE183" s="189" t="s">
        <v>9</v>
      </c>
      <c r="BF183" s="189" t="s">
        <v>1665</v>
      </c>
      <c r="BG183" s="189" t="s">
        <v>4181</v>
      </c>
      <c r="BH183" s="77"/>
      <c r="BI183" s="189" t="s">
        <v>4110</v>
      </c>
      <c r="BJ183" s="189" t="s">
        <v>4111</v>
      </c>
      <c r="BK183" s="189" t="s">
        <v>1856</v>
      </c>
      <c r="BL183" s="189">
        <v>2222333</v>
      </c>
      <c r="BM183" s="189">
        <v>2015</v>
      </c>
      <c r="BN183" s="102">
        <v>0.99890000000000001</v>
      </c>
      <c r="BO183" s="189" t="s">
        <v>404</v>
      </c>
      <c r="BP183" s="77"/>
      <c r="BQ183" s="187"/>
      <c r="BR183" s="275">
        <v>5</v>
      </c>
      <c r="BS183" s="188"/>
      <c r="BT183" s="188">
        <v>0.99809999999999999</v>
      </c>
      <c r="BU183" s="188"/>
      <c r="BV183" s="188"/>
      <c r="BW183" s="188"/>
      <c r="BX183" s="188">
        <v>0.99670000000000003</v>
      </c>
      <c r="BY183" s="188"/>
      <c r="BZ183" s="89"/>
      <c r="CA183" s="188"/>
      <c r="CB183" s="188"/>
      <c r="CC183" s="188"/>
      <c r="CD183" s="188"/>
      <c r="CE183" s="188"/>
      <c r="CF183" s="188"/>
      <c r="CG183" s="188"/>
      <c r="CH183" s="188"/>
      <c r="CI183" s="188"/>
      <c r="CJ183" s="188"/>
      <c r="CK183" s="188"/>
      <c r="CL183" s="89"/>
      <c r="CM183" s="89"/>
      <c r="CN183" s="188"/>
      <c r="CO183" s="188"/>
      <c r="CP183" s="188"/>
      <c r="CQ183" s="188"/>
      <c r="CR183" s="5"/>
      <c r="CS183" s="2">
        <v>183</v>
      </c>
      <c r="CT183" s="5"/>
      <c r="CU183" s="5"/>
      <c r="CV183" s="5"/>
      <c r="CW183" s="5"/>
      <c r="CX183" s="5"/>
      <c r="CY183" s="5"/>
      <c r="CZ183" s="5"/>
      <c r="DA183" s="5"/>
      <c r="DB183" s="5"/>
      <c r="DC183" s="5"/>
      <c r="DD183" s="5"/>
      <c r="DE183" s="5"/>
      <c r="DF183" s="5"/>
      <c r="DG183" s="5"/>
    </row>
    <row r="184" spans="1:111" ht="228" customHeight="1" x14ac:dyDescent="0.25">
      <c r="A184" s="276">
        <v>19</v>
      </c>
      <c r="B184" s="269" t="s">
        <v>4575</v>
      </c>
      <c r="C184" s="269" t="s">
        <v>3905</v>
      </c>
      <c r="D184" s="189" t="s">
        <v>3906</v>
      </c>
      <c r="E184" s="276" t="s">
        <v>4094</v>
      </c>
      <c r="F184" s="189" t="s">
        <v>4095</v>
      </c>
      <c r="G184" s="172">
        <v>1</v>
      </c>
      <c r="H184" s="276" t="s">
        <v>4096</v>
      </c>
      <c r="I184" s="276">
        <v>142</v>
      </c>
      <c r="J184" s="276" t="s">
        <v>4128</v>
      </c>
      <c r="K184" s="276" t="s">
        <v>950</v>
      </c>
      <c r="L184" s="189" t="s">
        <v>404</v>
      </c>
      <c r="M184" s="276" t="s">
        <v>3911</v>
      </c>
      <c r="N184" s="189" t="s">
        <v>4098</v>
      </c>
      <c r="O184" s="189" t="s">
        <v>62</v>
      </c>
      <c r="P184" s="276" t="s">
        <v>189</v>
      </c>
      <c r="Q184" s="276" t="s">
        <v>4098</v>
      </c>
      <c r="R184" s="276">
        <v>1</v>
      </c>
      <c r="S184" s="276">
        <v>1</v>
      </c>
      <c r="T184" s="276" t="s">
        <v>65</v>
      </c>
      <c r="U184" s="276"/>
      <c r="V184" s="276">
        <v>1</v>
      </c>
      <c r="W184" s="276"/>
      <c r="X184" s="173"/>
      <c r="Y184" s="276">
        <f>COUNTIF(T184,"RS")</f>
        <v>1</v>
      </c>
      <c r="Z184" s="276">
        <v>0</v>
      </c>
      <c r="AA184" s="276" t="s">
        <v>1220</v>
      </c>
      <c r="AB184" s="276">
        <v>1</v>
      </c>
      <c r="AC184" s="275">
        <v>2</v>
      </c>
      <c r="AD184" s="189" t="s">
        <v>4099</v>
      </c>
      <c r="AE184" s="189" t="s">
        <v>4100</v>
      </c>
      <c r="AF184" s="79"/>
      <c r="AG184" s="276" t="s">
        <v>1236</v>
      </c>
      <c r="AH184" s="77"/>
      <c r="AI184" s="275">
        <v>1</v>
      </c>
      <c r="AJ184" s="83" t="str">
        <f>CONCATENATE(K184,AI184)</f>
        <v>05051421</v>
      </c>
      <c r="AK184" s="83" t="s">
        <v>4199</v>
      </c>
      <c r="AL184" s="189" t="s">
        <v>78</v>
      </c>
      <c r="AM184" s="84" t="s">
        <v>4536</v>
      </c>
      <c r="AN184" s="189" t="s">
        <v>9</v>
      </c>
      <c r="AO184" s="189" t="s">
        <v>10</v>
      </c>
      <c r="AP184" s="83" t="s">
        <v>4200</v>
      </c>
      <c r="AQ184" s="76"/>
      <c r="AR184" s="189" t="s">
        <v>4201</v>
      </c>
      <c r="AS184" s="189" t="s">
        <v>4104</v>
      </c>
      <c r="AT184" s="189" t="s">
        <v>4202</v>
      </c>
      <c r="AU184" s="189" t="s">
        <v>4106</v>
      </c>
      <c r="AV184" s="189">
        <v>2010</v>
      </c>
      <c r="AW184" s="76"/>
      <c r="AX184" s="275">
        <v>1</v>
      </c>
      <c r="AY184" s="276" t="str">
        <f>CONCATENATE(AJ184,AX184)</f>
        <v>050514211</v>
      </c>
      <c r="AZ184" s="276" t="s">
        <v>2100</v>
      </c>
      <c r="BA184" s="276" t="s">
        <v>2100</v>
      </c>
      <c r="BB184" s="276" t="s">
        <v>4107</v>
      </c>
      <c r="BC184" s="276" t="s">
        <v>11</v>
      </c>
      <c r="BD184" s="189" t="s">
        <v>4203</v>
      </c>
      <c r="BE184" s="189" t="s">
        <v>9</v>
      </c>
      <c r="BF184" s="189" t="s">
        <v>1665</v>
      </c>
      <c r="BG184" s="189" t="s">
        <v>4181</v>
      </c>
      <c r="BH184" s="77"/>
      <c r="BI184" s="189" t="s">
        <v>4110</v>
      </c>
      <c r="BJ184" s="189" t="s">
        <v>4111</v>
      </c>
      <c r="BK184" s="189" t="s">
        <v>1856</v>
      </c>
      <c r="BL184" s="189">
        <v>2222333</v>
      </c>
      <c r="BM184" s="189">
        <v>2015</v>
      </c>
      <c r="BN184" s="158">
        <v>1</v>
      </c>
      <c r="BO184" s="189" t="s">
        <v>404</v>
      </c>
      <c r="BP184" s="77"/>
      <c r="BQ184" s="187"/>
      <c r="BR184" s="275">
        <v>5</v>
      </c>
      <c r="BS184" s="188"/>
      <c r="BT184" s="158">
        <v>1</v>
      </c>
      <c r="BU184" s="188"/>
      <c r="BV184" s="188"/>
      <c r="BW184" s="188"/>
      <c r="BX184" s="158">
        <v>1</v>
      </c>
      <c r="BY184" s="188"/>
      <c r="BZ184" s="89"/>
      <c r="CA184" s="188"/>
      <c r="CB184" s="188"/>
      <c r="CC184" s="188"/>
      <c r="CD184" s="188"/>
      <c r="CE184" s="188"/>
      <c r="CF184" s="188"/>
      <c r="CG184" s="188"/>
      <c r="CH184" s="188"/>
      <c r="CI184" s="188"/>
      <c r="CJ184" s="188"/>
      <c r="CK184" s="188"/>
      <c r="CL184" s="89"/>
      <c r="CM184" s="89"/>
      <c r="CN184" s="188"/>
      <c r="CO184" s="188"/>
      <c r="CP184" s="188"/>
      <c r="CQ184" s="188"/>
      <c r="CR184" s="5"/>
      <c r="CS184" s="24">
        <v>184</v>
      </c>
      <c r="CT184" s="5"/>
      <c r="CU184" s="5"/>
      <c r="CV184" s="5"/>
      <c r="CW184" s="5"/>
      <c r="CX184" s="5"/>
      <c r="CY184" s="5"/>
      <c r="CZ184" s="5"/>
      <c r="DA184" s="5"/>
      <c r="DB184" s="5"/>
      <c r="DC184" s="5"/>
      <c r="DD184" s="5"/>
      <c r="DE184" s="5"/>
      <c r="DF184" s="5"/>
      <c r="DG184" s="5"/>
    </row>
    <row r="185" spans="1:111" ht="256.5" x14ac:dyDescent="0.25">
      <c r="A185" s="276">
        <v>19</v>
      </c>
      <c r="B185" s="269" t="s">
        <v>4575</v>
      </c>
      <c r="C185" s="269" t="s">
        <v>3905</v>
      </c>
      <c r="D185" s="189" t="s">
        <v>3906</v>
      </c>
      <c r="E185" s="276" t="s">
        <v>4094</v>
      </c>
      <c r="F185" s="189" t="s">
        <v>4095</v>
      </c>
      <c r="G185" s="172">
        <v>1</v>
      </c>
      <c r="H185" s="276" t="s">
        <v>4096</v>
      </c>
      <c r="I185" s="276">
        <v>142</v>
      </c>
      <c r="J185" s="276" t="s">
        <v>4128</v>
      </c>
      <c r="K185" s="276" t="s">
        <v>950</v>
      </c>
      <c r="L185" s="189" t="s">
        <v>404</v>
      </c>
      <c r="M185" s="276" t="s">
        <v>3911</v>
      </c>
      <c r="N185" s="189" t="s">
        <v>4098</v>
      </c>
      <c r="O185" s="189" t="s">
        <v>62</v>
      </c>
      <c r="P185" s="276" t="s">
        <v>189</v>
      </c>
      <c r="Q185" s="276" t="s">
        <v>4098</v>
      </c>
      <c r="R185" s="276">
        <v>1</v>
      </c>
      <c r="S185" s="276">
        <v>1</v>
      </c>
      <c r="T185" s="276" t="s">
        <v>65</v>
      </c>
      <c r="U185" s="276"/>
      <c r="V185" s="276">
        <v>1</v>
      </c>
      <c r="W185" s="276"/>
      <c r="X185" s="173"/>
      <c r="Y185" s="276">
        <f>COUNTIF(T185,"RS")</f>
        <v>1</v>
      </c>
      <c r="Z185" s="276">
        <v>0</v>
      </c>
      <c r="AA185" s="276" t="s">
        <v>1220</v>
      </c>
      <c r="AB185" s="276">
        <v>1</v>
      </c>
      <c r="AC185" s="275">
        <v>2</v>
      </c>
      <c r="AD185" s="189" t="s">
        <v>4099</v>
      </c>
      <c r="AE185" s="189" t="s">
        <v>4100</v>
      </c>
      <c r="AF185" s="79"/>
      <c r="AG185" s="276" t="s">
        <v>1236</v>
      </c>
      <c r="AH185" s="77"/>
      <c r="AI185" s="275">
        <v>1</v>
      </c>
      <c r="AJ185" s="83" t="str">
        <f>CONCATENATE(K185,AI185)</f>
        <v>05051421</v>
      </c>
      <c r="AK185" s="83" t="s">
        <v>4204</v>
      </c>
      <c r="AL185" s="189" t="s">
        <v>78</v>
      </c>
      <c r="AM185" s="84" t="s">
        <v>4536</v>
      </c>
      <c r="AN185" s="189" t="s">
        <v>9</v>
      </c>
      <c r="AO185" s="189" t="s">
        <v>10</v>
      </c>
      <c r="AP185" s="83" t="s">
        <v>4205</v>
      </c>
      <c r="AQ185" s="76"/>
      <c r="AR185" s="189" t="s">
        <v>4206</v>
      </c>
      <c r="AS185" s="189" t="s">
        <v>4104</v>
      </c>
      <c r="AT185" s="189" t="s">
        <v>4207</v>
      </c>
      <c r="AU185" s="189" t="s">
        <v>4106</v>
      </c>
      <c r="AV185" s="189">
        <v>2010</v>
      </c>
      <c r="AW185" s="76"/>
      <c r="AX185" s="275">
        <v>1</v>
      </c>
      <c r="AY185" s="276" t="str">
        <f>CONCATENATE(AJ185,AX185)</f>
        <v>050514211</v>
      </c>
      <c r="AZ185" s="276" t="s">
        <v>2100</v>
      </c>
      <c r="BA185" s="276" t="s">
        <v>2100</v>
      </c>
      <c r="BB185" s="276" t="s">
        <v>4107</v>
      </c>
      <c r="BC185" s="276" t="s">
        <v>11</v>
      </c>
      <c r="BD185" s="189" t="s">
        <v>4208</v>
      </c>
      <c r="BE185" s="189" t="s">
        <v>9</v>
      </c>
      <c r="BF185" s="189" t="s">
        <v>1665</v>
      </c>
      <c r="BG185" s="189" t="s">
        <v>4181</v>
      </c>
      <c r="BH185" s="77"/>
      <c r="BI185" s="189" t="s">
        <v>4110</v>
      </c>
      <c r="BJ185" s="189" t="s">
        <v>4111</v>
      </c>
      <c r="BK185" s="189" t="s">
        <v>1856</v>
      </c>
      <c r="BL185" s="189">
        <v>2222333</v>
      </c>
      <c r="BM185" s="189">
        <v>2015</v>
      </c>
      <c r="BN185" s="158">
        <v>1</v>
      </c>
      <c r="BO185" s="189" t="s">
        <v>404</v>
      </c>
      <c r="BP185" s="77"/>
      <c r="BQ185" s="187"/>
      <c r="BR185" s="275">
        <v>5</v>
      </c>
      <c r="BS185" s="188"/>
      <c r="BT185" s="158">
        <v>1</v>
      </c>
      <c r="BU185" s="188"/>
      <c r="BV185" s="188"/>
      <c r="BW185" s="188"/>
      <c r="BX185" s="158">
        <v>1</v>
      </c>
      <c r="BY185" s="188"/>
      <c r="BZ185" s="89"/>
      <c r="CA185" s="188"/>
      <c r="CB185" s="188"/>
      <c r="CC185" s="188"/>
      <c r="CD185" s="188"/>
      <c r="CE185" s="188"/>
      <c r="CF185" s="188"/>
      <c r="CG185" s="188"/>
      <c r="CH185" s="188"/>
      <c r="CI185" s="188"/>
      <c r="CJ185" s="188"/>
      <c r="CK185" s="188"/>
      <c r="CL185" s="89"/>
      <c r="CM185" s="89"/>
      <c r="CN185" s="188"/>
      <c r="CO185" s="188"/>
      <c r="CP185" s="188"/>
      <c r="CQ185" s="188"/>
      <c r="CR185" s="5"/>
      <c r="CS185" s="24">
        <v>185</v>
      </c>
      <c r="CT185" s="5"/>
      <c r="CU185" s="5"/>
      <c r="CV185" s="5"/>
      <c r="CW185" s="5"/>
      <c r="CX185" s="5"/>
      <c r="CY185" s="5"/>
      <c r="CZ185" s="5"/>
      <c r="DA185" s="5"/>
      <c r="DB185" s="5"/>
      <c r="DC185" s="5"/>
      <c r="DD185" s="5"/>
      <c r="DE185" s="5"/>
      <c r="DF185" s="5"/>
      <c r="DG185" s="5"/>
    </row>
    <row r="186" spans="1:111" ht="242.25" x14ac:dyDescent="0.25">
      <c r="A186" s="276">
        <v>19</v>
      </c>
      <c r="B186" s="269" t="s">
        <v>4575</v>
      </c>
      <c r="C186" s="269" t="s">
        <v>3905</v>
      </c>
      <c r="D186" s="189" t="s">
        <v>3906</v>
      </c>
      <c r="E186" s="276" t="s">
        <v>4094</v>
      </c>
      <c r="F186" s="189" t="s">
        <v>4095</v>
      </c>
      <c r="G186" s="172">
        <v>1</v>
      </c>
      <c r="H186" s="276" t="s">
        <v>4096</v>
      </c>
      <c r="I186" s="276">
        <v>142</v>
      </c>
      <c r="J186" s="276" t="s">
        <v>4128</v>
      </c>
      <c r="K186" s="276" t="s">
        <v>950</v>
      </c>
      <c r="L186" s="189" t="s">
        <v>404</v>
      </c>
      <c r="M186" s="276" t="s">
        <v>3911</v>
      </c>
      <c r="N186" s="189" t="s">
        <v>4098</v>
      </c>
      <c r="O186" s="189" t="s">
        <v>62</v>
      </c>
      <c r="P186" s="276" t="s">
        <v>189</v>
      </c>
      <c r="Q186" s="276" t="s">
        <v>4098</v>
      </c>
      <c r="R186" s="276">
        <v>1</v>
      </c>
      <c r="S186" s="276">
        <v>1</v>
      </c>
      <c r="T186" s="276" t="s">
        <v>65</v>
      </c>
      <c r="U186" s="276"/>
      <c r="V186" s="276">
        <v>1</v>
      </c>
      <c r="W186" s="276"/>
      <c r="X186" s="173"/>
      <c r="Y186" s="276">
        <f>COUNTIF(T186,"RS")</f>
        <v>1</v>
      </c>
      <c r="Z186" s="276">
        <v>0</v>
      </c>
      <c r="AA186" s="276" t="s">
        <v>1220</v>
      </c>
      <c r="AB186" s="276">
        <v>1</v>
      </c>
      <c r="AC186" s="275">
        <v>2</v>
      </c>
      <c r="AD186" s="189" t="s">
        <v>4099</v>
      </c>
      <c r="AE186" s="189" t="s">
        <v>4100</v>
      </c>
      <c r="AF186" s="79"/>
      <c r="AG186" s="276" t="s">
        <v>1236</v>
      </c>
      <c r="AH186" s="77"/>
      <c r="AI186" s="275">
        <v>1</v>
      </c>
      <c r="AJ186" s="83" t="str">
        <f>CONCATENATE(K186,AI186)</f>
        <v>05051421</v>
      </c>
      <c r="AK186" s="83" t="s">
        <v>4209</v>
      </c>
      <c r="AL186" s="189" t="s">
        <v>78</v>
      </c>
      <c r="AM186" s="84" t="s">
        <v>4536</v>
      </c>
      <c r="AN186" s="189" t="s">
        <v>9</v>
      </c>
      <c r="AO186" s="189" t="s">
        <v>10</v>
      </c>
      <c r="AP186" s="83" t="s">
        <v>4210</v>
      </c>
      <c r="AQ186" s="76"/>
      <c r="AR186" s="189" t="s">
        <v>4211</v>
      </c>
      <c r="AS186" s="189" t="s">
        <v>4104</v>
      </c>
      <c r="AT186" s="189" t="s">
        <v>4212</v>
      </c>
      <c r="AU186" s="189" t="s">
        <v>4106</v>
      </c>
      <c r="AV186" s="189">
        <v>2010</v>
      </c>
      <c r="AW186" s="76"/>
      <c r="AX186" s="275">
        <v>1</v>
      </c>
      <c r="AY186" s="276" t="str">
        <f>CONCATENATE(AJ186,AX186)</f>
        <v>050514211</v>
      </c>
      <c r="AZ186" s="276" t="s">
        <v>2100</v>
      </c>
      <c r="BA186" s="276" t="s">
        <v>2100</v>
      </c>
      <c r="BB186" s="276" t="s">
        <v>4107</v>
      </c>
      <c r="BC186" s="276" t="s">
        <v>11</v>
      </c>
      <c r="BD186" s="189" t="s">
        <v>4213</v>
      </c>
      <c r="BE186" s="189" t="s">
        <v>9</v>
      </c>
      <c r="BF186" s="189" t="s">
        <v>1665</v>
      </c>
      <c r="BG186" s="189" t="s">
        <v>4181</v>
      </c>
      <c r="BH186" s="77"/>
      <c r="BI186" s="189" t="s">
        <v>4110</v>
      </c>
      <c r="BJ186" s="189" t="s">
        <v>4111</v>
      </c>
      <c r="BK186" s="189" t="s">
        <v>1856</v>
      </c>
      <c r="BL186" s="189">
        <v>2222333</v>
      </c>
      <c r="BM186" s="189">
        <v>2015</v>
      </c>
      <c r="BN186" s="188">
        <v>0.98880000000000001</v>
      </c>
      <c r="BO186" s="189" t="s">
        <v>404</v>
      </c>
      <c r="BP186" s="77"/>
      <c r="BQ186" s="187"/>
      <c r="BR186" s="275">
        <v>5</v>
      </c>
      <c r="BS186" s="188"/>
      <c r="BT186" s="188">
        <v>0.99150000000000005</v>
      </c>
      <c r="BU186" s="188"/>
      <c r="BV186" s="188"/>
      <c r="BW186" s="188"/>
      <c r="BX186" s="188">
        <v>0.9919</v>
      </c>
      <c r="BY186" s="188"/>
      <c r="BZ186" s="89"/>
      <c r="CA186" s="188"/>
      <c r="CB186" s="188"/>
      <c r="CC186" s="188"/>
      <c r="CD186" s="188"/>
      <c r="CE186" s="188"/>
      <c r="CF186" s="188"/>
      <c r="CG186" s="188"/>
      <c r="CH186" s="188"/>
      <c r="CI186" s="188"/>
      <c r="CJ186" s="188"/>
      <c r="CK186" s="188"/>
      <c r="CL186" s="89"/>
      <c r="CM186" s="89"/>
      <c r="CN186" s="188"/>
      <c r="CO186" s="188"/>
      <c r="CP186" s="188"/>
      <c r="CQ186" s="188"/>
      <c r="CR186" s="5"/>
      <c r="CS186" s="2">
        <v>186</v>
      </c>
      <c r="CT186" s="5"/>
      <c r="CU186" s="5"/>
      <c r="CV186" s="5"/>
      <c r="CW186" s="5"/>
      <c r="CX186" s="5"/>
      <c r="CY186" s="5"/>
      <c r="CZ186" s="5"/>
      <c r="DA186" s="5"/>
      <c r="DB186" s="5"/>
      <c r="DC186" s="5"/>
      <c r="DD186" s="5"/>
      <c r="DE186" s="5"/>
      <c r="DF186" s="5"/>
    </row>
    <row r="187" spans="1:111" ht="256.5" x14ac:dyDescent="0.25">
      <c r="A187" s="276">
        <v>19</v>
      </c>
      <c r="B187" s="269" t="s">
        <v>4575</v>
      </c>
      <c r="C187" s="269" t="s">
        <v>3905</v>
      </c>
      <c r="D187" s="189" t="s">
        <v>3906</v>
      </c>
      <c r="E187" s="276" t="s">
        <v>4094</v>
      </c>
      <c r="F187" s="189" t="s">
        <v>4095</v>
      </c>
      <c r="G187" s="172">
        <v>1</v>
      </c>
      <c r="H187" s="276" t="s">
        <v>4214</v>
      </c>
      <c r="I187" s="276">
        <v>142</v>
      </c>
      <c r="J187" s="276" t="s">
        <v>4097</v>
      </c>
      <c r="K187" s="276" t="s">
        <v>950</v>
      </c>
      <c r="L187" s="189" t="s">
        <v>404</v>
      </c>
      <c r="M187" s="276" t="s">
        <v>3911</v>
      </c>
      <c r="N187" s="189" t="s">
        <v>4098</v>
      </c>
      <c r="O187" s="276" t="s">
        <v>137</v>
      </c>
      <c r="P187" s="276" t="s">
        <v>189</v>
      </c>
      <c r="Q187" s="276" t="s">
        <v>4098</v>
      </c>
      <c r="R187" s="276">
        <v>1</v>
      </c>
      <c r="S187" s="276">
        <v>1</v>
      </c>
      <c r="T187" s="276" t="s">
        <v>65</v>
      </c>
      <c r="U187" s="276"/>
      <c r="V187" s="276">
        <v>1</v>
      </c>
      <c r="W187" s="276"/>
      <c r="X187" s="173"/>
      <c r="Y187" s="276">
        <v>1</v>
      </c>
      <c r="Z187" s="276">
        <v>0</v>
      </c>
      <c r="AA187" s="276" t="s">
        <v>1220</v>
      </c>
      <c r="AB187" s="276">
        <v>1</v>
      </c>
      <c r="AC187" s="275"/>
      <c r="AD187" s="189"/>
      <c r="AE187" s="189"/>
      <c r="AF187" s="79"/>
      <c r="AG187" s="276" t="s">
        <v>3975</v>
      </c>
      <c r="AH187" s="77"/>
      <c r="AI187" s="275">
        <v>1</v>
      </c>
      <c r="AJ187" s="83" t="str">
        <f>CONCATENATE(K187,AI187)</f>
        <v>05051421</v>
      </c>
      <c r="AK187" s="189" t="s">
        <v>4215</v>
      </c>
      <c r="AL187" s="276" t="s">
        <v>137</v>
      </c>
      <c r="AM187" s="189"/>
      <c r="AN187" s="276" t="s">
        <v>4216</v>
      </c>
      <c r="AO187" s="275" t="s">
        <v>1369</v>
      </c>
      <c r="AP187" s="83" t="s">
        <v>4217</v>
      </c>
      <c r="AQ187" s="83" t="s">
        <v>4218</v>
      </c>
      <c r="AR187" s="83" t="s">
        <v>4218</v>
      </c>
      <c r="AS187" s="83" t="s">
        <v>4219</v>
      </c>
      <c r="AT187" s="275" t="s">
        <v>2382</v>
      </c>
      <c r="AU187" s="275" t="s">
        <v>2382</v>
      </c>
      <c r="AV187" s="275" t="s">
        <v>2382</v>
      </c>
      <c r="AW187" s="275" t="s">
        <v>2382</v>
      </c>
      <c r="AX187" s="275">
        <v>1</v>
      </c>
      <c r="AY187" s="276" t="str">
        <f>CONCATENATE(AJ187,AX187)</f>
        <v>050514211</v>
      </c>
      <c r="AZ187" s="276" t="s">
        <v>4220</v>
      </c>
      <c r="BA187" s="83" t="s">
        <v>4221</v>
      </c>
      <c r="BB187" s="83" t="s">
        <v>1229</v>
      </c>
      <c r="BC187" s="276" t="s">
        <v>11</v>
      </c>
      <c r="BD187" s="172">
        <v>2017</v>
      </c>
      <c r="BE187" s="276" t="s">
        <v>9</v>
      </c>
      <c r="BF187" s="275" t="s">
        <v>4222</v>
      </c>
      <c r="BG187" s="276" t="s">
        <v>4223</v>
      </c>
      <c r="BH187" s="276" t="s">
        <v>4224</v>
      </c>
      <c r="BI187" s="276" t="s">
        <v>4225</v>
      </c>
      <c r="BJ187" s="276" t="s">
        <v>4226</v>
      </c>
      <c r="BK187" s="83" t="s">
        <v>4227</v>
      </c>
      <c r="BL187" s="276" t="s">
        <v>4228</v>
      </c>
      <c r="BM187" s="172">
        <v>2015</v>
      </c>
      <c r="BN187" s="275">
        <v>0</v>
      </c>
      <c r="BO187" s="275">
        <v>9000</v>
      </c>
      <c r="BP187" s="275"/>
      <c r="BQ187" s="176">
        <f>+BO187-BN187</f>
        <v>9000</v>
      </c>
      <c r="BR187" s="275">
        <v>5</v>
      </c>
      <c r="BS187" s="176" t="s">
        <v>1323</v>
      </c>
      <c r="BT187" s="176" t="s">
        <v>1323</v>
      </c>
      <c r="BU187" s="176" t="s">
        <v>1323</v>
      </c>
      <c r="BV187" s="176" t="s">
        <v>1323</v>
      </c>
      <c r="BW187" s="176">
        <v>50</v>
      </c>
      <c r="BX187" s="176">
        <v>10</v>
      </c>
      <c r="BY187" s="176">
        <f>+BX187-BN187</f>
        <v>10</v>
      </c>
      <c r="BZ187" s="89">
        <f>+BY187/BQ187</f>
        <v>1.1111111111111111E-3</v>
      </c>
      <c r="CA187" s="176">
        <v>3000</v>
      </c>
      <c r="CB187" s="176"/>
      <c r="CC187" s="176">
        <f>+CB187-BN187</f>
        <v>0</v>
      </c>
      <c r="CD187" s="188">
        <f>+CC187/BQ187</f>
        <v>0</v>
      </c>
      <c r="CE187" s="176">
        <v>3000</v>
      </c>
      <c r="CF187" s="176"/>
      <c r="CG187" s="176"/>
      <c r="CH187" s="188"/>
      <c r="CI187" s="176">
        <v>3000</v>
      </c>
      <c r="CJ187" s="176"/>
      <c r="CK187" s="176"/>
      <c r="CL187" s="89"/>
      <c r="CM187" s="89" t="s">
        <v>11</v>
      </c>
      <c r="CN187" s="188" t="s">
        <v>3930</v>
      </c>
      <c r="CO187" s="188"/>
      <c r="CP187" s="188"/>
      <c r="CQ187" s="188"/>
      <c r="CR187" s="5"/>
      <c r="CS187" s="24">
        <v>187</v>
      </c>
      <c r="CT187" s="5"/>
      <c r="CU187" s="5"/>
      <c r="CV187" s="5"/>
      <c r="CW187" s="5"/>
      <c r="CX187" s="5"/>
      <c r="CY187" s="5"/>
      <c r="CZ187" s="5"/>
      <c r="DA187" s="5"/>
      <c r="DB187" s="5"/>
      <c r="DC187" s="5"/>
      <c r="DD187" s="5"/>
      <c r="DE187" s="5"/>
      <c r="DF187" s="5"/>
    </row>
    <row r="188" spans="1:111" s="29" customFormat="1" ht="199.5" x14ac:dyDescent="0.25">
      <c r="A188" s="276">
        <v>19</v>
      </c>
      <c r="B188" s="269" t="s">
        <v>4575</v>
      </c>
      <c r="C188" s="269" t="s">
        <v>3905</v>
      </c>
      <c r="D188" s="189" t="s">
        <v>3906</v>
      </c>
      <c r="E188" s="276" t="s">
        <v>4094</v>
      </c>
      <c r="F188" s="189" t="s">
        <v>4095</v>
      </c>
      <c r="G188" s="172">
        <v>1</v>
      </c>
      <c r="H188" s="276" t="s">
        <v>4214</v>
      </c>
      <c r="I188" s="276">
        <v>144</v>
      </c>
      <c r="J188" s="276" t="s">
        <v>4128</v>
      </c>
      <c r="K188" s="276" t="s">
        <v>950</v>
      </c>
      <c r="L188" s="189" t="s">
        <v>404</v>
      </c>
      <c r="M188" s="276" t="s">
        <v>3911</v>
      </c>
      <c r="N188" s="189" t="s">
        <v>4098</v>
      </c>
      <c r="O188" s="276" t="s">
        <v>78</v>
      </c>
      <c r="P188" s="276" t="s">
        <v>189</v>
      </c>
      <c r="Q188" s="276" t="s">
        <v>4098</v>
      </c>
      <c r="R188" s="276">
        <v>1</v>
      </c>
      <c r="S188" s="276">
        <v>1</v>
      </c>
      <c r="T188" s="276" t="s">
        <v>65</v>
      </c>
      <c r="U188" s="276"/>
      <c r="V188" s="276">
        <v>3</v>
      </c>
      <c r="W188" s="276"/>
      <c r="X188" s="173"/>
      <c r="Y188" s="276">
        <v>0</v>
      </c>
      <c r="Z188" s="276">
        <v>1</v>
      </c>
      <c r="AA188" s="269" t="s">
        <v>3648</v>
      </c>
      <c r="AB188" s="276">
        <v>1</v>
      </c>
      <c r="AC188" s="275"/>
      <c r="AD188" s="189"/>
      <c r="AE188" s="189"/>
      <c r="AF188" s="79"/>
      <c r="AG188" s="276" t="s">
        <v>3975</v>
      </c>
      <c r="AH188" s="77"/>
      <c r="AI188" s="275">
        <v>1</v>
      </c>
      <c r="AJ188" s="83" t="s">
        <v>4182</v>
      </c>
      <c r="AK188" s="189" t="s">
        <v>4229</v>
      </c>
      <c r="AL188" s="276" t="s">
        <v>78</v>
      </c>
      <c r="AM188" s="189"/>
      <c r="AN188" s="276" t="s">
        <v>9</v>
      </c>
      <c r="AO188" s="275" t="s">
        <v>4230</v>
      </c>
      <c r="AP188" s="83" t="s">
        <v>4231</v>
      </c>
      <c r="AQ188" s="276" t="s">
        <v>1395</v>
      </c>
      <c r="AR188" s="276" t="s">
        <v>3296</v>
      </c>
      <c r="AS188" s="276"/>
      <c r="AT188" s="275" t="s">
        <v>2382</v>
      </c>
      <c r="AU188" s="275" t="s">
        <v>2382</v>
      </c>
      <c r="AV188" s="275" t="s">
        <v>2382</v>
      </c>
      <c r="AW188" s="275" t="s">
        <v>2382</v>
      </c>
      <c r="AX188" s="275">
        <v>1</v>
      </c>
      <c r="AY188" s="276" t="s">
        <v>4187</v>
      </c>
      <c r="AZ188" s="276" t="s">
        <v>4232</v>
      </c>
      <c r="BA188" s="83" t="s">
        <v>4233</v>
      </c>
      <c r="BB188" s="83" t="s">
        <v>1229</v>
      </c>
      <c r="BC188" s="276" t="s">
        <v>11</v>
      </c>
      <c r="BD188" s="172">
        <v>2015</v>
      </c>
      <c r="BE188" s="276" t="s">
        <v>9</v>
      </c>
      <c r="BF188" s="275" t="s">
        <v>9</v>
      </c>
      <c r="BG188" s="276" t="s">
        <v>4234</v>
      </c>
      <c r="BH188" s="276" t="s">
        <v>4235</v>
      </c>
      <c r="BI188" s="276" t="s">
        <v>4236</v>
      </c>
      <c r="BJ188" s="276" t="s">
        <v>4237</v>
      </c>
      <c r="BK188" s="83" t="s">
        <v>4233</v>
      </c>
      <c r="BL188" s="276" t="s">
        <v>4238</v>
      </c>
      <c r="BM188" s="172">
        <v>2015</v>
      </c>
      <c r="BN188" s="172">
        <v>19087</v>
      </c>
      <c r="BO188" s="275"/>
      <c r="BP188" s="275"/>
      <c r="BQ188" s="176"/>
      <c r="BR188" s="275">
        <v>5</v>
      </c>
      <c r="BS188" s="176"/>
      <c r="BT188" s="176">
        <f>16235+1438</f>
        <v>17673</v>
      </c>
      <c r="BU188" s="176"/>
      <c r="BV188" s="176"/>
      <c r="BW188" s="176"/>
      <c r="BX188" s="176">
        <f>11273+1888</f>
        <v>13161</v>
      </c>
      <c r="BY188" s="176"/>
      <c r="BZ188" s="89"/>
      <c r="CA188" s="176"/>
      <c r="CB188" s="176"/>
      <c r="CC188" s="176"/>
      <c r="CD188" s="188"/>
      <c r="CE188" s="176"/>
      <c r="CF188" s="176"/>
      <c r="CG188" s="176"/>
      <c r="CH188" s="188"/>
      <c r="CI188" s="176"/>
      <c r="CJ188" s="176"/>
      <c r="CK188" s="176"/>
      <c r="CL188" s="89"/>
      <c r="CM188" s="89" t="s">
        <v>11</v>
      </c>
      <c r="CN188" s="188" t="s">
        <v>3930</v>
      </c>
      <c r="CO188" s="188"/>
      <c r="CP188" s="188"/>
      <c r="CQ188" s="188"/>
      <c r="CS188" s="24">
        <v>188</v>
      </c>
    </row>
    <row r="189" spans="1:111" s="29" customFormat="1" ht="156.75" x14ac:dyDescent="0.25">
      <c r="A189" s="276">
        <v>19</v>
      </c>
      <c r="B189" s="269" t="s">
        <v>4575</v>
      </c>
      <c r="C189" s="269" t="s">
        <v>3905</v>
      </c>
      <c r="D189" s="189" t="s">
        <v>3906</v>
      </c>
      <c r="E189" s="276" t="s">
        <v>4094</v>
      </c>
      <c r="F189" s="189" t="s">
        <v>4095</v>
      </c>
      <c r="G189" s="172">
        <v>4</v>
      </c>
      <c r="H189" s="276" t="s">
        <v>4239</v>
      </c>
      <c r="I189" s="276">
        <v>145</v>
      </c>
      <c r="J189" s="276" t="s">
        <v>4240</v>
      </c>
      <c r="K189" s="276" t="s">
        <v>953</v>
      </c>
      <c r="L189" s="189" t="s">
        <v>407</v>
      </c>
      <c r="M189" s="276" t="s">
        <v>3911</v>
      </c>
      <c r="N189" s="189" t="s">
        <v>4098</v>
      </c>
      <c r="O189" s="189" t="s">
        <v>62</v>
      </c>
      <c r="P189" s="276" t="s">
        <v>189</v>
      </c>
      <c r="Q189" s="276" t="s">
        <v>4098</v>
      </c>
      <c r="R189" s="276"/>
      <c r="S189" s="276"/>
      <c r="T189" s="276" t="s">
        <v>79</v>
      </c>
      <c r="U189" s="276"/>
      <c r="V189" s="276"/>
      <c r="W189" s="276"/>
      <c r="X189" s="173" t="e">
        <f>100/COUNTIFS(($B$4:$B$148),C189,($D$4:$D$148),E189)</f>
        <v>#DIV/0!</v>
      </c>
      <c r="Y189" s="276">
        <f>COUNTIF(T189,"RS")</f>
        <v>0</v>
      </c>
      <c r="Z189" s="276">
        <v>1</v>
      </c>
      <c r="AA189" s="276" t="s">
        <v>1221</v>
      </c>
      <c r="AB189" s="276"/>
      <c r="AC189" s="275"/>
      <c r="AD189" s="189"/>
      <c r="AE189" s="189"/>
      <c r="AF189" s="79"/>
      <c r="AG189" s="276" t="s">
        <v>3975</v>
      </c>
      <c r="AH189" s="77"/>
      <c r="AI189" s="275">
        <v>1</v>
      </c>
      <c r="AJ189" s="83" t="str">
        <f>CONCATENATE(K189,AI189)</f>
        <v>05051451</v>
      </c>
      <c r="AK189" s="276" t="s">
        <v>4241</v>
      </c>
      <c r="AL189" s="276" t="s">
        <v>1259</v>
      </c>
      <c r="AM189" s="276"/>
      <c r="AN189" s="276" t="s">
        <v>9</v>
      </c>
      <c r="AO189" s="276" t="s">
        <v>3816</v>
      </c>
      <c r="AP189" s="276" t="s">
        <v>4242</v>
      </c>
      <c r="AQ189" s="275" t="s">
        <v>1395</v>
      </c>
      <c r="AR189" s="275" t="s">
        <v>1395</v>
      </c>
      <c r="AS189" s="275" t="s">
        <v>2624</v>
      </c>
      <c r="AT189" s="275" t="s">
        <v>1395</v>
      </c>
      <c r="AU189" s="275" t="s">
        <v>1395</v>
      </c>
      <c r="AV189" s="275">
        <v>2015</v>
      </c>
      <c r="AW189" s="276" t="s">
        <v>4243</v>
      </c>
      <c r="AX189" s="275">
        <v>1</v>
      </c>
      <c r="AY189" s="276" t="str">
        <f t="shared" ref="AY189:AY228" si="87">CONCATENATE(AJ189,AX189)</f>
        <v>050514511</v>
      </c>
      <c r="AZ189" s="276" t="s">
        <v>4244</v>
      </c>
      <c r="BA189" s="275" t="s">
        <v>4245</v>
      </c>
      <c r="BB189" s="276" t="s">
        <v>1229</v>
      </c>
      <c r="BC189" s="275" t="s">
        <v>4246</v>
      </c>
      <c r="BD189" s="275" t="s">
        <v>1529</v>
      </c>
      <c r="BE189" s="275" t="s">
        <v>9</v>
      </c>
      <c r="BF189" s="276" t="s">
        <v>4247</v>
      </c>
      <c r="BG189" s="276" t="s">
        <v>4248</v>
      </c>
      <c r="BH189" s="276" t="s">
        <v>4249</v>
      </c>
      <c r="BI189" s="276" t="s">
        <v>4250</v>
      </c>
      <c r="BJ189" s="276" t="s">
        <v>4251</v>
      </c>
      <c r="BK189" s="276" t="s">
        <v>4252</v>
      </c>
      <c r="BL189" s="275" t="s">
        <v>4253</v>
      </c>
      <c r="BM189" s="218">
        <v>2015</v>
      </c>
      <c r="BN189" s="113">
        <v>1591</v>
      </c>
      <c r="BO189" s="275">
        <v>5000</v>
      </c>
      <c r="BP189" s="77"/>
      <c r="BQ189" s="172">
        <f>+BO189-BN189</f>
        <v>3409</v>
      </c>
      <c r="BR189" s="275">
        <v>5</v>
      </c>
      <c r="BS189" s="275">
        <v>1000</v>
      </c>
      <c r="BT189" s="275">
        <v>1664</v>
      </c>
      <c r="BU189" s="175">
        <f>BT189-$BM$147</f>
        <v>-350</v>
      </c>
      <c r="BV189" s="139">
        <f>BT189/BO189</f>
        <v>0.33279999999999998</v>
      </c>
      <c r="BW189" s="275">
        <v>1000</v>
      </c>
      <c r="BX189" s="275">
        <v>1757</v>
      </c>
      <c r="BY189" s="275">
        <f>BX189-$BM$147</f>
        <v>-257</v>
      </c>
      <c r="BZ189" s="139">
        <f>+BY189/BQ189</f>
        <v>-7.5388677031387505E-2</v>
      </c>
      <c r="CA189" s="275">
        <v>1000</v>
      </c>
      <c r="CB189" s="275"/>
      <c r="CC189" s="188"/>
      <c r="CD189" s="188"/>
      <c r="CE189" s="275">
        <v>1000</v>
      </c>
      <c r="CF189" s="188"/>
      <c r="CG189" s="188"/>
      <c r="CH189" s="188"/>
      <c r="CI189" s="275">
        <v>5000</v>
      </c>
      <c r="CJ189" s="188"/>
      <c r="CK189" s="188"/>
      <c r="CL189" s="89"/>
      <c r="CM189" s="89"/>
      <c r="CN189" s="188"/>
      <c r="CO189" s="188"/>
      <c r="CP189" s="188"/>
      <c r="CQ189" s="188"/>
      <c r="CS189" s="2">
        <v>189</v>
      </c>
    </row>
    <row r="190" spans="1:111" s="190" customFormat="1" ht="142.5" x14ac:dyDescent="0.2">
      <c r="A190" s="276">
        <v>19</v>
      </c>
      <c r="B190" s="269" t="s">
        <v>4575</v>
      </c>
      <c r="C190" s="269" t="s">
        <v>3905</v>
      </c>
      <c r="D190" s="189" t="s">
        <v>3906</v>
      </c>
      <c r="E190" s="276" t="s">
        <v>4094</v>
      </c>
      <c r="F190" s="189" t="s">
        <v>4095</v>
      </c>
      <c r="G190" s="172">
        <v>4</v>
      </c>
      <c r="H190" s="276" t="s">
        <v>4239</v>
      </c>
      <c r="I190" s="276">
        <v>145</v>
      </c>
      <c r="J190" s="276" t="s">
        <v>4240</v>
      </c>
      <c r="K190" s="276" t="s">
        <v>953</v>
      </c>
      <c r="L190" s="189" t="s">
        <v>407</v>
      </c>
      <c r="M190" s="276"/>
      <c r="N190" s="189"/>
      <c r="O190" s="189" t="s">
        <v>62</v>
      </c>
      <c r="P190" s="276"/>
      <c r="Q190" s="276"/>
      <c r="R190" s="276"/>
      <c r="S190" s="276"/>
      <c r="T190" s="276"/>
      <c r="U190" s="276"/>
      <c r="V190" s="276"/>
      <c r="W190" s="276"/>
      <c r="X190" s="173"/>
      <c r="Y190" s="276">
        <v>0</v>
      </c>
      <c r="Z190" s="276">
        <v>1</v>
      </c>
      <c r="AA190" s="276" t="s">
        <v>1221</v>
      </c>
      <c r="AB190" s="276"/>
      <c r="AC190" s="275"/>
      <c r="AD190" s="189"/>
      <c r="AE190" s="189"/>
      <c r="AF190" s="79"/>
      <c r="AG190" s="276" t="s">
        <v>3975</v>
      </c>
      <c r="AH190" s="77"/>
      <c r="AI190" s="275">
        <v>1</v>
      </c>
      <c r="AJ190" s="276" t="str">
        <f>CONCATENATE(K190,AI190)</f>
        <v>05051451</v>
      </c>
      <c r="AK190" s="276" t="s">
        <v>4254</v>
      </c>
      <c r="AL190" s="275" t="s">
        <v>1259</v>
      </c>
      <c r="AM190" s="77"/>
      <c r="AN190" s="276" t="s">
        <v>9</v>
      </c>
      <c r="AO190" s="276" t="s">
        <v>3816</v>
      </c>
      <c r="AP190" s="276" t="s">
        <v>4255</v>
      </c>
      <c r="AQ190" s="276" t="s">
        <v>4254</v>
      </c>
      <c r="AR190" s="276" t="s">
        <v>4254</v>
      </c>
      <c r="AS190" s="275" t="s">
        <v>2624</v>
      </c>
      <c r="AT190" s="275" t="s">
        <v>1395</v>
      </c>
      <c r="AU190" s="275" t="s">
        <v>1395</v>
      </c>
      <c r="AV190" s="275" t="s">
        <v>4256</v>
      </c>
      <c r="AW190" s="276" t="s">
        <v>4257</v>
      </c>
      <c r="AX190" s="275">
        <v>1</v>
      </c>
      <c r="AY190" s="276" t="str">
        <f t="shared" si="87"/>
        <v>050514511</v>
      </c>
      <c r="AZ190" s="276" t="s">
        <v>4244</v>
      </c>
      <c r="BA190" s="275" t="s">
        <v>4245</v>
      </c>
      <c r="BB190" s="276" t="s">
        <v>1229</v>
      </c>
      <c r="BC190" s="275" t="s">
        <v>11</v>
      </c>
      <c r="BD190" s="275" t="s">
        <v>4258</v>
      </c>
      <c r="BE190" s="275" t="s">
        <v>9</v>
      </c>
      <c r="BF190" s="276" t="s">
        <v>4247</v>
      </c>
      <c r="BG190" s="275" t="s">
        <v>4259</v>
      </c>
      <c r="BH190" s="276" t="s">
        <v>4260</v>
      </c>
      <c r="BI190" s="276" t="s">
        <v>4250</v>
      </c>
      <c r="BJ190" s="276" t="s">
        <v>4251</v>
      </c>
      <c r="BK190" s="276" t="s">
        <v>4252</v>
      </c>
      <c r="BL190" s="275" t="s">
        <v>4253</v>
      </c>
      <c r="BM190" s="218" t="s">
        <v>4261</v>
      </c>
      <c r="BN190" s="275">
        <v>800</v>
      </c>
      <c r="BO190" s="275">
        <v>4000</v>
      </c>
      <c r="BP190" s="77"/>
      <c r="BQ190" s="172">
        <f>+BO190-BN190</f>
        <v>3200</v>
      </c>
      <c r="BR190" s="275">
        <v>3</v>
      </c>
      <c r="BS190" s="275">
        <v>800</v>
      </c>
      <c r="BT190" s="275"/>
      <c r="BU190" s="275"/>
      <c r="BV190" s="275"/>
      <c r="BW190" s="275">
        <v>800</v>
      </c>
      <c r="BX190" s="275"/>
      <c r="BY190" s="275"/>
      <c r="BZ190" s="275"/>
      <c r="CA190" s="275">
        <v>800</v>
      </c>
      <c r="CB190" s="275"/>
      <c r="CC190" s="188"/>
      <c r="CD190" s="188"/>
      <c r="CE190" s="275">
        <v>800</v>
      </c>
      <c r="CF190" s="188"/>
      <c r="CG190" s="188"/>
      <c r="CH190" s="188"/>
      <c r="CI190" s="275">
        <v>800</v>
      </c>
      <c r="CJ190" s="188"/>
      <c r="CK190" s="188"/>
      <c r="CL190" s="89"/>
      <c r="CM190" s="89"/>
      <c r="CN190" s="188"/>
      <c r="CO190" s="188"/>
      <c r="CP190" s="188"/>
      <c r="CQ190" s="188"/>
      <c r="CS190" s="24">
        <v>190</v>
      </c>
    </row>
    <row r="191" spans="1:111" s="190" customFormat="1" ht="142.5" x14ac:dyDescent="0.2">
      <c r="A191" s="276">
        <v>19</v>
      </c>
      <c r="B191" s="269" t="s">
        <v>4575</v>
      </c>
      <c r="C191" s="269" t="s">
        <v>3905</v>
      </c>
      <c r="D191" s="189" t="s">
        <v>3906</v>
      </c>
      <c r="E191" s="276" t="s">
        <v>4094</v>
      </c>
      <c r="F191" s="189" t="s">
        <v>4095</v>
      </c>
      <c r="G191" s="172">
        <v>4</v>
      </c>
      <c r="H191" s="276" t="s">
        <v>4239</v>
      </c>
      <c r="I191" s="276">
        <v>145</v>
      </c>
      <c r="J191" s="276" t="s">
        <v>4240</v>
      </c>
      <c r="K191" s="276" t="s">
        <v>953</v>
      </c>
      <c r="L191" s="189" t="s">
        <v>407</v>
      </c>
      <c r="M191" s="276"/>
      <c r="N191" s="189"/>
      <c r="O191" s="189" t="s">
        <v>62</v>
      </c>
      <c r="P191" s="276"/>
      <c r="Q191" s="276"/>
      <c r="R191" s="276"/>
      <c r="S191" s="276"/>
      <c r="T191" s="276"/>
      <c r="U191" s="276"/>
      <c r="V191" s="276"/>
      <c r="W191" s="276"/>
      <c r="X191" s="173"/>
      <c r="Y191" s="276">
        <v>0</v>
      </c>
      <c r="Z191" s="276">
        <v>1</v>
      </c>
      <c r="AA191" s="276" t="s">
        <v>1221</v>
      </c>
      <c r="AB191" s="276"/>
      <c r="AC191" s="275"/>
      <c r="AD191" s="189"/>
      <c r="AE191" s="189"/>
      <c r="AF191" s="79"/>
      <c r="AG191" s="276" t="s">
        <v>3975</v>
      </c>
      <c r="AH191" s="77"/>
      <c r="AI191" s="275">
        <v>1</v>
      </c>
      <c r="AJ191" s="83" t="str">
        <f>CONCATENATE(K190,AI191)</f>
        <v>05051451</v>
      </c>
      <c r="AK191" s="276" t="s">
        <v>4262</v>
      </c>
      <c r="AL191" s="276" t="s">
        <v>78</v>
      </c>
      <c r="AM191" s="276"/>
      <c r="AN191" s="276" t="s">
        <v>9</v>
      </c>
      <c r="AO191" s="276" t="s">
        <v>3816</v>
      </c>
      <c r="AP191" s="276" t="s">
        <v>4263</v>
      </c>
      <c r="AQ191" s="276" t="s">
        <v>4264</v>
      </c>
      <c r="AR191" s="276" t="s">
        <v>4264</v>
      </c>
      <c r="AS191" s="275" t="s">
        <v>2624</v>
      </c>
      <c r="AT191" s="275" t="s">
        <v>1395</v>
      </c>
      <c r="AU191" s="275" t="s">
        <v>1395</v>
      </c>
      <c r="AV191" s="275">
        <v>2015</v>
      </c>
      <c r="AW191" s="276" t="s">
        <v>4265</v>
      </c>
      <c r="AX191" s="275">
        <v>1</v>
      </c>
      <c r="AY191" s="276" t="str">
        <f t="shared" si="87"/>
        <v>050514511</v>
      </c>
      <c r="AZ191" s="276" t="s">
        <v>4244</v>
      </c>
      <c r="BA191" s="275" t="s">
        <v>4245</v>
      </c>
      <c r="BB191" s="276" t="s">
        <v>1229</v>
      </c>
      <c r="BC191" s="275" t="s">
        <v>11</v>
      </c>
      <c r="BD191" s="275" t="s">
        <v>4266</v>
      </c>
      <c r="BE191" s="275" t="s">
        <v>9</v>
      </c>
      <c r="BF191" s="275" t="s">
        <v>17</v>
      </c>
      <c r="BG191" s="275" t="s">
        <v>4259</v>
      </c>
      <c r="BH191" s="276" t="s">
        <v>4260</v>
      </c>
      <c r="BI191" s="276" t="s">
        <v>4250</v>
      </c>
      <c r="BJ191" s="276" t="s">
        <v>4251</v>
      </c>
      <c r="BK191" s="276" t="s">
        <v>4252</v>
      </c>
      <c r="BL191" s="275" t="s">
        <v>4253</v>
      </c>
      <c r="BM191" s="218" t="s">
        <v>4261</v>
      </c>
      <c r="BN191" s="113">
        <v>442</v>
      </c>
      <c r="BO191" s="275">
        <v>600</v>
      </c>
      <c r="BP191" s="77"/>
      <c r="BQ191" s="172">
        <f>+BO191-BN191</f>
        <v>158</v>
      </c>
      <c r="BR191" s="275">
        <v>3</v>
      </c>
      <c r="BS191" s="275">
        <v>120</v>
      </c>
      <c r="BT191" s="275">
        <v>1282</v>
      </c>
      <c r="BU191" s="175">
        <f t="shared" ref="BU191:BU233" si="88">+BT191-BN191</f>
        <v>840</v>
      </c>
      <c r="BV191" s="188">
        <f>BU191/BQ191/100</f>
        <v>5.3164556962025315E-2</v>
      </c>
      <c r="BW191" s="275">
        <v>120</v>
      </c>
      <c r="BX191" s="275">
        <v>1403</v>
      </c>
      <c r="BY191" s="175">
        <f t="shared" ref="BY191:BY199" si="89">+BX191-BN191</f>
        <v>961</v>
      </c>
      <c r="BZ191" s="188">
        <f>+BY191/BQ191/100</f>
        <v>6.0822784810126589E-2</v>
      </c>
      <c r="CA191" s="275">
        <v>120</v>
      </c>
      <c r="CB191" s="275"/>
      <c r="CC191" s="275"/>
      <c r="CD191" s="275"/>
      <c r="CE191" s="275">
        <v>120</v>
      </c>
      <c r="CF191" s="275"/>
      <c r="CG191" s="275"/>
      <c r="CH191" s="275"/>
      <c r="CI191" s="275">
        <v>120</v>
      </c>
      <c r="CJ191" s="275"/>
      <c r="CK191" s="275"/>
      <c r="CL191" s="275"/>
      <c r="CM191" s="77"/>
      <c r="CN191" s="77"/>
      <c r="CO191" s="77"/>
      <c r="CP191" s="77"/>
      <c r="CQ191" s="77"/>
      <c r="CR191" s="191"/>
      <c r="CS191" s="24">
        <v>191</v>
      </c>
      <c r="CT191" s="191"/>
      <c r="CU191" s="191"/>
      <c r="CV191" s="191"/>
      <c r="CW191" s="191"/>
      <c r="CX191" s="191"/>
    </row>
    <row r="192" spans="1:111" s="190" customFormat="1" ht="228" x14ac:dyDescent="0.2">
      <c r="A192" s="276">
        <v>2</v>
      </c>
      <c r="B192" s="216" t="s">
        <v>4580</v>
      </c>
      <c r="C192" s="269" t="s">
        <v>1269</v>
      </c>
      <c r="D192" s="189" t="s">
        <v>408</v>
      </c>
      <c r="E192" s="269" t="s">
        <v>1273</v>
      </c>
      <c r="F192" s="189" t="s">
        <v>509</v>
      </c>
      <c r="G192" s="172">
        <v>185</v>
      </c>
      <c r="H192" s="172" t="s">
        <v>510</v>
      </c>
      <c r="I192" s="172">
        <v>1</v>
      </c>
      <c r="J192" s="172" t="s">
        <v>510</v>
      </c>
      <c r="K192" s="276" t="str">
        <f>CONCATENATE(C192,E192,G192)</f>
        <v>0610185</v>
      </c>
      <c r="L192" s="189" t="s">
        <v>511</v>
      </c>
      <c r="M192" s="189" t="s">
        <v>375</v>
      </c>
      <c r="N192" s="189" t="s">
        <v>375</v>
      </c>
      <c r="O192" s="189" t="s">
        <v>62</v>
      </c>
      <c r="P192" s="189"/>
      <c r="Q192" s="189"/>
      <c r="R192" s="189"/>
      <c r="S192" s="189"/>
      <c r="T192" s="189" t="s">
        <v>65</v>
      </c>
      <c r="U192" s="189"/>
      <c r="V192" s="189"/>
      <c r="W192" s="189" t="s">
        <v>3427</v>
      </c>
      <c r="X192" s="269" t="e">
        <f>100/COUNTIFS(($B$4:$B$8),C192,($D$4:$D$8),E192)</f>
        <v>#DIV/0!</v>
      </c>
      <c r="Y192" s="276">
        <f>COUNTIF(T192,"RS")</f>
        <v>1</v>
      </c>
      <c r="Z192" s="276">
        <v>0</v>
      </c>
      <c r="AA192" s="276" t="s">
        <v>1220</v>
      </c>
      <c r="AB192" s="276"/>
      <c r="AC192" s="275">
        <v>8</v>
      </c>
      <c r="AD192" s="189" t="s">
        <v>3591</v>
      </c>
      <c r="AE192" s="189" t="s">
        <v>3428</v>
      </c>
      <c r="AF192" s="189" t="s">
        <v>3429</v>
      </c>
      <c r="AG192" s="276" t="s">
        <v>1236</v>
      </c>
      <c r="AH192" s="180">
        <f>100/(COUNTA(AG192:AG192))</f>
        <v>100</v>
      </c>
      <c r="AI192" s="275">
        <v>1</v>
      </c>
      <c r="AJ192" s="83" t="str">
        <f t="shared" ref="AJ192:AJ223" si="90">CONCATENATE(K192,AI192)</f>
        <v>06101851</v>
      </c>
      <c r="AK192" s="83" t="s">
        <v>3430</v>
      </c>
      <c r="AL192" s="276" t="s">
        <v>1259</v>
      </c>
      <c r="AM192" s="189"/>
      <c r="AN192" s="276" t="s">
        <v>3545</v>
      </c>
      <c r="AO192" s="276" t="s">
        <v>2805</v>
      </c>
      <c r="AP192" s="276" t="s">
        <v>3431</v>
      </c>
      <c r="AQ192" s="276" t="s">
        <v>2201</v>
      </c>
      <c r="AR192" s="276" t="s">
        <v>3432</v>
      </c>
      <c r="AS192" s="275" t="s">
        <v>2100</v>
      </c>
      <c r="AT192" s="276" t="s">
        <v>3433</v>
      </c>
      <c r="AU192" s="275" t="s">
        <v>3434</v>
      </c>
      <c r="AV192" s="276" t="s">
        <v>3398</v>
      </c>
      <c r="AW192" s="276" t="s">
        <v>3399</v>
      </c>
      <c r="AX192" s="275">
        <v>1</v>
      </c>
      <c r="AY192" s="276" t="str">
        <f t="shared" si="87"/>
        <v>061018511</v>
      </c>
      <c r="AZ192" s="275" t="s">
        <v>2501</v>
      </c>
      <c r="BA192" s="276" t="s">
        <v>16</v>
      </c>
      <c r="BB192" s="276" t="s">
        <v>2774</v>
      </c>
      <c r="BC192" s="276" t="s">
        <v>1983</v>
      </c>
      <c r="BD192" s="276" t="s">
        <v>3435</v>
      </c>
      <c r="BE192" s="276" t="s">
        <v>3436</v>
      </c>
      <c r="BF192" s="83" t="s">
        <v>3437</v>
      </c>
      <c r="BG192" s="276" t="s">
        <v>3159</v>
      </c>
      <c r="BH192" s="276" t="s">
        <v>3438</v>
      </c>
      <c r="BI192" s="276" t="s">
        <v>3161</v>
      </c>
      <c r="BJ192" s="83" t="s">
        <v>3162</v>
      </c>
      <c r="BK192" s="83" t="s">
        <v>3163</v>
      </c>
      <c r="BL192" s="275" t="s">
        <v>3164</v>
      </c>
      <c r="BM192" s="127">
        <v>42309</v>
      </c>
      <c r="BN192" s="188">
        <v>4.3770000000000003E-2</v>
      </c>
      <c r="BO192" s="217"/>
      <c r="BP192" s="276"/>
      <c r="BQ192" s="150">
        <f>BO192-BN192</f>
        <v>-4.3770000000000003E-2</v>
      </c>
      <c r="BR192" s="276"/>
      <c r="BS192" s="170">
        <f>BN192-(((BQ192)/5)*(-1))</f>
        <v>3.5016000000000005E-2</v>
      </c>
      <c r="BT192" s="170">
        <v>4.913E-2</v>
      </c>
      <c r="BU192" s="170">
        <f t="shared" si="88"/>
        <v>5.3599999999999967E-3</v>
      </c>
      <c r="BV192" s="188">
        <f t="shared" ref="BV192:BV233" si="91">+BU192/BQ192</f>
        <v>-0.12245830477495993</v>
      </c>
      <c r="BW192" s="170">
        <f>+BN192-(((BQ192)/5)*(-2))</f>
        <v>2.6262000000000001E-2</v>
      </c>
      <c r="BX192" s="170">
        <v>4.6300000000000001E-2</v>
      </c>
      <c r="BY192" s="170">
        <f t="shared" si="89"/>
        <v>2.5299999999999975E-3</v>
      </c>
      <c r="BZ192" s="89">
        <f t="shared" ref="BZ192:BZ233" si="92">+BY192/BQ192</f>
        <v>-5.7802147589673232E-2</v>
      </c>
      <c r="CA192" s="170">
        <f t="shared" ref="CA192:CA233" si="93">+BN192-(((BQ192)/5)*(-3))</f>
        <v>1.7507999999999999E-2</v>
      </c>
      <c r="CB192" s="170"/>
      <c r="CC192" s="170">
        <f t="shared" ref="CC192:CC233" si="94">+CB192-BN192</f>
        <v>-4.3770000000000003E-2</v>
      </c>
      <c r="CD192" s="188">
        <f t="shared" ref="CD192:CD233" si="95">+CC192/BQ192</f>
        <v>1</v>
      </c>
      <c r="CE192" s="170">
        <f t="shared" ref="CE192:CE233" si="96">+BN192-(((BQ192)/5)*(-4))</f>
        <v>8.7539999999999979E-3</v>
      </c>
      <c r="CF192" s="170"/>
      <c r="CG192" s="170">
        <f t="shared" ref="CG192:CG208" si="97">+CF192-BN192</f>
        <v>-4.3770000000000003E-2</v>
      </c>
      <c r="CH192" s="188">
        <f t="shared" ref="CH192:CH233" si="98">+CG192/BQ192</f>
        <v>1</v>
      </c>
      <c r="CI192" s="170">
        <f t="shared" ref="CI192:CI233" si="99">+BN192-(((BQ192)/5)*(-5))</f>
        <v>0</v>
      </c>
      <c r="CJ192" s="170"/>
      <c r="CK192" s="170">
        <f t="shared" ref="CK192:CK208" si="100">+CJ192-BN192</f>
        <v>-4.3770000000000003E-2</v>
      </c>
      <c r="CL192" s="89">
        <f t="shared" ref="CL192:CL233" si="101">+CK192/BQ192</f>
        <v>1</v>
      </c>
      <c r="CM192" s="89"/>
      <c r="CN192" s="188"/>
      <c r="CO192" s="188"/>
      <c r="CP192" s="188"/>
      <c r="CQ192" s="188"/>
      <c r="CR192" s="191"/>
      <c r="CS192" s="2">
        <v>192</v>
      </c>
      <c r="CT192" s="191"/>
      <c r="CU192" s="191"/>
      <c r="CV192" s="191"/>
      <c r="CW192" s="191"/>
      <c r="CX192" s="191"/>
    </row>
    <row r="193" spans="1:102" s="190" customFormat="1" ht="327.75" customHeight="1" x14ac:dyDescent="0.2">
      <c r="A193" s="276">
        <v>2</v>
      </c>
      <c r="B193" s="216" t="s">
        <v>4580</v>
      </c>
      <c r="C193" s="269" t="s">
        <v>1269</v>
      </c>
      <c r="D193" s="189" t="s">
        <v>408</v>
      </c>
      <c r="E193" s="269" t="s">
        <v>1273</v>
      </c>
      <c r="F193" s="189" t="s">
        <v>509</v>
      </c>
      <c r="G193" s="172">
        <v>185</v>
      </c>
      <c r="H193" s="172" t="s">
        <v>510</v>
      </c>
      <c r="I193" s="172">
        <v>1</v>
      </c>
      <c r="J193" s="172" t="s">
        <v>510</v>
      </c>
      <c r="K193" s="276" t="str">
        <f>CONCATENATE(C193,E193,G193)</f>
        <v>0610185</v>
      </c>
      <c r="L193" s="189" t="s">
        <v>511</v>
      </c>
      <c r="M193" s="189" t="s">
        <v>375</v>
      </c>
      <c r="N193" s="189" t="s">
        <v>375</v>
      </c>
      <c r="O193" s="189" t="s">
        <v>62</v>
      </c>
      <c r="P193" s="189"/>
      <c r="Q193" s="189"/>
      <c r="R193" s="189"/>
      <c r="S193" s="189"/>
      <c r="T193" s="189" t="s">
        <v>65</v>
      </c>
      <c r="U193" s="189"/>
      <c r="V193" s="189"/>
      <c r="W193" s="189" t="s">
        <v>3427</v>
      </c>
      <c r="X193" s="269" t="e">
        <f>100/COUNTIFS(($B$4:$B$8),C193,($D$4:$D$8),E193)</f>
        <v>#DIV/0!</v>
      </c>
      <c r="Y193" s="276">
        <f>COUNTIF(T193,"RS")</f>
        <v>1</v>
      </c>
      <c r="Z193" s="276">
        <v>0</v>
      </c>
      <c r="AA193" s="276" t="s">
        <v>1220</v>
      </c>
      <c r="AB193" s="276"/>
      <c r="AC193" s="275">
        <v>8</v>
      </c>
      <c r="AD193" s="189" t="s">
        <v>3591</v>
      </c>
      <c r="AE193" s="189" t="s">
        <v>3428</v>
      </c>
      <c r="AF193" s="189" t="s">
        <v>3429</v>
      </c>
      <c r="AG193" s="276" t="s">
        <v>1236</v>
      </c>
      <c r="AH193" s="180">
        <f>100/(COUNTA(AG192:AG193))</f>
        <v>50</v>
      </c>
      <c r="AI193" s="275">
        <v>2</v>
      </c>
      <c r="AJ193" s="83" t="str">
        <f t="shared" si="90"/>
        <v>06101852</v>
      </c>
      <c r="AK193" s="83" t="s">
        <v>3904</v>
      </c>
      <c r="AL193" s="276" t="s">
        <v>1259</v>
      </c>
      <c r="AM193" s="189"/>
      <c r="AN193" s="276" t="s">
        <v>3545</v>
      </c>
      <c r="AO193" s="276" t="s">
        <v>3440</v>
      </c>
      <c r="AP193" s="276" t="s">
        <v>3431</v>
      </c>
      <c r="AQ193" s="77"/>
      <c r="AR193" s="276" t="s">
        <v>3432</v>
      </c>
      <c r="AS193" s="275" t="s">
        <v>2100</v>
      </c>
      <c r="AT193" s="276" t="s">
        <v>3433</v>
      </c>
      <c r="AU193" s="275" t="s">
        <v>3434</v>
      </c>
      <c r="AV193" s="276" t="s">
        <v>3441</v>
      </c>
      <c r="AW193" s="83" t="s">
        <v>3442</v>
      </c>
      <c r="AX193" s="275">
        <v>2</v>
      </c>
      <c r="AY193" s="276" t="str">
        <f t="shared" si="87"/>
        <v>061018522</v>
      </c>
      <c r="AZ193" s="275" t="s">
        <v>3443</v>
      </c>
      <c r="BA193" s="276" t="s">
        <v>3444</v>
      </c>
      <c r="BB193" s="276" t="s">
        <v>2774</v>
      </c>
      <c r="BC193" s="276" t="s">
        <v>1359</v>
      </c>
      <c r="BD193" s="276" t="s">
        <v>1529</v>
      </c>
      <c r="BE193" s="276" t="s">
        <v>3436</v>
      </c>
      <c r="BF193" s="83" t="s">
        <v>3445</v>
      </c>
      <c r="BG193" s="276" t="s">
        <v>3446</v>
      </c>
      <c r="BH193" s="276" t="s">
        <v>3447</v>
      </c>
      <c r="BI193" s="276" t="s">
        <v>3161</v>
      </c>
      <c r="BJ193" s="83" t="s">
        <v>3162</v>
      </c>
      <c r="BK193" s="83" t="s">
        <v>3163</v>
      </c>
      <c r="BL193" s="275" t="s">
        <v>3164</v>
      </c>
      <c r="BM193" s="127">
        <v>42339</v>
      </c>
      <c r="BN193" s="188">
        <v>4.5425474821644697E-2</v>
      </c>
      <c r="BO193" s="217"/>
      <c r="BP193" s="276"/>
      <c r="BQ193" s="150">
        <f>BO193-BN193</f>
        <v>-4.5425474821644697E-2</v>
      </c>
      <c r="BR193" s="276"/>
      <c r="BS193" s="170">
        <f>BN193-(((BQ193)/5)*(-1))</f>
        <v>3.6340379857315759E-2</v>
      </c>
      <c r="BT193" s="170">
        <v>4.3997478454289703E-2</v>
      </c>
      <c r="BU193" s="170">
        <f t="shared" si="88"/>
        <v>-1.4279963673549945E-3</v>
      </c>
      <c r="BV193" s="188">
        <f t="shared" si="91"/>
        <v>3.1436025115021388E-2</v>
      </c>
      <c r="BW193" s="170">
        <f>+BN193-(((BQ193)/5)*(-2))</f>
        <v>2.7255284892986818E-2</v>
      </c>
      <c r="BX193" s="170">
        <v>4.4867777968359397E-2</v>
      </c>
      <c r="BY193" s="170">
        <f t="shared" si="89"/>
        <v>-5.5769685328529994E-4</v>
      </c>
      <c r="BZ193" s="89">
        <f t="shared" si="92"/>
        <v>1.2277182692641091E-2</v>
      </c>
      <c r="CA193" s="170">
        <f t="shared" si="93"/>
        <v>1.8170189928657876E-2</v>
      </c>
      <c r="CB193" s="170"/>
      <c r="CC193" s="170">
        <f t="shared" si="94"/>
        <v>-4.5425474821644697E-2</v>
      </c>
      <c r="CD193" s="188">
        <f t="shared" si="95"/>
        <v>1</v>
      </c>
      <c r="CE193" s="170">
        <f t="shared" si="96"/>
        <v>9.085094964328938E-3</v>
      </c>
      <c r="CF193" s="170"/>
      <c r="CG193" s="170">
        <f t="shared" si="97"/>
        <v>-4.5425474821644697E-2</v>
      </c>
      <c r="CH193" s="188">
        <f t="shared" si="98"/>
        <v>1</v>
      </c>
      <c r="CI193" s="170">
        <f t="shared" si="99"/>
        <v>0</v>
      </c>
      <c r="CJ193" s="170"/>
      <c r="CK193" s="170">
        <f t="shared" si="100"/>
        <v>-4.5425474821644697E-2</v>
      </c>
      <c r="CL193" s="89">
        <f t="shared" si="101"/>
        <v>1</v>
      </c>
      <c r="CM193" s="89"/>
      <c r="CN193" s="188"/>
      <c r="CO193" s="188"/>
      <c r="CP193" s="188"/>
      <c r="CQ193" s="188"/>
      <c r="CR193" s="191"/>
      <c r="CS193" s="24">
        <v>193</v>
      </c>
      <c r="CT193" s="191"/>
      <c r="CU193" s="191"/>
      <c r="CV193" s="191"/>
      <c r="CW193" s="191"/>
      <c r="CX193" s="191"/>
    </row>
    <row r="194" spans="1:102" s="190" customFormat="1" ht="228" customHeight="1" x14ac:dyDescent="0.2">
      <c r="A194" s="276">
        <v>2</v>
      </c>
      <c r="B194" s="216" t="s">
        <v>4580</v>
      </c>
      <c r="C194" s="269" t="s">
        <v>1269</v>
      </c>
      <c r="D194" s="189" t="s">
        <v>408</v>
      </c>
      <c r="E194" s="269" t="s">
        <v>3448</v>
      </c>
      <c r="F194" s="189" t="s">
        <v>509</v>
      </c>
      <c r="G194" s="172">
        <v>185</v>
      </c>
      <c r="H194" s="172" t="s">
        <v>510</v>
      </c>
      <c r="I194" s="172">
        <v>1</v>
      </c>
      <c r="J194" s="172" t="s">
        <v>510</v>
      </c>
      <c r="K194" s="276" t="str">
        <f>CONCATENATE(C194,E194,G194)</f>
        <v>06010185</v>
      </c>
      <c r="L194" s="189" t="s">
        <v>511</v>
      </c>
      <c r="M194" s="189" t="s">
        <v>375</v>
      </c>
      <c r="N194" s="189" t="s">
        <v>375</v>
      </c>
      <c r="O194" s="189" t="s">
        <v>62</v>
      </c>
      <c r="P194" s="189"/>
      <c r="Q194" s="189"/>
      <c r="R194" s="189"/>
      <c r="S194" s="189"/>
      <c r="T194" s="189" t="s">
        <v>65</v>
      </c>
      <c r="U194" s="189"/>
      <c r="V194" s="189"/>
      <c r="W194" s="189" t="s">
        <v>3427</v>
      </c>
      <c r="X194" s="269" t="e">
        <f>100/COUNTIFS(($B$4:$B$8),C194,($D$4:$D$8),E194)</f>
        <v>#DIV/0!</v>
      </c>
      <c r="Y194" s="276">
        <f>COUNTIF(T194,"RS")</f>
        <v>1</v>
      </c>
      <c r="Z194" s="276">
        <v>0</v>
      </c>
      <c r="AA194" s="276" t="s">
        <v>1220</v>
      </c>
      <c r="AB194" s="276"/>
      <c r="AC194" s="275">
        <v>8</v>
      </c>
      <c r="AD194" s="189" t="s">
        <v>3591</v>
      </c>
      <c r="AE194" s="189" t="s">
        <v>3428</v>
      </c>
      <c r="AF194" s="189" t="s">
        <v>3429</v>
      </c>
      <c r="AG194" s="276" t="s">
        <v>1236</v>
      </c>
      <c r="AH194" s="180">
        <f>100/(COUNTA(AG192:AG194))</f>
        <v>33.333333333333336</v>
      </c>
      <c r="AI194" s="275">
        <v>3</v>
      </c>
      <c r="AJ194" s="83" t="str">
        <f t="shared" si="90"/>
        <v>060101853</v>
      </c>
      <c r="AK194" s="83" t="s">
        <v>3449</v>
      </c>
      <c r="AL194" s="276" t="s">
        <v>1259</v>
      </c>
      <c r="AM194" s="189"/>
      <c r="AN194" s="276" t="s">
        <v>3546</v>
      </c>
      <c r="AO194" s="276" t="s">
        <v>2805</v>
      </c>
      <c r="AP194" s="276" t="s">
        <v>3450</v>
      </c>
      <c r="AQ194" s="276" t="s">
        <v>3451</v>
      </c>
      <c r="AR194" s="276" t="s">
        <v>3452</v>
      </c>
      <c r="AS194" s="275" t="s">
        <v>2100</v>
      </c>
      <c r="AT194" s="276" t="s">
        <v>3453</v>
      </c>
      <c r="AU194" s="275" t="s">
        <v>3434</v>
      </c>
      <c r="AV194" s="276" t="s">
        <v>3454</v>
      </c>
      <c r="AW194" s="83" t="s">
        <v>3455</v>
      </c>
      <c r="AX194" s="275">
        <v>1</v>
      </c>
      <c r="AY194" s="276" t="str">
        <f t="shared" si="87"/>
        <v>0601018531</v>
      </c>
      <c r="AZ194" s="275" t="s">
        <v>2501</v>
      </c>
      <c r="BA194" s="276" t="s">
        <v>16</v>
      </c>
      <c r="BB194" s="276" t="s">
        <v>2774</v>
      </c>
      <c r="BC194" s="276" t="s">
        <v>1983</v>
      </c>
      <c r="BD194" s="276" t="s">
        <v>3456</v>
      </c>
      <c r="BE194" s="276" t="s">
        <v>3436</v>
      </c>
      <c r="BF194" s="83" t="s">
        <v>3437</v>
      </c>
      <c r="BG194" s="276" t="s">
        <v>3446</v>
      </c>
      <c r="BH194" s="276" t="s">
        <v>3457</v>
      </c>
      <c r="BI194" s="276" t="s">
        <v>3161</v>
      </c>
      <c r="BJ194" s="83" t="s">
        <v>3162</v>
      </c>
      <c r="BK194" s="83" t="s">
        <v>3163</v>
      </c>
      <c r="BL194" s="275" t="s">
        <v>3164</v>
      </c>
      <c r="BM194" s="127">
        <v>42309</v>
      </c>
      <c r="BN194" s="170">
        <v>8.6999999999999994E-2</v>
      </c>
      <c r="BO194" s="219">
        <v>6.3E-2</v>
      </c>
      <c r="BP194" s="276"/>
      <c r="BQ194" s="150">
        <f>BO194-BN194</f>
        <v>-2.3999999999999994E-2</v>
      </c>
      <c r="BR194" s="276"/>
      <c r="BS194" s="170">
        <f>BN194-(((BQ194)/5)*(-1))</f>
        <v>8.2199999999999995E-2</v>
      </c>
      <c r="BT194" s="220">
        <v>9.1759999999999994E-2</v>
      </c>
      <c r="BU194" s="170">
        <f t="shared" si="88"/>
        <v>4.7600000000000003E-3</v>
      </c>
      <c r="BV194" s="188">
        <f t="shared" si="91"/>
        <v>-0.19833333333333339</v>
      </c>
      <c r="BW194" s="170">
        <f>+BN194-(((BQ194)/5)*(-2))</f>
        <v>7.7399999999999997E-2</v>
      </c>
      <c r="BX194" s="170">
        <v>0.09</v>
      </c>
      <c r="BY194" s="170">
        <f t="shared" si="89"/>
        <v>3.0000000000000027E-3</v>
      </c>
      <c r="BZ194" s="89">
        <f t="shared" si="92"/>
        <v>-0.12500000000000014</v>
      </c>
      <c r="CA194" s="170">
        <f t="shared" si="93"/>
        <v>7.2599999999999998E-2</v>
      </c>
      <c r="CB194" s="170"/>
      <c r="CC194" s="170">
        <f t="shared" si="94"/>
        <v>-8.6999999999999994E-2</v>
      </c>
      <c r="CD194" s="188">
        <f t="shared" si="95"/>
        <v>3.6250000000000009</v>
      </c>
      <c r="CE194" s="170">
        <f t="shared" si="96"/>
        <v>6.7799999999999999E-2</v>
      </c>
      <c r="CF194" s="170"/>
      <c r="CG194" s="170">
        <f t="shared" si="97"/>
        <v>-8.6999999999999994E-2</v>
      </c>
      <c r="CH194" s="188">
        <f t="shared" si="98"/>
        <v>3.6250000000000009</v>
      </c>
      <c r="CI194" s="170">
        <f t="shared" si="99"/>
        <v>6.3E-2</v>
      </c>
      <c r="CJ194" s="170"/>
      <c r="CK194" s="170">
        <f t="shared" si="100"/>
        <v>-8.6999999999999994E-2</v>
      </c>
      <c r="CL194" s="89">
        <f t="shared" si="101"/>
        <v>3.6250000000000009</v>
      </c>
      <c r="CM194" s="89"/>
      <c r="CN194" s="188"/>
      <c r="CO194" s="188"/>
      <c r="CP194" s="188"/>
      <c r="CQ194" s="188"/>
      <c r="CR194" s="191"/>
      <c r="CS194" s="24">
        <v>194</v>
      </c>
      <c r="CT194" s="191"/>
      <c r="CU194" s="191"/>
      <c r="CV194" s="191"/>
      <c r="CW194" s="191"/>
      <c r="CX194" s="191"/>
    </row>
    <row r="195" spans="1:102" s="190" customFormat="1" ht="228" x14ac:dyDescent="0.2">
      <c r="A195" s="276">
        <v>2</v>
      </c>
      <c r="B195" s="216" t="s">
        <v>4580</v>
      </c>
      <c r="C195" s="269" t="s">
        <v>1269</v>
      </c>
      <c r="D195" s="189" t="s">
        <v>408</v>
      </c>
      <c r="E195" s="269" t="s">
        <v>3448</v>
      </c>
      <c r="F195" s="189" t="s">
        <v>509</v>
      </c>
      <c r="G195" s="172">
        <v>185</v>
      </c>
      <c r="H195" s="172" t="s">
        <v>510</v>
      </c>
      <c r="I195" s="172">
        <v>1</v>
      </c>
      <c r="J195" s="172" t="s">
        <v>510</v>
      </c>
      <c r="K195" s="276" t="str">
        <f>CONCATENATE(C195,E195,G195)</f>
        <v>06010185</v>
      </c>
      <c r="L195" s="189" t="s">
        <v>511</v>
      </c>
      <c r="M195" s="189" t="s">
        <v>375</v>
      </c>
      <c r="N195" s="189" t="s">
        <v>375</v>
      </c>
      <c r="O195" s="189" t="s">
        <v>62</v>
      </c>
      <c r="P195" s="189"/>
      <c r="Q195" s="189"/>
      <c r="R195" s="189"/>
      <c r="S195" s="189"/>
      <c r="T195" s="189" t="s">
        <v>65</v>
      </c>
      <c r="U195" s="189"/>
      <c r="V195" s="189"/>
      <c r="W195" s="189" t="s">
        <v>3427</v>
      </c>
      <c r="X195" s="269" t="e">
        <f>100/COUNTIFS(($B$4:$B$8),C195,($D$4:$D$8),E195)</f>
        <v>#DIV/0!</v>
      </c>
      <c r="Y195" s="276">
        <f>COUNTIF(T195,"RS")</f>
        <v>1</v>
      </c>
      <c r="Z195" s="276">
        <v>0</v>
      </c>
      <c r="AA195" s="276" t="s">
        <v>1220</v>
      </c>
      <c r="AB195" s="276"/>
      <c r="AC195" s="275">
        <v>8</v>
      </c>
      <c r="AD195" s="189" t="s">
        <v>3591</v>
      </c>
      <c r="AE195" s="189" t="s">
        <v>3428</v>
      </c>
      <c r="AF195" s="189" t="s">
        <v>3429</v>
      </c>
      <c r="AG195" s="276" t="s">
        <v>1236</v>
      </c>
      <c r="AH195" s="276"/>
      <c r="AI195" s="275">
        <v>4</v>
      </c>
      <c r="AJ195" s="83" t="str">
        <f t="shared" si="90"/>
        <v>060101854</v>
      </c>
      <c r="AK195" s="83" t="s">
        <v>3439</v>
      </c>
      <c r="AL195" s="276" t="s">
        <v>1259</v>
      </c>
      <c r="AM195" s="189"/>
      <c r="AN195" s="276" t="s">
        <v>3546</v>
      </c>
      <c r="AO195" s="276" t="s">
        <v>3458</v>
      </c>
      <c r="AP195" s="276" t="s">
        <v>3459</v>
      </c>
      <c r="AQ195" s="77"/>
      <c r="AR195" s="276" t="s">
        <v>3460</v>
      </c>
      <c r="AS195" s="275" t="s">
        <v>2100</v>
      </c>
      <c r="AT195" s="276" t="s">
        <v>3453</v>
      </c>
      <c r="AU195" s="275" t="s">
        <v>3434</v>
      </c>
      <c r="AV195" s="276" t="s">
        <v>3441</v>
      </c>
      <c r="AW195" s="83" t="s">
        <v>3442</v>
      </c>
      <c r="AX195" s="275">
        <v>2</v>
      </c>
      <c r="AY195" s="276" t="str">
        <f t="shared" si="87"/>
        <v>0601018542</v>
      </c>
      <c r="AZ195" s="275" t="s">
        <v>3443</v>
      </c>
      <c r="BA195" s="276" t="s">
        <v>3444</v>
      </c>
      <c r="BB195" s="276" t="s">
        <v>2774</v>
      </c>
      <c r="BC195" s="276" t="s">
        <v>1359</v>
      </c>
      <c r="BD195" s="276" t="s">
        <v>1529</v>
      </c>
      <c r="BE195" s="276" t="s">
        <v>3436</v>
      </c>
      <c r="BF195" s="83" t="s">
        <v>3445</v>
      </c>
      <c r="BG195" s="276" t="s">
        <v>3446</v>
      </c>
      <c r="BH195" s="276" t="s">
        <v>3447</v>
      </c>
      <c r="BI195" s="276" t="s">
        <v>3161</v>
      </c>
      <c r="BJ195" s="83" t="s">
        <v>3162</v>
      </c>
      <c r="BK195" s="83" t="s">
        <v>3163</v>
      </c>
      <c r="BL195" s="275" t="s">
        <v>3164</v>
      </c>
      <c r="BM195" s="127">
        <v>42339</v>
      </c>
      <c r="BN195" s="170">
        <v>8.1121177454904297E-2</v>
      </c>
      <c r="BO195" s="219">
        <v>6.3E-2</v>
      </c>
      <c r="BP195" s="276"/>
      <c r="BQ195" s="150">
        <f>BO195-BN195</f>
        <v>-1.8121177454904297E-2</v>
      </c>
      <c r="BR195" s="276"/>
      <c r="BS195" s="170">
        <f>BN195-(((BQ195)/5)*(-1))</f>
        <v>7.7496941963923441E-2</v>
      </c>
      <c r="BT195" s="170">
        <v>7.7619999999999995E-2</v>
      </c>
      <c r="BU195" s="170">
        <f t="shared" si="88"/>
        <v>-3.5011774549043029E-3</v>
      </c>
      <c r="BV195" s="188">
        <f t="shared" si="91"/>
        <v>0.19320915893115698</v>
      </c>
      <c r="BW195" s="170">
        <f>+BN195-(((BQ195)/5)*(-2))</f>
        <v>7.3872706472942584E-2</v>
      </c>
      <c r="BX195" s="170">
        <v>8.455E-2</v>
      </c>
      <c r="BY195" s="170">
        <f t="shared" si="89"/>
        <v>3.4288225450957027E-3</v>
      </c>
      <c r="BZ195" s="89">
        <f t="shared" si="92"/>
        <v>-0.18921632182172191</v>
      </c>
      <c r="CA195" s="170">
        <f t="shared" si="93"/>
        <v>7.0248470981961714E-2</v>
      </c>
      <c r="CB195" s="170"/>
      <c r="CC195" s="170">
        <f t="shared" si="94"/>
        <v>-8.1121177454904297E-2</v>
      </c>
      <c r="CD195" s="188">
        <f t="shared" si="95"/>
        <v>4.4765952795716233</v>
      </c>
      <c r="CE195" s="170">
        <f t="shared" si="96"/>
        <v>6.6624235490980857E-2</v>
      </c>
      <c r="CF195" s="170"/>
      <c r="CG195" s="170">
        <f t="shared" si="97"/>
        <v>-8.1121177454904297E-2</v>
      </c>
      <c r="CH195" s="188">
        <f t="shared" si="98"/>
        <v>4.4765952795716233</v>
      </c>
      <c r="CI195" s="170">
        <f t="shared" si="99"/>
        <v>6.3E-2</v>
      </c>
      <c r="CJ195" s="170"/>
      <c r="CK195" s="170">
        <f t="shared" si="100"/>
        <v>-8.1121177454904297E-2</v>
      </c>
      <c r="CL195" s="89">
        <f t="shared" si="101"/>
        <v>4.4765952795716233</v>
      </c>
      <c r="CM195" s="89"/>
      <c r="CN195" s="188"/>
      <c r="CO195" s="188"/>
      <c r="CP195" s="188"/>
      <c r="CQ195" s="188"/>
      <c r="CR195" s="191"/>
      <c r="CS195" s="2">
        <v>195</v>
      </c>
      <c r="CT195" s="191"/>
      <c r="CU195" s="191"/>
      <c r="CV195" s="191"/>
      <c r="CW195" s="191"/>
      <c r="CX195" s="191"/>
    </row>
    <row r="196" spans="1:102" s="190" customFormat="1" ht="171" customHeight="1" x14ac:dyDescent="0.2">
      <c r="A196" s="276">
        <v>2</v>
      </c>
      <c r="B196" s="216" t="s">
        <v>4580</v>
      </c>
      <c r="C196" s="269" t="s">
        <v>1269</v>
      </c>
      <c r="D196" s="189" t="s">
        <v>408</v>
      </c>
      <c r="E196" s="269" t="s">
        <v>3448</v>
      </c>
      <c r="F196" s="189" t="s">
        <v>509</v>
      </c>
      <c r="G196" s="172">
        <v>185</v>
      </c>
      <c r="H196" s="172"/>
      <c r="I196" s="172"/>
      <c r="J196" s="172"/>
      <c r="K196" s="276" t="str">
        <f>CONCATENATE(C196,E196,G196)</f>
        <v>06010185</v>
      </c>
      <c r="L196" s="189" t="s">
        <v>511</v>
      </c>
      <c r="M196" s="189"/>
      <c r="N196" s="189"/>
      <c r="O196" s="189" t="s">
        <v>62</v>
      </c>
      <c r="P196" s="189"/>
      <c r="Q196" s="189"/>
      <c r="R196" s="189"/>
      <c r="S196" s="189"/>
      <c r="T196" s="189"/>
      <c r="U196" s="189"/>
      <c r="V196" s="189"/>
      <c r="W196" s="189" t="s">
        <v>3427</v>
      </c>
      <c r="X196" s="269" t="e">
        <f>100/COUNTIFS(($B$4:$B$8),C196,($D$4:$D$8),E196)</f>
        <v>#DIV/0!</v>
      </c>
      <c r="Y196" s="276">
        <v>1</v>
      </c>
      <c r="Z196" s="276">
        <v>0</v>
      </c>
      <c r="AA196" s="276" t="s">
        <v>1220</v>
      </c>
      <c r="AB196" s="276"/>
      <c r="AC196" s="275">
        <v>8</v>
      </c>
      <c r="AD196" s="189" t="s">
        <v>3592</v>
      </c>
      <c r="AE196" s="189" t="s">
        <v>3461</v>
      </c>
      <c r="AF196" s="189" t="s">
        <v>3429</v>
      </c>
      <c r="AG196" s="276" t="s">
        <v>1236</v>
      </c>
      <c r="AH196" s="276"/>
      <c r="AI196" s="275">
        <v>5</v>
      </c>
      <c r="AJ196" s="83" t="str">
        <f t="shared" si="90"/>
        <v>060101855</v>
      </c>
      <c r="AK196" s="276" t="s">
        <v>3462</v>
      </c>
      <c r="AL196" s="276" t="s">
        <v>1259</v>
      </c>
      <c r="AM196" s="189"/>
      <c r="AN196" s="275" t="s">
        <v>3463</v>
      </c>
      <c r="AO196" s="276" t="s">
        <v>2805</v>
      </c>
      <c r="AP196" s="83" t="s">
        <v>3464</v>
      </c>
      <c r="AQ196" s="77"/>
      <c r="AR196" s="83" t="s">
        <v>3465</v>
      </c>
      <c r="AS196" s="275" t="s">
        <v>2100</v>
      </c>
      <c r="AT196" s="276" t="s">
        <v>3466</v>
      </c>
      <c r="AU196" s="275" t="s">
        <v>3434</v>
      </c>
      <c r="AV196" s="276" t="s">
        <v>3454</v>
      </c>
      <c r="AW196" s="83" t="s">
        <v>3455</v>
      </c>
      <c r="AX196" s="275">
        <v>1</v>
      </c>
      <c r="AY196" s="276" t="str">
        <f t="shared" si="87"/>
        <v>0601018551</v>
      </c>
      <c r="AZ196" s="275" t="s">
        <v>2501</v>
      </c>
      <c r="BA196" s="276" t="s">
        <v>16</v>
      </c>
      <c r="BB196" s="276" t="s">
        <v>2774</v>
      </c>
      <c r="BC196" s="276" t="s">
        <v>1983</v>
      </c>
      <c r="BD196" s="276" t="s">
        <v>3456</v>
      </c>
      <c r="BE196" s="276" t="s">
        <v>3436</v>
      </c>
      <c r="BF196" s="83" t="s">
        <v>3437</v>
      </c>
      <c r="BG196" s="276" t="s">
        <v>3446</v>
      </c>
      <c r="BH196" s="276" t="s">
        <v>3457</v>
      </c>
      <c r="BI196" s="276" t="s">
        <v>3161</v>
      </c>
      <c r="BJ196" s="83" t="s">
        <v>3162</v>
      </c>
      <c r="BK196" s="83" t="s">
        <v>3163</v>
      </c>
      <c r="BL196" s="275" t="s">
        <v>3164</v>
      </c>
      <c r="BM196" s="127">
        <v>42309</v>
      </c>
      <c r="BN196" s="170">
        <v>0.17081681514431399</v>
      </c>
      <c r="BO196" s="217"/>
      <c r="BP196" s="276"/>
      <c r="BQ196" s="150"/>
      <c r="BR196" s="276"/>
      <c r="BS196" s="170">
        <f>BN196-(((BQ196)/5)*(-1))</f>
        <v>0.17081681514431399</v>
      </c>
      <c r="BT196" s="170">
        <v>0.119983542921986</v>
      </c>
      <c r="BU196" s="170">
        <f t="shared" si="88"/>
        <v>-5.0833272222327988E-2</v>
      </c>
      <c r="BV196" s="188" t="e">
        <f t="shared" si="91"/>
        <v>#DIV/0!</v>
      </c>
      <c r="BW196" s="170">
        <f>BR196-(((BU196)/5)*(-1))</f>
        <v>-1.0166654444465597E-2</v>
      </c>
      <c r="BX196" s="170">
        <v>0.14238170365635999</v>
      </c>
      <c r="BY196" s="170">
        <f t="shared" si="89"/>
        <v>-2.8435111487953996E-2</v>
      </c>
      <c r="BZ196" s="89" t="e">
        <f t="shared" si="92"/>
        <v>#DIV/0!</v>
      </c>
      <c r="CA196" s="170">
        <f t="shared" si="93"/>
        <v>0.17081681514431399</v>
      </c>
      <c r="CB196" s="170"/>
      <c r="CC196" s="170">
        <f t="shared" si="94"/>
        <v>-0.17081681514431399</v>
      </c>
      <c r="CD196" s="188" t="e">
        <f t="shared" si="95"/>
        <v>#DIV/0!</v>
      </c>
      <c r="CE196" s="170">
        <f t="shared" si="96"/>
        <v>0.17081681514431399</v>
      </c>
      <c r="CF196" s="170"/>
      <c r="CG196" s="170">
        <f t="shared" si="97"/>
        <v>-0.17081681514431399</v>
      </c>
      <c r="CH196" s="188" t="e">
        <f t="shared" si="98"/>
        <v>#DIV/0!</v>
      </c>
      <c r="CI196" s="170">
        <f t="shared" si="99"/>
        <v>0.17081681514431399</v>
      </c>
      <c r="CJ196" s="170"/>
      <c r="CK196" s="170">
        <f t="shared" si="100"/>
        <v>-0.17081681514431399</v>
      </c>
      <c r="CL196" s="89" t="e">
        <f t="shared" si="101"/>
        <v>#DIV/0!</v>
      </c>
      <c r="CM196" s="89"/>
      <c r="CN196" s="188"/>
      <c r="CO196" s="188"/>
      <c r="CP196" s="188"/>
      <c r="CQ196" s="188"/>
      <c r="CR196" s="192" t="s">
        <v>3165</v>
      </c>
      <c r="CS196" s="24">
        <v>196</v>
      </c>
      <c r="CT196" s="191"/>
      <c r="CU196" s="191"/>
      <c r="CV196" s="191"/>
      <c r="CW196" s="191"/>
      <c r="CX196" s="191"/>
    </row>
    <row r="197" spans="1:102" ht="300" x14ac:dyDescent="0.25">
      <c r="A197" s="276">
        <v>13</v>
      </c>
      <c r="B197" s="269" t="s">
        <v>1447</v>
      </c>
      <c r="C197" s="269" t="s">
        <v>1269</v>
      </c>
      <c r="D197" s="189" t="s">
        <v>408</v>
      </c>
      <c r="E197" s="276" t="s">
        <v>416</v>
      </c>
      <c r="F197" s="189" t="s">
        <v>411</v>
      </c>
      <c r="G197" s="172">
        <v>4</v>
      </c>
      <c r="H197" s="276" t="s">
        <v>421</v>
      </c>
      <c r="I197" s="276">
        <v>151</v>
      </c>
      <c r="J197" s="276" t="s">
        <v>422</v>
      </c>
      <c r="K197" s="276" t="s">
        <v>959</v>
      </c>
      <c r="L197" s="189" t="s">
        <v>423</v>
      </c>
      <c r="M197" s="276" t="s">
        <v>375</v>
      </c>
      <c r="N197" s="189" t="s">
        <v>424</v>
      </c>
      <c r="O197" s="189" t="s">
        <v>62</v>
      </c>
      <c r="P197" s="276" t="s">
        <v>189</v>
      </c>
      <c r="Q197" s="276" t="s">
        <v>375</v>
      </c>
      <c r="R197" s="276">
        <v>1</v>
      </c>
      <c r="S197" s="276"/>
      <c r="T197" s="276" t="s">
        <v>65</v>
      </c>
      <c r="U197" s="276"/>
      <c r="V197" s="276"/>
      <c r="W197" s="78" t="s">
        <v>425</v>
      </c>
      <c r="X197" s="173" t="e">
        <f>100/COUNTIFS(($C$4:$C$42),C197,($E$4:$E$42),E197)</f>
        <v>#DIV/0!</v>
      </c>
      <c r="Y197" s="276">
        <f>COUNTIF(T197,"RS")</f>
        <v>1</v>
      </c>
      <c r="Z197" s="276">
        <v>0</v>
      </c>
      <c r="AA197" s="276" t="s">
        <v>1220</v>
      </c>
      <c r="AB197" s="276">
        <v>1</v>
      </c>
      <c r="AC197" s="275">
        <v>12</v>
      </c>
      <c r="AD197" s="189" t="s">
        <v>1301</v>
      </c>
      <c r="AE197" s="189"/>
      <c r="AF197" s="79"/>
      <c r="AG197" s="276" t="s">
        <v>1235</v>
      </c>
      <c r="AH197" s="78"/>
      <c r="AI197" s="275">
        <v>1</v>
      </c>
      <c r="AJ197" s="83" t="str">
        <f t="shared" si="90"/>
        <v>06021511</v>
      </c>
      <c r="AK197" s="189" t="s">
        <v>1476</v>
      </c>
      <c r="AL197" s="189" t="s">
        <v>1350</v>
      </c>
      <c r="AM197" s="189"/>
      <c r="AN197" s="83" t="s">
        <v>1477</v>
      </c>
      <c r="AO197" s="276" t="s">
        <v>1478</v>
      </c>
      <c r="AP197" s="276" t="s">
        <v>1479</v>
      </c>
      <c r="AQ197" s="189" t="s">
        <v>1480</v>
      </c>
      <c r="AR197" s="189" t="s">
        <v>1481</v>
      </c>
      <c r="AS197" s="92" t="s">
        <v>1482</v>
      </c>
      <c r="AT197" s="275" t="s">
        <v>1405</v>
      </c>
      <c r="AU197" s="275" t="s">
        <v>1405</v>
      </c>
      <c r="AV197" s="189" t="s">
        <v>1483</v>
      </c>
      <c r="AW197" s="189" t="s">
        <v>1484</v>
      </c>
      <c r="AX197" s="275">
        <v>1</v>
      </c>
      <c r="AY197" s="276" t="str">
        <f t="shared" si="87"/>
        <v>060215111</v>
      </c>
      <c r="AZ197" s="276" t="s">
        <v>1485</v>
      </c>
      <c r="BA197" s="83" t="s">
        <v>1486</v>
      </c>
      <c r="BB197" s="83" t="s">
        <v>1487</v>
      </c>
      <c r="BC197" s="189" t="s">
        <v>3556</v>
      </c>
      <c r="BD197" s="275" t="s">
        <v>1483</v>
      </c>
      <c r="BE197" s="83" t="s">
        <v>1488</v>
      </c>
      <c r="BF197" s="78" t="s">
        <v>9</v>
      </c>
      <c r="BG197" s="83" t="s">
        <v>3557</v>
      </c>
      <c r="BH197" s="275" t="s">
        <v>1489</v>
      </c>
      <c r="BI197" s="83" t="s">
        <v>1490</v>
      </c>
      <c r="BJ197" s="83" t="s">
        <v>1491</v>
      </c>
      <c r="BK197" s="83" t="s">
        <v>1492</v>
      </c>
      <c r="BL197" s="105" t="s">
        <v>1493</v>
      </c>
      <c r="BM197" s="276">
        <v>2015</v>
      </c>
      <c r="BN197" s="120">
        <v>692.6</v>
      </c>
      <c r="BO197" s="120">
        <v>1581</v>
      </c>
      <c r="BP197" s="77"/>
      <c r="BQ197" s="173">
        <f t="shared" ref="BQ197:BQ233" si="102">+BO197-BN197</f>
        <v>888.4</v>
      </c>
      <c r="BR197" s="275">
        <v>5</v>
      </c>
      <c r="BS197" s="178">
        <f>+BN197-(((BQ197)/5)*(-1))</f>
        <v>870.28</v>
      </c>
      <c r="BT197" s="178">
        <v>711</v>
      </c>
      <c r="BU197" s="94">
        <f t="shared" si="88"/>
        <v>18.399999999999977</v>
      </c>
      <c r="BV197" s="188">
        <f t="shared" si="91"/>
        <v>2.0711391265195833E-2</v>
      </c>
      <c r="BW197" s="94">
        <f>+BN197-(((BQ197)/5)*(-2))</f>
        <v>1047.96</v>
      </c>
      <c r="BX197" s="178">
        <v>785.1</v>
      </c>
      <c r="BY197" s="94">
        <f t="shared" si="89"/>
        <v>92.5</v>
      </c>
      <c r="BZ197" s="89">
        <f t="shared" si="92"/>
        <v>0.10411976587122918</v>
      </c>
      <c r="CA197" s="94">
        <f t="shared" si="93"/>
        <v>1225.6399999999999</v>
      </c>
      <c r="CB197" s="94"/>
      <c r="CC197" s="94">
        <f t="shared" si="94"/>
        <v>-692.6</v>
      </c>
      <c r="CD197" s="188">
        <f t="shared" si="95"/>
        <v>-0.77960378208014414</v>
      </c>
      <c r="CE197" s="94">
        <f t="shared" si="96"/>
        <v>1403.3200000000002</v>
      </c>
      <c r="CF197" s="188"/>
      <c r="CG197" s="94">
        <f t="shared" si="97"/>
        <v>-692.6</v>
      </c>
      <c r="CH197" s="188">
        <f t="shared" si="98"/>
        <v>-0.77960378208014414</v>
      </c>
      <c r="CI197" s="94">
        <f t="shared" si="99"/>
        <v>1581</v>
      </c>
      <c r="CJ197" s="188"/>
      <c r="CK197" s="94">
        <f t="shared" si="100"/>
        <v>-692.6</v>
      </c>
      <c r="CL197" s="89">
        <f t="shared" si="101"/>
        <v>-0.77960378208014414</v>
      </c>
      <c r="CM197" s="89" t="s">
        <v>11</v>
      </c>
      <c r="CN197" s="188" t="s">
        <v>1363</v>
      </c>
      <c r="CO197" s="188"/>
      <c r="CP197" s="188"/>
      <c r="CQ197" s="188"/>
      <c r="CS197" s="24">
        <v>197</v>
      </c>
    </row>
    <row r="198" spans="1:102" ht="65.25" customHeight="1" x14ac:dyDescent="0.25">
      <c r="A198" s="276">
        <v>13</v>
      </c>
      <c r="B198" s="269" t="s">
        <v>1447</v>
      </c>
      <c r="C198" s="269" t="s">
        <v>1269</v>
      </c>
      <c r="D198" s="189" t="s">
        <v>408</v>
      </c>
      <c r="E198" s="276" t="s">
        <v>416</v>
      </c>
      <c r="F198" s="189" t="s">
        <v>411</v>
      </c>
      <c r="G198" s="172">
        <v>5</v>
      </c>
      <c r="H198" s="276" t="s">
        <v>426</v>
      </c>
      <c r="I198" s="276">
        <v>152</v>
      </c>
      <c r="J198" s="276" t="s">
        <v>427</v>
      </c>
      <c r="K198" s="276" t="s">
        <v>960</v>
      </c>
      <c r="L198" s="189" t="s">
        <v>428</v>
      </c>
      <c r="M198" s="276" t="s">
        <v>375</v>
      </c>
      <c r="N198" s="189" t="s">
        <v>424</v>
      </c>
      <c r="O198" s="189" t="s">
        <v>137</v>
      </c>
      <c r="P198" s="276" t="s">
        <v>189</v>
      </c>
      <c r="Q198" s="276" t="s">
        <v>375</v>
      </c>
      <c r="R198" s="276">
        <v>1</v>
      </c>
      <c r="S198" s="276"/>
      <c r="T198" s="276" t="s">
        <v>138</v>
      </c>
      <c r="U198" s="276"/>
      <c r="V198" s="276"/>
      <c r="W198" s="276"/>
      <c r="X198" s="173" t="e">
        <f>100/COUNTIFS(($C$4:$C$42),C198,($E$4:$E$42),E198)</f>
        <v>#DIV/0!</v>
      </c>
      <c r="Y198" s="276">
        <f>COUNTIF(T198,"RS")</f>
        <v>0</v>
      </c>
      <c r="Z198" s="276">
        <v>1</v>
      </c>
      <c r="AA198" s="276" t="s">
        <v>1221</v>
      </c>
      <c r="AB198" s="276"/>
      <c r="AC198" s="275"/>
      <c r="AD198" s="189" t="s">
        <v>1301</v>
      </c>
      <c r="AE198" s="189"/>
      <c r="AF198" s="79"/>
      <c r="AG198" s="276" t="s">
        <v>1236</v>
      </c>
      <c r="AH198" s="78"/>
      <c r="AI198" s="275">
        <v>1</v>
      </c>
      <c r="AJ198" s="83" t="str">
        <f t="shared" si="90"/>
        <v>06021521</v>
      </c>
      <c r="AK198" s="189" t="s">
        <v>1494</v>
      </c>
      <c r="AL198" s="189" t="s">
        <v>1350</v>
      </c>
      <c r="AM198" s="189"/>
      <c r="AN198" s="116" t="s">
        <v>1495</v>
      </c>
      <c r="AO198" s="276" t="s">
        <v>1496</v>
      </c>
      <c r="AP198" s="189" t="s">
        <v>1497</v>
      </c>
      <c r="AQ198" s="189" t="s">
        <v>3083</v>
      </c>
      <c r="AR198" s="189" t="s">
        <v>1498</v>
      </c>
      <c r="AS198" s="276" t="s">
        <v>1499</v>
      </c>
      <c r="AT198" s="275" t="s">
        <v>1405</v>
      </c>
      <c r="AU198" s="275" t="s">
        <v>1405</v>
      </c>
      <c r="AV198" s="189" t="s">
        <v>1483</v>
      </c>
      <c r="AW198" s="276" t="s">
        <v>3558</v>
      </c>
      <c r="AX198" s="275">
        <v>1</v>
      </c>
      <c r="AY198" s="276" t="str">
        <f t="shared" si="87"/>
        <v>060215211</v>
      </c>
      <c r="AZ198" s="276" t="s">
        <v>1373</v>
      </c>
      <c r="BA198" s="83" t="s">
        <v>1500</v>
      </c>
      <c r="BB198" s="83" t="s">
        <v>1229</v>
      </c>
      <c r="BC198" s="78" t="s">
        <v>1358</v>
      </c>
      <c r="BD198" s="275" t="s">
        <v>1483</v>
      </c>
      <c r="BE198" s="83" t="s">
        <v>1488</v>
      </c>
      <c r="BF198" s="78" t="s">
        <v>9</v>
      </c>
      <c r="BG198" s="83" t="s">
        <v>1501</v>
      </c>
      <c r="BH198" s="275" t="s">
        <v>1489</v>
      </c>
      <c r="BI198" s="83" t="s">
        <v>1502</v>
      </c>
      <c r="BJ198" s="83" t="s">
        <v>1503</v>
      </c>
      <c r="BK198" s="83" t="s">
        <v>1504</v>
      </c>
      <c r="BL198" s="105" t="s">
        <v>1505</v>
      </c>
      <c r="BM198" s="276">
        <v>2015</v>
      </c>
      <c r="BN198" s="148">
        <v>1.1299999999999999</v>
      </c>
      <c r="BO198" s="148">
        <v>2.6</v>
      </c>
      <c r="BP198" s="77"/>
      <c r="BQ198" s="173">
        <f t="shared" si="102"/>
        <v>1.4700000000000002</v>
      </c>
      <c r="BR198" s="275">
        <v>5</v>
      </c>
      <c r="BS198" s="178">
        <f>+BN198-(((BQ198)/5)*(-1))</f>
        <v>1.4239999999999999</v>
      </c>
      <c r="BT198" s="178">
        <v>1.18</v>
      </c>
      <c r="BU198" s="94">
        <f t="shared" si="88"/>
        <v>5.0000000000000044E-2</v>
      </c>
      <c r="BV198" s="188">
        <f t="shared" si="91"/>
        <v>3.4013605442176895E-2</v>
      </c>
      <c r="BW198" s="94">
        <f>+BN198-(((BQ198)/5)*(-2))</f>
        <v>1.718</v>
      </c>
      <c r="BX198" s="178">
        <v>1.42</v>
      </c>
      <c r="BY198" s="94">
        <f t="shared" si="89"/>
        <v>0.29000000000000004</v>
      </c>
      <c r="BZ198" s="89">
        <f t="shared" si="92"/>
        <v>0.19727891156462585</v>
      </c>
      <c r="CA198" s="94">
        <f t="shared" si="93"/>
        <v>2.012</v>
      </c>
      <c r="CB198" s="94"/>
      <c r="CC198" s="94">
        <f t="shared" si="94"/>
        <v>-1.1299999999999999</v>
      </c>
      <c r="CD198" s="188">
        <f t="shared" si="95"/>
        <v>-0.76870748299319713</v>
      </c>
      <c r="CE198" s="94">
        <f t="shared" si="96"/>
        <v>2.306</v>
      </c>
      <c r="CF198" s="188"/>
      <c r="CG198" s="94">
        <f t="shared" si="97"/>
        <v>-1.1299999999999999</v>
      </c>
      <c r="CH198" s="188">
        <f t="shared" si="98"/>
        <v>-0.76870748299319713</v>
      </c>
      <c r="CI198" s="94">
        <f t="shared" si="99"/>
        <v>2.6</v>
      </c>
      <c r="CJ198" s="188"/>
      <c r="CK198" s="94">
        <f t="shared" si="100"/>
        <v>-1.1299999999999999</v>
      </c>
      <c r="CL198" s="89">
        <f t="shared" si="101"/>
        <v>-0.76870748299319713</v>
      </c>
      <c r="CM198" s="89" t="s">
        <v>1360</v>
      </c>
      <c r="CN198" s="188" t="s">
        <v>1363</v>
      </c>
      <c r="CO198" s="188"/>
      <c r="CP198" s="188"/>
      <c r="CQ198" s="188"/>
      <c r="CS198" s="2">
        <v>198</v>
      </c>
    </row>
    <row r="199" spans="1:102" ht="270.75" customHeight="1" x14ac:dyDescent="0.25">
      <c r="A199" s="276">
        <v>13</v>
      </c>
      <c r="B199" s="269" t="s">
        <v>1447</v>
      </c>
      <c r="C199" s="269" t="s">
        <v>1269</v>
      </c>
      <c r="D199" s="189" t="s">
        <v>408</v>
      </c>
      <c r="E199" s="276" t="s">
        <v>416</v>
      </c>
      <c r="F199" s="189" t="s">
        <v>411</v>
      </c>
      <c r="G199" s="172">
        <v>6</v>
      </c>
      <c r="H199" s="276" t="s">
        <v>429</v>
      </c>
      <c r="I199" s="276">
        <v>153</v>
      </c>
      <c r="J199" s="276" t="s">
        <v>430</v>
      </c>
      <c r="K199" s="276" t="s">
        <v>961</v>
      </c>
      <c r="L199" s="189" t="s">
        <v>431</v>
      </c>
      <c r="M199" s="276" t="s">
        <v>375</v>
      </c>
      <c r="N199" s="189" t="s">
        <v>424</v>
      </c>
      <c r="O199" s="189" t="s">
        <v>137</v>
      </c>
      <c r="P199" s="276" t="s">
        <v>189</v>
      </c>
      <c r="Q199" s="276" t="s">
        <v>375</v>
      </c>
      <c r="R199" s="276">
        <v>1</v>
      </c>
      <c r="S199" s="276"/>
      <c r="T199" s="276" t="s">
        <v>138</v>
      </c>
      <c r="U199" s="276"/>
      <c r="V199" s="276"/>
      <c r="W199" s="276"/>
      <c r="X199" s="173" t="e">
        <f>100/COUNTIFS(($C$4:$C$42),C199,($E$4:$E$42),E199)</f>
        <v>#DIV/0!</v>
      </c>
      <c r="Y199" s="276">
        <f>COUNTIF(T199,"RS")</f>
        <v>0</v>
      </c>
      <c r="Z199" s="276">
        <v>1</v>
      </c>
      <c r="AA199" s="276" t="s">
        <v>1221</v>
      </c>
      <c r="AB199" s="276"/>
      <c r="AC199" s="275"/>
      <c r="AD199" s="189" t="s">
        <v>1301</v>
      </c>
      <c r="AE199" s="189"/>
      <c r="AF199" s="79"/>
      <c r="AG199" s="276" t="s">
        <v>1236</v>
      </c>
      <c r="AH199" s="78"/>
      <c r="AI199" s="275">
        <v>1</v>
      </c>
      <c r="AJ199" s="83" t="str">
        <f t="shared" si="90"/>
        <v>06021531</v>
      </c>
      <c r="AK199" s="189" t="s">
        <v>1506</v>
      </c>
      <c r="AL199" s="189" t="s">
        <v>1350</v>
      </c>
      <c r="AM199" s="189"/>
      <c r="AN199" s="83" t="s">
        <v>1507</v>
      </c>
      <c r="AO199" s="83" t="s">
        <v>1496</v>
      </c>
      <c r="AP199" s="189" t="s">
        <v>1508</v>
      </c>
      <c r="AQ199" s="189" t="s">
        <v>1509</v>
      </c>
      <c r="AR199" s="189" t="s">
        <v>1510</v>
      </c>
      <c r="AS199" s="189" t="s">
        <v>1511</v>
      </c>
      <c r="AT199" s="275" t="s">
        <v>1405</v>
      </c>
      <c r="AU199" s="275" t="s">
        <v>1405</v>
      </c>
      <c r="AV199" s="189" t="s">
        <v>1483</v>
      </c>
      <c r="AW199" s="276" t="s">
        <v>3559</v>
      </c>
      <c r="AX199" s="275">
        <v>1</v>
      </c>
      <c r="AY199" s="276" t="str">
        <f t="shared" si="87"/>
        <v>060215311</v>
      </c>
      <c r="AZ199" s="276" t="s">
        <v>1512</v>
      </c>
      <c r="BA199" s="83" t="s">
        <v>1513</v>
      </c>
      <c r="BB199" s="276" t="s">
        <v>1514</v>
      </c>
      <c r="BC199" s="189" t="s">
        <v>1361</v>
      </c>
      <c r="BD199" s="276" t="s">
        <v>1515</v>
      </c>
      <c r="BE199" s="83" t="s">
        <v>1516</v>
      </c>
      <c r="BF199" s="83" t="s">
        <v>1516</v>
      </c>
      <c r="BG199" s="83" t="s">
        <v>1517</v>
      </c>
      <c r="BH199" s="276" t="s">
        <v>1518</v>
      </c>
      <c r="BI199" s="83" t="s">
        <v>1519</v>
      </c>
      <c r="BJ199" s="83" t="s">
        <v>1520</v>
      </c>
      <c r="BK199" s="83" t="s">
        <v>1521</v>
      </c>
      <c r="BL199" s="105">
        <v>2117898</v>
      </c>
      <c r="BM199" s="276">
        <v>2015</v>
      </c>
      <c r="BN199" s="119">
        <v>2.85</v>
      </c>
      <c r="BO199" s="120">
        <v>3.5</v>
      </c>
      <c r="BP199" s="77"/>
      <c r="BQ199" s="173">
        <f t="shared" si="102"/>
        <v>0.64999999999999991</v>
      </c>
      <c r="BR199" s="275">
        <v>5</v>
      </c>
      <c r="BS199" s="178">
        <f>+BN199-(((BQ199)/5)*(-1))</f>
        <v>2.98</v>
      </c>
      <c r="BT199" s="178">
        <v>2.91</v>
      </c>
      <c r="BU199" s="94">
        <f t="shared" si="88"/>
        <v>6.0000000000000053E-2</v>
      </c>
      <c r="BV199" s="188">
        <f t="shared" si="91"/>
        <v>9.2307692307692396E-2</v>
      </c>
      <c r="BW199" s="94">
        <f>+BN199-(((BQ199)/5)*(-2))</f>
        <v>3.11</v>
      </c>
      <c r="BX199" s="178">
        <v>3.04</v>
      </c>
      <c r="BY199" s="94">
        <f t="shared" si="89"/>
        <v>0.18999999999999995</v>
      </c>
      <c r="BZ199" s="89">
        <f t="shared" si="92"/>
        <v>0.29230769230769227</v>
      </c>
      <c r="CA199" s="94">
        <f t="shared" si="93"/>
        <v>3.24</v>
      </c>
      <c r="CB199" s="94"/>
      <c r="CC199" s="94">
        <f t="shared" si="94"/>
        <v>-2.85</v>
      </c>
      <c r="CD199" s="188">
        <f t="shared" si="95"/>
        <v>-4.384615384615385</v>
      </c>
      <c r="CE199" s="94">
        <f t="shared" si="96"/>
        <v>3.37</v>
      </c>
      <c r="CF199" s="188"/>
      <c r="CG199" s="94">
        <f t="shared" si="97"/>
        <v>-2.85</v>
      </c>
      <c r="CH199" s="188">
        <f t="shared" si="98"/>
        <v>-4.384615384615385</v>
      </c>
      <c r="CI199" s="94">
        <f t="shared" si="99"/>
        <v>3.5</v>
      </c>
      <c r="CJ199" s="188"/>
      <c r="CK199" s="94">
        <f t="shared" si="100"/>
        <v>-2.85</v>
      </c>
      <c r="CL199" s="89">
        <f t="shared" si="101"/>
        <v>-4.384615384615385</v>
      </c>
      <c r="CM199" s="89" t="s">
        <v>11</v>
      </c>
      <c r="CN199" s="188" t="s">
        <v>1363</v>
      </c>
      <c r="CO199" s="188"/>
      <c r="CP199" s="188"/>
      <c r="CQ199" s="188"/>
      <c r="CS199" s="24">
        <v>199</v>
      </c>
    </row>
    <row r="200" spans="1:102" ht="270.75" customHeight="1" x14ac:dyDescent="0.25">
      <c r="A200" s="276">
        <v>13</v>
      </c>
      <c r="B200" s="269" t="s">
        <v>1447</v>
      </c>
      <c r="C200" s="269" t="s">
        <v>1269</v>
      </c>
      <c r="D200" s="189" t="s">
        <v>408</v>
      </c>
      <c r="E200" s="276" t="s">
        <v>416</v>
      </c>
      <c r="F200" s="189" t="s">
        <v>411</v>
      </c>
      <c r="G200" s="172">
        <v>7</v>
      </c>
      <c r="H200" s="276" t="s">
        <v>432</v>
      </c>
      <c r="I200" s="276">
        <v>154</v>
      </c>
      <c r="J200" s="276" t="s">
        <v>433</v>
      </c>
      <c r="K200" s="276" t="s">
        <v>962</v>
      </c>
      <c r="L200" s="189" t="s">
        <v>434</v>
      </c>
      <c r="M200" s="276" t="s">
        <v>375</v>
      </c>
      <c r="N200" s="189" t="s">
        <v>424</v>
      </c>
      <c r="O200" s="189" t="s">
        <v>197</v>
      </c>
      <c r="P200" s="276" t="s">
        <v>189</v>
      </c>
      <c r="Q200" s="276" t="s">
        <v>375</v>
      </c>
      <c r="R200" s="276"/>
      <c r="S200" s="276"/>
      <c r="T200" s="276" t="s">
        <v>138</v>
      </c>
      <c r="U200" s="276"/>
      <c r="V200" s="276"/>
      <c r="W200" s="276"/>
      <c r="X200" s="173" t="e">
        <f>100/COUNTIFS(($C$4:$C$42),C200,($E$4:$E$42),E200)</f>
        <v>#DIV/0!</v>
      </c>
      <c r="Y200" s="276">
        <f>COUNTIF(T200,"RS")</f>
        <v>0</v>
      </c>
      <c r="Z200" s="276">
        <v>1</v>
      </c>
      <c r="AA200" s="276" t="s">
        <v>1221</v>
      </c>
      <c r="AB200" s="276"/>
      <c r="AC200" s="275"/>
      <c r="AD200" s="189" t="s">
        <v>1301</v>
      </c>
      <c r="AE200" s="189"/>
      <c r="AF200" s="79"/>
      <c r="AG200" s="276" t="s">
        <v>1236</v>
      </c>
      <c r="AH200" s="78"/>
      <c r="AI200" s="275">
        <v>1</v>
      </c>
      <c r="AJ200" s="83" t="str">
        <f t="shared" si="90"/>
        <v>06021541</v>
      </c>
      <c r="AK200" s="83" t="s">
        <v>1522</v>
      </c>
      <c r="AL200" s="189" t="s">
        <v>137</v>
      </c>
      <c r="AM200" s="189"/>
      <c r="AN200" s="83" t="s">
        <v>1523</v>
      </c>
      <c r="AO200" s="276" t="s">
        <v>1524</v>
      </c>
      <c r="AP200" s="189" t="s">
        <v>1525</v>
      </c>
      <c r="AQ200" s="189" t="s">
        <v>1526</v>
      </c>
      <c r="AR200" s="189" t="s">
        <v>1527</v>
      </c>
      <c r="AS200" s="189" t="s">
        <v>1528</v>
      </c>
      <c r="AT200" s="275" t="s">
        <v>1405</v>
      </c>
      <c r="AU200" s="275" t="s">
        <v>1405</v>
      </c>
      <c r="AV200" s="79" t="s">
        <v>1529</v>
      </c>
      <c r="AW200" s="189" t="s">
        <v>1530</v>
      </c>
      <c r="AX200" s="275">
        <v>1</v>
      </c>
      <c r="AY200" s="276" t="str">
        <f t="shared" si="87"/>
        <v>060215411</v>
      </c>
      <c r="AZ200" s="276" t="s">
        <v>1531</v>
      </c>
      <c r="BA200" s="189" t="s">
        <v>1532</v>
      </c>
      <c r="BB200" s="83" t="s">
        <v>1533</v>
      </c>
      <c r="BC200" s="275" t="s">
        <v>11</v>
      </c>
      <c r="BD200" s="275" t="s">
        <v>1529</v>
      </c>
      <c r="BE200" s="189" t="s">
        <v>1488</v>
      </c>
      <c r="BF200" s="275" t="s">
        <v>9</v>
      </c>
      <c r="BG200" s="83" t="s">
        <v>1534</v>
      </c>
      <c r="BH200" s="83" t="s">
        <v>1535</v>
      </c>
      <c r="BI200" s="83" t="s">
        <v>1536</v>
      </c>
      <c r="BJ200" s="83" t="s">
        <v>1537</v>
      </c>
      <c r="BK200" s="83" t="s">
        <v>1537</v>
      </c>
      <c r="BL200" s="105" t="s">
        <v>1538</v>
      </c>
      <c r="BM200" s="275">
        <v>2015</v>
      </c>
      <c r="BN200" s="78">
        <v>22.1</v>
      </c>
      <c r="BO200" s="275" t="s">
        <v>1395</v>
      </c>
      <c r="BP200" s="77"/>
      <c r="BQ200" s="173" t="e">
        <f t="shared" si="102"/>
        <v>#VALUE!</v>
      </c>
      <c r="BR200" s="275">
        <v>5</v>
      </c>
      <c r="BS200" s="188"/>
      <c r="BT200" s="94"/>
      <c r="BU200" s="94">
        <f t="shared" si="88"/>
        <v>-22.1</v>
      </c>
      <c r="BV200" s="188" t="e">
        <f t="shared" si="91"/>
        <v>#VALUE!</v>
      </c>
      <c r="BW200" s="94" t="e">
        <f>+BN200-(((BQ200)/5)*(-2))</f>
        <v>#VALUE!</v>
      </c>
      <c r="BX200" s="94"/>
      <c r="BY200" s="188"/>
      <c r="BZ200" s="89" t="e">
        <f t="shared" si="92"/>
        <v>#VALUE!</v>
      </c>
      <c r="CA200" s="94" t="e">
        <f t="shared" si="93"/>
        <v>#VALUE!</v>
      </c>
      <c r="CB200" s="94"/>
      <c r="CC200" s="94">
        <f t="shared" si="94"/>
        <v>-22.1</v>
      </c>
      <c r="CD200" s="188" t="e">
        <f t="shared" si="95"/>
        <v>#VALUE!</v>
      </c>
      <c r="CE200" s="94" t="e">
        <f t="shared" si="96"/>
        <v>#VALUE!</v>
      </c>
      <c r="CF200" s="188"/>
      <c r="CG200" s="94">
        <f t="shared" si="97"/>
        <v>-22.1</v>
      </c>
      <c r="CH200" s="188" t="e">
        <f t="shared" si="98"/>
        <v>#VALUE!</v>
      </c>
      <c r="CI200" s="94" t="e">
        <f t="shared" si="99"/>
        <v>#VALUE!</v>
      </c>
      <c r="CJ200" s="188"/>
      <c r="CK200" s="94">
        <f t="shared" si="100"/>
        <v>-22.1</v>
      </c>
      <c r="CL200" s="89" t="e">
        <f t="shared" si="101"/>
        <v>#VALUE!</v>
      </c>
      <c r="CM200" s="89" t="s">
        <v>11</v>
      </c>
      <c r="CN200" s="188" t="s">
        <v>1363</v>
      </c>
      <c r="CO200" s="188"/>
      <c r="CP200" s="188"/>
      <c r="CQ200" s="188"/>
      <c r="CS200" s="24">
        <v>200</v>
      </c>
    </row>
    <row r="201" spans="1:102" ht="156.75" x14ac:dyDescent="0.25">
      <c r="A201" s="276">
        <v>13</v>
      </c>
      <c r="B201" s="269" t="s">
        <v>1447</v>
      </c>
      <c r="C201" s="269" t="s">
        <v>1269</v>
      </c>
      <c r="D201" s="189" t="s">
        <v>408</v>
      </c>
      <c r="E201" s="276" t="s">
        <v>416</v>
      </c>
      <c r="F201" s="189" t="s">
        <v>411</v>
      </c>
      <c r="G201" s="172">
        <v>7</v>
      </c>
      <c r="H201" s="276" t="s">
        <v>432</v>
      </c>
      <c r="I201" s="276">
        <v>154</v>
      </c>
      <c r="J201" s="276" t="s">
        <v>433</v>
      </c>
      <c r="K201" s="276" t="s">
        <v>962</v>
      </c>
      <c r="L201" s="189" t="s">
        <v>434</v>
      </c>
      <c r="M201" s="276" t="s">
        <v>375</v>
      </c>
      <c r="N201" s="189" t="s">
        <v>424</v>
      </c>
      <c r="O201" s="189" t="s">
        <v>197</v>
      </c>
      <c r="P201" s="276" t="s">
        <v>189</v>
      </c>
      <c r="Q201" s="276" t="s">
        <v>375</v>
      </c>
      <c r="R201" s="276"/>
      <c r="S201" s="276"/>
      <c r="T201" s="276" t="s">
        <v>138</v>
      </c>
      <c r="U201" s="276"/>
      <c r="V201" s="276"/>
      <c r="W201" s="276"/>
      <c r="X201" s="173" t="e">
        <f>100/COUNTIFS(($C$4:$C$42),C201,($E$4:$E$42),E201)</f>
        <v>#DIV/0!</v>
      </c>
      <c r="Y201" s="276">
        <f>COUNTIF(T201,"RS")</f>
        <v>0</v>
      </c>
      <c r="Z201" s="276">
        <v>1</v>
      </c>
      <c r="AA201" s="276" t="s">
        <v>1221</v>
      </c>
      <c r="AB201" s="276"/>
      <c r="AC201" s="275"/>
      <c r="AD201" s="189" t="s">
        <v>1301</v>
      </c>
      <c r="AE201" s="189"/>
      <c r="AF201" s="79"/>
      <c r="AG201" s="276" t="s">
        <v>1236</v>
      </c>
      <c r="AH201" s="78"/>
      <c r="AI201" s="275" t="s">
        <v>1239</v>
      </c>
      <c r="AJ201" s="83" t="str">
        <f t="shared" si="90"/>
        <v>06021541.1</v>
      </c>
      <c r="AK201" s="83" t="s">
        <v>1522</v>
      </c>
      <c r="AL201" s="189" t="s">
        <v>137</v>
      </c>
      <c r="AM201" s="189"/>
      <c r="AN201" s="83" t="s">
        <v>1539</v>
      </c>
      <c r="AO201" s="276" t="s">
        <v>1524</v>
      </c>
      <c r="AP201" s="189" t="s">
        <v>1540</v>
      </c>
      <c r="AQ201" s="189" t="s">
        <v>1541</v>
      </c>
      <c r="AR201" s="189" t="s">
        <v>1542</v>
      </c>
      <c r="AS201" s="189" t="s">
        <v>1543</v>
      </c>
      <c r="AT201" s="275" t="s">
        <v>1405</v>
      </c>
      <c r="AU201" s="275" t="s">
        <v>1405</v>
      </c>
      <c r="AV201" s="79" t="s">
        <v>1529</v>
      </c>
      <c r="AW201" s="189" t="s">
        <v>1544</v>
      </c>
      <c r="AX201" s="275">
        <v>1</v>
      </c>
      <c r="AY201" s="276" t="str">
        <f t="shared" si="87"/>
        <v>06021541.11</v>
      </c>
      <c r="AZ201" s="276" t="s">
        <v>1531</v>
      </c>
      <c r="BA201" s="189" t="s">
        <v>1545</v>
      </c>
      <c r="BB201" s="83" t="s">
        <v>1546</v>
      </c>
      <c r="BC201" s="275" t="s">
        <v>11</v>
      </c>
      <c r="BD201" s="275" t="s">
        <v>1529</v>
      </c>
      <c r="BE201" s="189" t="s">
        <v>1488</v>
      </c>
      <c r="BF201" s="275" t="s">
        <v>9</v>
      </c>
      <c r="BG201" s="83" t="s">
        <v>1547</v>
      </c>
      <c r="BH201" s="83" t="s">
        <v>1535</v>
      </c>
      <c r="BI201" s="83" t="s">
        <v>1548</v>
      </c>
      <c r="BJ201" s="83" t="s">
        <v>1548</v>
      </c>
      <c r="BK201" s="83" t="s">
        <v>1548</v>
      </c>
      <c r="BL201" s="105">
        <v>2174444</v>
      </c>
      <c r="BM201" s="275">
        <v>2015</v>
      </c>
      <c r="BN201" s="276" t="s">
        <v>1549</v>
      </c>
      <c r="BO201" s="275" t="s">
        <v>1395</v>
      </c>
      <c r="BP201" s="77"/>
      <c r="BQ201" s="173" t="e">
        <f t="shared" si="102"/>
        <v>#VALUE!</v>
      </c>
      <c r="BR201" s="275">
        <v>5</v>
      </c>
      <c r="BS201" s="188"/>
      <c r="BT201" s="94"/>
      <c r="BU201" s="94" t="e">
        <f t="shared" si="88"/>
        <v>#VALUE!</v>
      </c>
      <c r="BV201" s="188" t="e">
        <f t="shared" si="91"/>
        <v>#VALUE!</v>
      </c>
      <c r="BW201" s="94" t="e">
        <f>+BN201-(((BQ200)/5)*(-2))</f>
        <v>#VALUE!</v>
      </c>
      <c r="BX201" s="94"/>
      <c r="BY201" s="188"/>
      <c r="BZ201" s="89" t="e">
        <f t="shared" si="92"/>
        <v>#VALUE!</v>
      </c>
      <c r="CA201" s="94" t="e">
        <f t="shared" si="93"/>
        <v>#VALUE!</v>
      </c>
      <c r="CB201" s="94"/>
      <c r="CC201" s="94" t="e">
        <f t="shared" si="94"/>
        <v>#VALUE!</v>
      </c>
      <c r="CD201" s="188" t="e">
        <f t="shared" si="95"/>
        <v>#VALUE!</v>
      </c>
      <c r="CE201" s="94" t="e">
        <f t="shared" si="96"/>
        <v>#VALUE!</v>
      </c>
      <c r="CF201" s="188"/>
      <c r="CG201" s="94" t="e">
        <f t="shared" si="97"/>
        <v>#VALUE!</v>
      </c>
      <c r="CH201" s="188" t="e">
        <f t="shared" si="98"/>
        <v>#VALUE!</v>
      </c>
      <c r="CI201" s="94" t="e">
        <f t="shared" si="99"/>
        <v>#VALUE!</v>
      </c>
      <c r="CJ201" s="188"/>
      <c r="CK201" s="94" t="e">
        <f t="shared" si="100"/>
        <v>#VALUE!</v>
      </c>
      <c r="CL201" s="89" t="e">
        <f t="shared" si="101"/>
        <v>#VALUE!</v>
      </c>
      <c r="CM201" s="89" t="s">
        <v>11</v>
      </c>
      <c r="CN201" s="188" t="s">
        <v>1363</v>
      </c>
      <c r="CO201" s="77"/>
      <c r="CP201" s="77"/>
      <c r="CQ201" s="77"/>
      <c r="CS201" s="2">
        <v>201</v>
      </c>
    </row>
    <row r="202" spans="1:102" ht="256.5" customHeight="1" x14ac:dyDescent="0.25">
      <c r="A202" s="276">
        <v>12</v>
      </c>
      <c r="B202" s="269" t="s">
        <v>1843</v>
      </c>
      <c r="C202" s="269" t="s">
        <v>1269</v>
      </c>
      <c r="D202" s="189" t="s">
        <v>408</v>
      </c>
      <c r="E202" s="276" t="s">
        <v>416</v>
      </c>
      <c r="F202" s="189" t="s">
        <v>411</v>
      </c>
      <c r="G202" s="172">
        <v>1</v>
      </c>
      <c r="H202" s="276" t="s">
        <v>412</v>
      </c>
      <c r="I202" s="276">
        <v>148</v>
      </c>
      <c r="J202" s="276" t="s">
        <v>413</v>
      </c>
      <c r="K202" s="276" t="s">
        <v>956</v>
      </c>
      <c r="L202" s="189" t="s">
        <v>414</v>
      </c>
      <c r="M202" s="189"/>
      <c r="N202" s="189"/>
      <c r="O202" s="276" t="s">
        <v>137</v>
      </c>
      <c r="P202" s="276"/>
      <c r="Q202" s="276"/>
      <c r="R202" s="276"/>
      <c r="S202" s="276"/>
      <c r="T202" s="276"/>
      <c r="U202" s="276"/>
      <c r="V202" s="276"/>
      <c r="W202" s="276"/>
      <c r="X202" s="276"/>
      <c r="Y202" s="276">
        <v>1</v>
      </c>
      <c r="Z202" s="276">
        <v>0</v>
      </c>
      <c r="AA202" s="276" t="s">
        <v>1220</v>
      </c>
      <c r="AB202" s="180"/>
      <c r="AC202" s="269" t="s">
        <v>1844</v>
      </c>
      <c r="AD202" s="189" t="s">
        <v>1845</v>
      </c>
      <c r="AE202" s="269" t="s">
        <v>637</v>
      </c>
      <c r="AF202" s="189" t="s">
        <v>1846</v>
      </c>
      <c r="AG202" s="276" t="s">
        <v>1236</v>
      </c>
      <c r="AH202" s="276"/>
      <c r="AI202" s="276">
        <v>1</v>
      </c>
      <c r="AJ202" s="276" t="str">
        <f t="shared" si="90"/>
        <v>06021481</v>
      </c>
      <c r="AK202" s="83" t="s">
        <v>1847</v>
      </c>
      <c r="AL202" s="189" t="s">
        <v>137</v>
      </c>
      <c r="AM202" s="84" t="s">
        <v>3084</v>
      </c>
      <c r="AN202" s="189" t="s">
        <v>1848</v>
      </c>
      <c r="AO202" s="83" t="s">
        <v>1849</v>
      </c>
      <c r="AP202" s="85" t="s">
        <v>3562</v>
      </c>
      <c r="AQ202" s="85" t="s">
        <v>1850</v>
      </c>
      <c r="AR202" s="83" t="s">
        <v>1851</v>
      </c>
      <c r="AS202" s="83" t="s">
        <v>1852</v>
      </c>
      <c r="AT202" s="83"/>
      <c r="AU202" s="83"/>
      <c r="AV202" s="276" t="s">
        <v>1853</v>
      </c>
      <c r="AW202" s="83" t="s">
        <v>1854</v>
      </c>
      <c r="AX202" s="83">
        <v>1</v>
      </c>
      <c r="AY202" s="83" t="str">
        <f t="shared" si="87"/>
        <v>060214811</v>
      </c>
      <c r="AZ202" s="276" t="s">
        <v>1855</v>
      </c>
      <c r="BA202" s="276" t="s">
        <v>1856</v>
      </c>
      <c r="BB202" s="276" t="s">
        <v>1857</v>
      </c>
      <c r="BC202" s="276" t="s">
        <v>11</v>
      </c>
      <c r="BD202" s="276" t="s">
        <v>1858</v>
      </c>
      <c r="BE202" s="276" t="s">
        <v>9</v>
      </c>
      <c r="BF202" s="276" t="s">
        <v>17</v>
      </c>
      <c r="BG202" s="276" t="s">
        <v>1859</v>
      </c>
      <c r="BH202" s="276"/>
      <c r="BI202" s="276" t="s">
        <v>1860</v>
      </c>
      <c r="BJ202" s="276" t="s">
        <v>1861</v>
      </c>
      <c r="BK202" s="276" t="s">
        <v>1862</v>
      </c>
      <c r="BL202" s="276" t="s">
        <v>1863</v>
      </c>
      <c r="BM202" s="86">
        <v>2015</v>
      </c>
      <c r="BN202" s="87">
        <v>5191</v>
      </c>
      <c r="BO202" s="87">
        <v>10000</v>
      </c>
      <c r="BP202" s="187"/>
      <c r="BQ202" s="87">
        <f t="shared" si="102"/>
        <v>4809</v>
      </c>
      <c r="BR202" s="276">
        <v>5</v>
      </c>
      <c r="BS202" s="88">
        <f>+BN202-(((BQ202)/5)*(-1))</f>
        <v>6152.8</v>
      </c>
      <c r="BT202" s="88">
        <v>5801</v>
      </c>
      <c r="BU202" s="88">
        <f t="shared" si="88"/>
        <v>610</v>
      </c>
      <c r="BV202" s="188">
        <f t="shared" si="91"/>
        <v>0.12684549802453732</v>
      </c>
      <c r="BW202" s="88">
        <f>+BN202-(((BQ202)/5)*(-2))</f>
        <v>7114.6</v>
      </c>
      <c r="BX202" s="88">
        <v>6534</v>
      </c>
      <c r="BY202" s="88">
        <f t="shared" ref="BY202:BY233" si="103">+BX202-BN202</f>
        <v>1343</v>
      </c>
      <c r="BZ202" s="89">
        <f t="shared" si="92"/>
        <v>0.27926803909336662</v>
      </c>
      <c r="CA202" s="88">
        <f t="shared" si="93"/>
        <v>8076.4</v>
      </c>
      <c r="CB202" s="88"/>
      <c r="CC202" s="88">
        <f t="shared" si="94"/>
        <v>-5191</v>
      </c>
      <c r="CD202" s="188">
        <f t="shared" si="95"/>
        <v>-1.0794343938448743</v>
      </c>
      <c r="CE202" s="88">
        <f t="shared" si="96"/>
        <v>9038.2000000000007</v>
      </c>
      <c r="CF202" s="88"/>
      <c r="CG202" s="88">
        <f t="shared" si="97"/>
        <v>-5191</v>
      </c>
      <c r="CH202" s="188">
        <f t="shared" si="98"/>
        <v>-1.0794343938448743</v>
      </c>
      <c r="CI202" s="88">
        <f t="shared" si="99"/>
        <v>10000</v>
      </c>
      <c r="CJ202" s="88"/>
      <c r="CK202" s="88">
        <f t="shared" si="100"/>
        <v>-5191</v>
      </c>
      <c r="CL202" s="89">
        <f t="shared" si="101"/>
        <v>-1.0794343938448743</v>
      </c>
      <c r="CM202" s="89"/>
      <c r="CN202" s="188"/>
      <c r="CO202" s="188"/>
      <c r="CP202" s="188"/>
      <c r="CQ202" s="188"/>
      <c r="CR202" s="193" t="s">
        <v>3230</v>
      </c>
      <c r="CS202" s="24">
        <v>202</v>
      </c>
    </row>
    <row r="203" spans="1:102" ht="199.5" customHeight="1" x14ac:dyDescent="0.25">
      <c r="A203" s="276">
        <v>12</v>
      </c>
      <c r="B203" s="269" t="s">
        <v>1843</v>
      </c>
      <c r="C203" s="269" t="s">
        <v>1269</v>
      </c>
      <c r="D203" s="276" t="s">
        <v>408</v>
      </c>
      <c r="E203" s="276" t="s">
        <v>416</v>
      </c>
      <c r="F203" s="276" t="s">
        <v>411</v>
      </c>
      <c r="G203" s="172">
        <v>2</v>
      </c>
      <c r="H203" s="276" t="s">
        <v>417</v>
      </c>
      <c r="I203" s="276">
        <v>149</v>
      </c>
      <c r="J203" s="276" t="s">
        <v>418</v>
      </c>
      <c r="K203" s="276" t="s">
        <v>957</v>
      </c>
      <c r="L203" s="276" t="s">
        <v>419</v>
      </c>
      <c r="M203" s="276"/>
      <c r="N203" s="276"/>
      <c r="O203" s="276" t="s">
        <v>137</v>
      </c>
      <c r="P203" s="276"/>
      <c r="Q203" s="276"/>
      <c r="R203" s="276"/>
      <c r="S203" s="276"/>
      <c r="T203" s="276"/>
      <c r="U203" s="276"/>
      <c r="V203" s="276"/>
      <c r="W203" s="276"/>
      <c r="X203" s="276"/>
      <c r="Y203" s="276">
        <v>1</v>
      </c>
      <c r="Z203" s="276">
        <v>0</v>
      </c>
      <c r="AA203" s="276" t="s">
        <v>1220</v>
      </c>
      <c r="AB203" s="180"/>
      <c r="AC203" s="269" t="s">
        <v>1844</v>
      </c>
      <c r="AD203" s="276" t="s">
        <v>1845</v>
      </c>
      <c r="AE203" s="269" t="s">
        <v>637</v>
      </c>
      <c r="AF203" s="276" t="s">
        <v>1846</v>
      </c>
      <c r="AG203" s="276" t="s">
        <v>1236</v>
      </c>
      <c r="AH203" s="276"/>
      <c r="AI203" s="276">
        <v>1</v>
      </c>
      <c r="AJ203" s="276" t="str">
        <f t="shared" si="90"/>
        <v>06021491</v>
      </c>
      <c r="AK203" s="189" t="s">
        <v>1864</v>
      </c>
      <c r="AL203" s="189" t="s">
        <v>137</v>
      </c>
      <c r="AM203" s="84" t="s">
        <v>3084</v>
      </c>
      <c r="AN203" s="189" t="s">
        <v>1848</v>
      </c>
      <c r="AO203" s="83" t="s">
        <v>10</v>
      </c>
      <c r="AP203" s="85" t="s">
        <v>3563</v>
      </c>
      <c r="AQ203" s="276" t="s">
        <v>3564</v>
      </c>
      <c r="AR203" s="189" t="s">
        <v>1865</v>
      </c>
      <c r="AS203" s="189" t="s">
        <v>1856</v>
      </c>
      <c r="AT203" s="189" t="s">
        <v>1866</v>
      </c>
      <c r="AU203" s="189" t="s">
        <v>1856</v>
      </c>
      <c r="AV203" s="276" t="s">
        <v>1853</v>
      </c>
      <c r="AW203" s="189" t="s">
        <v>1854</v>
      </c>
      <c r="AX203" s="83">
        <v>1</v>
      </c>
      <c r="AY203" s="83" t="str">
        <f t="shared" si="87"/>
        <v>060214911</v>
      </c>
      <c r="AZ203" s="276" t="s">
        <v>1855</v>
      </c>
      <c r="BA203" s="276" t="s">
        <v>1856</v>
      </c>
      <c r="BB203" s="276" t="s">
        <v>1857</v>
      </c>
      <c r="BC203" s="276" t="s">
        <v>11</v>
      </c>
      <c r="BD203" s="276" t="s">
        <v>1858</v>
      </c>
      <c r="BE203" s="276" t="s">
        <v>9</v>
      </c>
      <c r="BF203" s="276" t="s">
        <v>17</v>
      </c>
      <c r="BG203" s="276" t="s">
        <v>1859</v>
      </c>
      <c r="BH203" s="276"/>
      <c r="BI203" s="276" t="s">
        <v>1860</v>
      </c>
      <c r="BJ203" s="276" t="s">
        <v>1861</v>
      </c>
      <c r="BK203" s="276" t="s">
        <v>1862</v>
      </c>
      <c r="BL203" s="276" t="s">
        <v>1863</v>
      </c>
      <c r="BM203" s="86">
        <v>2015</v>
      </c>
      <c r="BN203" s="188">
        <v>0.1019</v>
      </c>
      <c r="BO203" s="187">
        <v>0.14399999999999999</v>
      </c>
      <c r="BP203" s="187"/>
      <c r="BQ203" s="187">
        <f t="shared" si="102"/>
        <v>4.2099999999999985E-2</v>
      </c>
      <c r="BR203" s="276">
        <v>5</v>
      </c>
      <c r="BS203" s="188">
        <f>+BN203-(((BQ203)/5)*(-1))</f>
        <v>0.11032</v>
      </c>
      <c r="BT203" s="89">
        <v>0.10979999999999999</v>
      </c>
      <c r="BU203" s="188">
        <f t="shared" si="88"/>
        <v>7.8999999999999904E-3</v>
      </c>
      <c r="BV203" s="188">
        <f t="shared" si="91"/>
        <v>0.18764845605700697</v>
      </c>
      <c r="BW203" s="188">
        <f>+BN203-(((BQ203)/5)*(-2))</f>
        <v>0.11874</v>
      </c>
      <c r="BX203" s="188">
        <v>0.10489999999999999</v>
      </c>
      <c r="BY203" s="188">
        <f t="shared" si="103"/>
        <v>2.9999999999999888E-3</v>
      </c>
      <c r="BZ203" s="89">
        <f t="shared" si="92"/>
        <v>7.1258907363420193E-2</v>
      </c>
      <c r="CA203" s="188">
        <f t="shared" si="93"/>
        <v>0.12716</v>
      </c>
      <c r="CB203" s="188"/>
      <c r="CC203" s="188">
        <f t="shared" si="94"/>
        <v>-0.1019</v>
      </c>
      <c r="CD203" s="188">
        <f t="shared" si="95"/>
        <v>-2.4204275534441817</v>
      </c>
      <c r="CE203" s="188">
        <f t="shared" si="96"/>
        <v>0.13557999999999998</v>
      </c>
      <c r="CF203" s="188"/>
      <c r="CG203" s="188">
        <f t="shared" si="97"/>
        <v>-0.1019</v>
      </c>
      <c r="CH203" s="188">
        <f t="shared" si="98"/>
        <v>-2.4204275534441817</v>
      </c>
      <c r="CI203" s="188">
        <f t="shared" si="99"/>
        <v>0.14399999999999999</v>
      </c>
      <c r="CJ203" s="188"/>
      <c r="CK203" s="188">
        <f t="shared" si="100"/>
        <v>-0.1019</v>
      </c>
      <c r="CL203" s="89">
        <f t="shared" si="101"/>
        <v>-2.4204275534441817</v>
      </c>
      <c r="CM203" s="89"/>
      <c r="CN203" s="188"/>
      <c r="CO203" s="188"/>
      <c r="CP203" s="188"/>
      <c r="CQ203" s="188"/>
      <c r="CR203" s="193" t="s">
        <v>3230</v>
      </c>
      <c r="CS203" s="24">
        <v>203</v>
      </c>
    </row>
    <row r="204" spans="1:102" ht="213.75" customHeight="1" x14ac:dyDescent="0.25">
      <c r="A204" s="276">
        <v>12</v>
      </c>
      <c r="B204" s="269" t="s">
        <v>1843</v>
      </c>
      <c r="C204" s="269" t="s">
        <v>1269</v>
      </c>
      <c r="D204" s="276" t="s">
        <v>408</v>
      </c>
      <c r="E204" s="276" t="s">
        <v>416</v>
      </c>
      <c r="F204" s="276" t="s">
        <v>411</v>
      </c>
      <c r="G204" s="172">
        <v>2</v>
      </c>
      <c r="H204" s="276" t="s">
        <v>417</v>
      </c>
      <c r="I204" s="276">
        <v>149</v>
      </c>
      <c r="J204" s="276" t="s">
        <v>418</v>
      </c>
      <c r="K204" s="276" t="s">
        <v>957</v>
      </c>
      <c r="L204" s="276" t="s">
        <v>419</v>
      </c>
      <c r="M204" s="276"/>
      <c r="N204" s="276"/>
      <c r="O204" s="276" t="s">
        <v>137</v>
      </c>
      <c r="P204" s="276"/>
      <c r="Q204" s="276"/>
      <c r="R204" s="276"/>
      <c r="S204" s="276"/>
      <c r="T204" s="276"/>
      <c r="U204" s="276"/>
      <c r="V204" s="276"/>
      <c r="W204" s="276"/>
      <c r="X204" s="276"/>
      <c r="Y204" s="276">
        <v>1</v>
      </c>
      <c r="Z204" s="276">
        <v>0</v>
      </c>
      <c r="AA204" s="276" t="s">
        <v>1220</v>
      </c>
      <c r="AB204" s="180"/>
      <c r="AC204" s="269" t="s">
        <v>1844</v>
      </c>
      <c r="AD204" s="276" t="s">
        <v>1845</v>
      </c>
      <c r="AE204" s="269" t="s">
        <v>637</v>
      </c>
      <c r="AF204" s="276" t="s">
        <v>1846</v>
      </c>
      <c r="AG204" s="276" t="s">
        <v>1236</v>
      </c>
      <c r="AH204" s="276"/>
      <c r="AI204" s="276">
        <v>1</v>
      </c>
      <c r="AJ204" s="276" t="str">
        <f t="shared" si="90"/>
        <v>06021491</v>
      </c>
      <c r="AK204" s="189" t="s">
        <v>1864</v>
      </c>
      <c r="AL204" s="189" t="s">
        <v>137</v>
      </c>
      <c r="AM204" s="84" t="s">
        <v>3084</v>
      </c>
      <c r="AN204" s="189" t="s">
        <v>1848</v>
      </c>
      <c r="AO204" s="83" t="s">
        <v>10</v>
      </c>
      <c r="AP204" s="85" t="s">
        <v>3565</v>
      </c>
      <c r="AQ204" s="276" t="s">
        <v>3566</v>
      </c>
      <c r="AR204" s="189" t="s">
        <v>1867</v>
      </c>
      <c r="AS204" s="189" t="s">
        <v>1856</v>
      </c>
      <c r="AT204" s="189" t="s">
        <v>1866</v>
      </c>
      <c r="AU204" s="189" t="s">
        <v>1856</v>
      </c>
      <c r="AV204" s="276" t="s">
        <v>1868</v>
      </c>
      <c r="AW204" s="189" t="s">
        <v>1854</v>
      </c>
      <c r="AX204" s="83">
        <v>1</v>
      </c>
      <c r="AY204" s="83" t="str">
        <f t="shared" si="87"/>
        <v>060214911</v>
      </c>
      <c r="AZ204" s="276" t="s">
        <v>1855</v>
      </c>
      <c r="BA204" s="276" t="s">
        <v>1856</v>
      </c>
      <c r="BB204" s="276" t="s">
        <v>1857</v>
      </c>
      <c r="BC204" s="276" t="s">
        <v>11</v>
      </c>
      <c r="BD204" s="276" t="s">
        <v>1858</v>
      </c>
      <c r="BE204" s="276" t="s">
        <v>9</v>
      </c>
      <c r="BF204" s="276" t="s">
        <v>17</v>
      </c>
      <c r="BG204" s="276" t="s">
        <v>1859</v>
      </c>
      <c r="BH204" s="276"/>
      <c r="BI204" s="276" t="s">
        <v>1860</v>
      </c>
      <c r="BJ204" s="276" t="s">
        <v>1861</v>
      </c>
      <c r="BK204" s="276" t="s">
        <v>1862</v>
      </c>
      <c r="BL204" s="276" t="s">
        <v>1863</v>
      </c>
      <c r="BM204" s="86">
        <v>2015</v>
      </c>
      <c r="BN204" s="188">
        <v>9.1200000000000003E-2</v>
      </c>
      <c r="BO204" s="187">
        <v>0.14399999999999999</v>
      </c>
      <c r="BP204" s="187"/>
      <c r="BQ204" s="187">
        <f t="shared" si="102"/>
        <v>5.2799999999999986E-2</v>
      </c>
      <c r="BR204" s="276">
        <v>5</v>
      </c>
      <c r="BS204" s="188">
        <f>+BN204-(((BQ204)/5)*(-1))</f>
        <v>0.10176</v>
      </c>
      <c r="BT204" s="89">
        <v>9.8299999999999998E-2</v>
      </c>
      <c r="BU204" s="188">
        <f t="shared" si="88"/>
        <v>7.0999999999999952E-3</v>
      </c>
      <c r="BV204" s="188">
        <f t="shared" si="91"/>
        <v>0.13446969696969691</v>
      </c>
      <c r="BW204" s="188">
        <f>+BN204-(((BQ204)/5)*(-2))</f>
        <v>0.11232</v>
      </c>
      <c r="BX204" s="188">
        <v>9.4E-2</v>
      </c>
      <c r="BY204" s="188">
        <f t="shared" si="103"/>
        <v>2.7999999999999969E-3</v>
      </c>
      <c r="BZ204" s="89">
        <f t="shared" si="92"/>
        <v>5.3030303030302983E-2</v>
      </c>
      <c r="CA204" s="188">
        <f t="shared" si="93"/>
        <v>0.12287999999999999</v>
      </c>
      <c r="CB204" s="188"/>
      <c r="CC204" s="188">
        <f t="shared" si="94"/>
        <v>-9.1200000000000003E-2</v>
      </c>
      <c r="CD204" s="188">
        <f t="shared" si="95"/>
        <v>-1.7272727272727277</v>
      </c>
      <c r="CE204" s="188">
        <f t="shared" si="96"/>
        <v>0.13344</v>
      </c>
      <c r="CF204" s="188"/>
      <c r="CG204" s="188">
        <f t="shared" si="97"/>
        <v>-9.1200000000000003E-2</v>
      </c>
      <c r="CH204" s="188">
        <f t="shared" si="98"/>
        <v>-1.7272727272727277</v>
      </c>
      <c r="CI204" s="188">
        <f t="shared" si="99"/>
        <v>0.14399999999999999</v>
      </c>
      <c r="CJ204" s="188"/>
      <c r="CK204" s="188">
        <f t="shared" si="100"/>
        <v>-9.1200000000000003E-2</v>
      </c>
      <c r="CL204" s="89">
        <f t="shared" si="101"/>
        <v>-1.7272727272727277</v>
      </c>
      <c r="CM204" s="89"/>
      <c r="CN204" s="188"/>
      <c r="CO204" s="188"/>
      <c r="CP204" s="188"/>
      <c r="CQ204" s="188"/>
      <c r="CR204" s="31"/>
      <c r="CS204" s="2">
        <v>204</v>
      </c>
    </row>
    <row r="205" spans="1:102" ht="256.5" x14ac:dyDescent="0.25">
      <c r="A205" s="276">
        <v>24</v>
      </c>
      <c r="B205" s="269" t="s">
        <v>4575</v>
      </c>
      <c r="C205" s="269" t="s">
        <v>1269</v>
      </c>
      <c r="D205" s="189" t="s">
        <v>408</v>
      </c>
      <c r="E205" s="276" t="s">
        <v>441</v>
      </c>
      <c r="F205" s="189" t="s">
        <v>435</v>
      </c>
      <c r="G205" s="172">
        <v>1</v>
      </c>
      <c r="H205" s="276" t="s">
        <v>436</v>
      </c>
      <c r="I205" s="276">
        <v>155</v>
      </c>
      <c r="J205" s="276" t="s">
        <v>437</v>
      </c>
      <c r="K205" s="276" t="s">
        <v>963</v>
      </c>
      <c r="L205" s="189" t="s">
        <v>438</v>
      </c>
      <c r="M205" s="276" t="s">
        <v>439</v>
      </c>
      <c r="N205" s="189" t="s">
        <v>440</v>
      </c>
      <c r="O205" s="189" t="s">
        <v>62</v>
      </c>
      <c r="P205" s="276" t="s">
        <v>189</v>
      </c>
      <c r="Q205" s="276" t="s">
        <v>440</v>
      </c>
      <c r="R205" s="276"/>
      <c r="S205" s="276">
        <v>1</v>
      </c>
      <c r="T205" s="276" t="s">
        <v>65</v>
      </c>
      <c r="U205" s="276"/>
      <c r="V205" s="276"/>
      <c r="W205" s="276" t="s">
        <v>1325</v>
      </c>
      <c r="X205" s="173" t="e">
        <f>100/COUNTIFS(($B$4:$B$29),C205,($D$4:$D$29),E205)</f>
        <v>#DIV/0!</v>
      </c>
      <c r="Y205" s="276">
        <v>0</v>
      </c>
      <c r="Z205" s="276">
        <v>1</v>
      </c>
      <c r="AA205" s="276" t="s">
        <v>3597</v>
      </c>
      <c r="AB205" s="276">
        <v>1</v>
      </c>
      <c r="AC205" s="275">
        <v>12</v>
      </c>
      <c r="AD205" s="164" t="s">
        <v>1302</v>
      </c>
      <c r="AE205" s="189" t="s">
        <v>3598</v>
      </c>
      <c r="AF205" s="189" t="s">
        <v>3599</v>
      </c>
      <c r="AG205" s="276" t="s">
        <v>1364</v>
      </c>
      <c r="AH205" s="77"/>
      <c r="AI205" s="275">
        <v>1</v>
      </c>
      <c r="AJ205" s="83" t="str">
        <f t="shared" si="90"/>
        <v>06031551</v>
      </c>
      <c r="AK205" s="83" t="s">
        <v>3600</v>
      </c>
      <c r="AL205" s="189" t="s">
        <v>3601</v>
      </c>
      <c r="AM205" s="189" t="s">
        <v>1347</v>
      </c>
      <c r="AN205" s="83" t="s">
        <v>3602</v>
      </c>
      <c r="AO205" s="83" t="s">
        <v>3603</v>
      </c>
      <c r="AP205" s="83" t="s">
        <v>3604</v>
      </c>
      <c r="AQ205" s="83" t="s">
        <v>3900</v>
      </c>
      <c r="AR205" s="83" t="s">
        <v>3605</v>
      </c>
      <c r="AS205" s="83" t="s">
        <v>3606</v>
      </c>
      <c r="AT205" s="83" t="s">
        <v>1395</v>
      </c>
      <c r="AU205" s="83" t="s">
        <v>1395</v>
      </c>
      <c r="AV205" s="83" t="s">
        <v>3607</v>
      </c>
      <c r="AW205" s="83" t="s">
        <v>2437</v>
      </c>
      <c r="AX205" s="275">
        <v>1</v>
      </c>
      <c r="AY205" s="276" t="str">
        <f t="shared" si="87"/>
        <v>060315511</v>
      </c>
      <c r="AZ205" s="83" t="s">
        <v>3606</v>
      </c>
      <c r="BA205" s="83" t="s">
        <v>3608</v>
      </c>
      <c r="BB205" s="83" t="s">
        <v>1514</v>
      </c>
      <c r="BC205" s="83" t="s">
        <v>11</v>
      </c>
      <c r="BD205" s="83" t="s">
        <v>3609</v>
      </c>
      <c r="BE205" s="83" t="s">
        <v>2437</v>
      </c>
      <c r="BF205" s="83" t="s">
        <v>1665</v>
      </c>
      <c r="BG205" s="83" t="s">
        <v>3610</v>
      </c>
      <c r="BH205" s="83"/>
      <c r="BI205" s="83" t="s">
        <v>3611</v>
      </c>
      <c r="BJ205" s="83" t="s">
        <v>3611</v>
      </c>
      <c r="BK205" s="83" t="s">
        <v>3608</v>
      </c>
      <c r="BL205" s="83" t="s">
        <v>3612</v>
      </c>
      <c r="BM205" s="83">
        <v>2015</v>
      </c>
      <c r="BN205" s="173">
        <v>3.585</v>
      </c>
      <c r="BO205" s="276">
        <v>4.7</v>
      </c>
      <c r="BP205" s="83"/>
      <c r="BQ205" s="183">
        <f t="shared" si="102"/>
        <v>1.1150000000000002</v>
      </c>
      <c r="BR205" s="275">
        <v>5</v>
      </c>
      <c r="BS205" s="182">
        <f>+BN205-(((BQ205)/5)*(-1))</f>
        <v>3.8079999999999998</v>
      </c>
      <c r="BT205" s="94">
        <v>3.6240000000000001</v>
      </c>
      <c r="BU205" s="182">
        <f t="shared" si="88"/>
        <v>3.9000000000000146E-2</v>
      </c>
      <c r="BV205" s="188">
        <f t="shared" si="91"/>
        <v>3.4977578475336446E-2</v>
      </c>
      <c r="BW205" s="182">
        <f>+BN205-(((BQ205)/5)*(-2))</f>
        <v>4.0309999999999997</v>
      </c>
      <c r="BX205" s="94">
        <v>3.4980000000000002</v>
      </c>
      <c r="BY205" s="182">
        <f t="shared" si="103"/>
        <v>-8.6999999999999744E-2</v>
      </c>
      <c r="BZ205" s="180">
        <f t="shared" si="92"/>
        <v>-7.8026905829596163E-2</v>
      </c>
      <c r="CA205" s="182">
        <f t="shared" si="93"/>
        <v>4.2539999999999996</v>
      </c>
      <c r="CB205" s="236"/>
      <c r="CC205" s="182">
        <f t="shared" si="94"/>
        <v>-3.585</v>
      </c>
      <c r="CD205" s="94">
        <f t="shared" si="95"/>
        <v>-3.2152466367712997</v>
      </c>
      <c r="CE205" s="182">
        <f t="shared" si="96"/>
        <v>4.4770000000000003</v>
      </c>
      <c r="CF205" s="188"/>
      <c r="CG205" s="182">
        <f t="shared" si="97"/>
        <v>-3.585</v>
      </c>
      <c r="CH205" s="94">
        <f t="shared" si="98"/>
        <v>-3.2152466367712997</v>
      </c>
      <c r="CI205" s="182">
        <f t="shared" si="99"/>
        <v>4.7</v>
      </c>
      <c r="CJ205" s="188"/>
      <c r="CK205" s="182">
        <f t="shared" si="100"/>
        <v>-3.585</v>
      </c>
      <c r="CL205" s="180">
        <f t="shared" si="101"/>
        <v>-3.2152466367712997</v>
      </c>
      <c r="CM205" s="89" t="s">
        <v>11</v>
      </c>
      <c r="CN205" s="188"/>
      <c r="CO205" s="188"/>
      <c r="CP205" s="188"/>
      <c r="CQ205" s="188"/>
      <c r="CR205" s="31"/>
      <c r="CS205" s="24">
        <v>205</v>
      </c>
    </row>
    <row r="206" spans="1:102" ht="256.5" x14ac:dyDescent="0.25">
      <c r="A206" s="276">
        <v>24</v>
      </c>
      <c r="B206" s="269" t="s">
        <v>4575</v>
      </c>
      <c r="C206" s="269" t="s">
        <v>1269</v>
      </c>
      <c r="D206" s="189" t="s">
        <v>408</v>
      </c>
      <c r="E206" s="276" t="s">
        <v>441</v>
      </c>
      <c r="F206" s="189" t="s">
        <v>435</v>
      </c>
      <c r="G206" s="172">
        <v>2</v>
      </c>
      <c r="H206" s="276" t="s">
        <v>443</v>
      </c>
      <c r="I206" s="276">
        <v>156</v>
      </c>
      <c r="J206" s="276" t="s">
        <v>444</v>
      </c>
      <c r="K206" s="276" t="s">
        <v>964</v>
      </c>
      <c r="L206" s="189" t="s">
        <v>445</v>
      </c>
      <c r="M206" s="276" t="s">
        <v>439</v>
      </c>
      <c r="N206" s="189" t="s">
        <v>440</v>
      </c>
      <c r="O206" s="189" t="s">
        <v>62</v>
      </c>
      <c r="P206" s="276" t="s">
        <v>189</v>
      </c>
      <c r="Q206" s="276" t="s">
        <v>440</v>
      </c>
      <c r="R206" s="276"/>
      <c r="S206" s="276">
        <v>1</v>
      </c>
      <c r="T206" s="276" t="s">
        <v>65</v>
      </c>
      <c r="U206" s="276"/>
      <c r="V206" s="276"/>
      <c r="W206" s="276" t="s">
        <v>1325</v>
      </c>
      <c r="X206" s="173" t="e">
        <f>100/COUNTIFS(($B$4:$B$29),C206,($D$4:$D$29),E206)</f>
        <v>#DIV/0!</v>
      </c>
      <c r="Y206" s="276">
        <v>0</v>
      </c>
      <c r="Z206" s="276">
        <v>1</v>
      </c>
      <c r="AA206" s="276" t="s">
        <v>3597</v>
      </c>
      <c r="AB206" s="276">
        <v>1</v>
      </c>
      <c r="AC206" s="275">
        <v>12</v>
      </c>
      <c r="AD206" s="164" t="s">
        <v>1302</v>
      </c>
      <c r="AE206" s="189" t="s">
        <v>3613</v>
      </c>
      <c r="AF206" s="189" t="s">
        <v>3614</v>
      </c>
      <c r="AG206" s="276" t="s">
        <v>1236</v>
      </c>
      <c r="AH206" s="77"/>
      <c r="AI206" s="275">
        <v>1</v>
      </c>
      <c r="AJ206" s="83" t="str">
        <f t="shared" si="90"/>
        <v>06031561</v>
      </c>
      <c r="AK206" s="83" t="s">
        <v>3615</v>
      </c>
      <c r="AL206" s="189" t="s">
        <v>3601</v>
      </c>
      <c r="AM206" s="189" t="s">
        <v>1347</v>
      </c>
      <c r="AN206" s="83" t="s">
        <v>3602</v>
      </c>
      <c r="AO206" s="83" t="s">
        <v>3616</v>
      </c>
      <c r="AP206" s="83" t="s">
        <v>3617</v>
      </c>
      <c r="AQ206" s="83" t="s">
        <v>3901</v>
      </c>
      <c r="AR206" s="83" t="s">
        <v>3618</v>
      </c>
      <c r="AS206" s="83" t="s">
        <v>3606</v>
      </c>
      <c r="AT206" s="83" t="s">
        <v>1395</v>
      </c>
      <c r="AU206" s="83" t="s">
        <v>1395</v>
      </c>
      <c r="AV206" s="83" t="s">
        <v>3607</v>
      </c>
      <c r="AW206" s="83" t="s">
        <v>2437</v>
      </c>
      <c r="AX206" s="275">
        <v>1</v>
      </c>
      <c r="AY206" s="276" t="str">
        <f t="shared" si="87"/>
        <v>060315611</v>
      </c>
      <c r="AZ206" s="83" t="s">
        <v>3606</v>
      </c>
      <c r="BA206" s="83" t="s">
        <v>3608</v>
      </c>
      <c r="BB206" s="83" t="s">
        <v>1514</v>
      </c>
      <c r="BC206" s="83" t="s">
        <v>11</v>
      </c>
      <c r="BD206" s="83" t="s">
        <v>2484</v>
      </c>
      <c r="BE206" s="83" t="s">
        <v>2437</v>
      </c>
      <c r="BF206" s="83" t="s">
        <v>1665</v>
      </c>
      <c r="BG206" s="83" t="s">
        <v>3619</v>
      </c>
      <c r="BH206" s="77"/>
      <c r="BI206" s="83" t="s">
        <v>3611</v>
      </c>
      <c r="BJ206" s="83" t="s">
        <v>3611</v>
      </c>
      <c r="BK206" s="83" t="s">
        <v>3608</v>
      </c>
      <c r="BL206" s="83" t="s">
        <v>3612</v>
      </c>
      <c r="BM206" s="83">
        <v>2015</v>
      </c>
      <c r="BN206" s="173">
        <v>17.138999999999999</v>
      </c>
      <c r="BO206" s="276">
        <v>24.3</v>
      </c>
      <c r="BP206" s="237"/>
      <c r="BQ206" s="173">
        <f t="shared" si="102"/>
        <v>7.1610000000000014</v>
      </c>
      <c r="BR206" s="218">
        <v>5</v>
      </c>
      <c r="BS206" s="94">
        <f>+BN206-(((BQ206)/5)*(-1))</f>
        <v>18.571200000000001</v>
      </c>
      <c r="BT206" s="94">
        <v>17.131</v>
      </c>
      <c r="BU206" s="94">
        <f t="shared" si="88"/>
        <v>-7.9999999999991189E-3</v>
      </c>
      <c r="BV206" s="89">
        <f t="shared" si="91"/>
        <v>-1.117162407484865E-3</v>
      </c>
      <c r="BW206" s="94">
        <f>+BN206-(((BQ206)/5)*(-2))</f>
        <v>20.003399999999999</v>
      </c>
      <c r="BX206" s="94">
        <v>16.88</v>
      </c>
      <c r="BY206" s="94">
        <f t="shared" si="103"/>
        <v>-0.25900000000000034</v>
      </c>
      <c r="BZ206" s="89">
        <f t="shared" si="92"/>
        <v>-3.6168132942326535E-2</v>
      </c>
      <c r="CA206" s="94">
        <f t="shared" si="93"/>
        <v>21.435600000000001</v>
      </c>
      <c r="CB206" s="236"/>
      <c r="CC206" s="94">
        <f t="shared" si="94"/>
        <v>-17.138999999999999</v>
      </c>
      <c r="CD206" s="89">
        <f t="shared" si="95"/>
        <v>-2.3933808127356508</v>
      </c>
      <c r="CE206" s="182">
        <f t="shared" si="96"/>
        <v>22.867800000000003</v>
      </c>
      <c r="CF206" s="188"/>
      <c r="CG206" s="94">
        <f t="shared" si="97"/>
        <v>-17.138999999999999</v>
      </c>
      <c r="CH206" s="89">
        <f t="shared" si="98"/>
        <v>-2.3933808127356508</v>
      </c>
      <c r="CI206" s="94">
        <f t="shared" si="99"/>
        <v>24.3</v>
      </c>
      <c r="CJ206" s="94"/>
      <c r="CK206" s="94">
        <f t="shared" si="100"/>
        <v>-17.138999999999999</v>
      </c>
      <c r="CL206" s="89">
        <f t="shared" si="101"/>
        <v>-2.3933808127356508</v>
      </c>
      <c r="CM206" s="89" t="s">
        <v>11</v>
      </c>
      <c r="CN206" s="188"/>
      <c r="CO206" s="188"/>
      <c r="CP206" s="188"/>
      <c r="CQ206" s="188"/>
      <c r="CR206" s="193" t="s">
        <v>3282</v>
      </c>
      <c r="CS206" s="24">
        <v>206</v>
      </c>
    </row>
    <row r="207" spans="1:102" ht="285" x14ac:dyDescent="0.25">
      <c r="A207" s="276">
        <v>24</v>
      </c>
      <c r="B207" s="269" t="s">
        <v>4575</v>
      </c>
      <c r="C207" s="269" t="s">
        <v>1269</v>
      </c>
      <c r="D207" s="189" t="s">
        <v>408</v>
      </c>
      <c r="E207" s="276" t="s">
        <v>441</v>
      </c>
      <c r="F207" s="189" t="s">
        <v>435</v>
      </c>
      <c r="G207" s="172">
        <v>4</v>
      </c>
      <c r="H207" s="276" t="s">
        <v>447</v>
      </c>
      <c r="I207" s="276">
        <v>158</v>
      </c>
      <c r="J207" s="276" t="s">
        <v>448</v>
      </c>
      <c r="K207" s="276" t="s">
        <v>966</v>
      </c>
      <c r="L207" s="189" t="s">
        <v>449</v>
      </c>
      <c r="M207" s="276" t="s">
        <v>439</v>
      </c>
      <c r="N207" s="189" t="s">
        <v>440</v>
      </c>
      <c r="O207" s="189" t="s">
        <v>75</v>
      </c>
      <c r="P207" s="276" t="s">
        <v>189</v>
      </c>
      <c r="Q207" s="276" t="s">
        <v>440</v>
      </c>
      <c r="R207" s="276"/>
      <c r="S207" s="276"/>
      <c r="T207" s="276" t="s">
        <v>65</v>
      </c>
      <c r="U207" s="276"/>
      <c r="V207" s="276"/>
      <c r="W207" s="276" t="s">
        <v>1325</v>
      </c>
      <c r="X207" s="173" t="e">
        <f>100/COUNTIFS(($B$4:$B$29),C207,($D$4:$D$29),E207)</f>
        <v>#DIV/0!</v>
      </c>
      <c r="Y207" s="276">
        <v>1</v>
      </c>
      <c r="Z207" s="276">
        <v>0</v>
      </c>
      <c r="AA207" s="276" t="s">
        <v>1220</v>
      </c>
      <c r="AB207" s="276"/>
      <c r="AC207" s="275">
        <v>2</v>
      </c>
      <c r="AD207" s="164" t="s">
        <v>1303</v>
      </c>
      <c r="AE207" s="96" t="s">
        <v>3621</v>
      </c>
      <c r="AF207" s="189" t="s">
        <v>3622</v>
      </c>
      <c r="AG207" s="276" t="s">
        <v>1236</v>
      </c>
      <c r="AH207" s="77"/>
      <c r="AI207" s="275">
        <v>1</v>
      </c>
      <c r="AJ207" s="83" t="str">
        <f t="shared" si="90"/>
        <v>06031581</v>
      </c>
      <c r="AK207" s="83" t="s">
        <v>3623</v>
      </c>
      <c r="AL207" s="83" t="s">
        <v>78</v>
      </c>
      <c r="AM207" s="83" t="s">
        <v>1347</v>
      </c>
      <c r="AN207" s="83" t="s">
        <v>3624</v>
      </c>
      <c r="AO207" s="83" t="s">
        <v>2597</v>
      </c>
      <c r="AP207" s="83" t="s">
        <v>3625</v>
      </c>
      <c r="AQ207" s="83" t="s">
        <v>3895</v>
      </c>
      <c r="AR207" s="83" t="s">
        <v>3626</v>
      </c>
      <c r="AS207" s="83" t="s">
        <v>3627</v>
      </c>
      <c r="AT207" s="83" t="s">
        <v>3628</v>
      </c>
      <c r="AU207" s="83" t="s">
        <v>3628</v>
      </c>
      <c r="AV207" s="83" t="s">
        <v>3629</v>
      </c>
      <c r="AW207" s="83"/>
      <c r="AX207" s="83">
        <v>1</v>
      </c>
      <c r="AY207" s="83" t="str">
        <f t="shared" si="87"/>
        <v>060315811</v>
      </c>
      <c r="AZ207" s="83" t="s">
        <v>3620</v>
      </c>
      <c r="BA207" s="83" t="s">
        <v>3627</v>
      </c>
      <c r="BB207" s="83" t="s">
        <v>1229</v>
      </c>
      <c r="BC207" s="83" t="s">
        <v>11</v>
      </c>
      <c r="BD207" s="83" t="s">
        <v>1573</v>
      </c>
      <c r="BE207" s="83" t="s">
        <v>9</v>
      </c>
      <c r="BF207" s="83" t="s">
        <v>17</v>
      </c>
      <c r="BG207" s="83"/>
      <c r="BH207" s="83"/>
      <c r="BI207" s="83" t="s">
        <v>3630</v>
      </c>
      <c r="BJ207" s="83" t="s">
        <v>3631</v>
      </c>
      <c r="BK207" s="83" t="s">
        <v>3632</v>
      </c>
      <c r="BL207" s="83" t="s">
        <v>2609</v>
      </c>
      <c r="BM207" s="127">
        <v>42339</v>
      </c>
      <c r="BN207" s="175">
        <v>95000</v>
      </c>
      <c r="BO207" s="175">
        <v>569765</v>
      </c>
      <c r="BP207" s="275"/>
      <c r="BQ207" s="238">
        <f t="shared" si="102"/>
        <v>474765</v>
      </c>
      <c r="BR207" s="275">
        <v>5</v>
      </c>
      <c r="BS207" s="239">
        <v>105625</v>
      </c>
      <c r="BT207" s="239">
        <v>105265</v>
      </c>
      <c r="BU207" s="239">
        <f t="shared" si="88"/>
        <v>10265</v>
      </c>
      <c r="BV207" s="188">
        <f t="shared" si="91"/>
        <v>2.1621223131443979E-2</v>
      </c>
      <c r="BW207" s="239">
        <f>110500+BS207</f>
        <v>216125</v>
      </c>
      <c r="BX207" s="239">
        <f>+BT207+110500</f>
        <v>215765</v>
      </c>
      <c r="BY207" s="239">
        <f t="shared" si="103"/>
        <v>120765</v>
      </c>
      <c r="BZ207" s="89">
        <f t="shared" si="92"/>
        <v>0.25436795045970112</v>
      </c>
      <c r="CA207" s="239">
        <f t="shared" si="93"/>
        <v>379859</v>
      </c>
      <c r="CB207" s="239"/>
      <c r="CC207" s="239">
        <f t="shared" si="94"/>
        <v>-95000</v>
      </c>
      <c r="CD207" s="89">
        <f t="shared" si="95"/>
        <v>-0.20009899634556044</v>
      </c>
      <c r="CE207" s="239">
        <f t="shared" si="96"/>
        <v>474812</v>
      </c>
      <c r="CF207" s="239"/>
      <c r="CG207" s="239">
        <f t="shared" si="97"/>
        <v>-95000</v>
      </c>
      <c r="CH207" s="89">
        <f t="shared" si="98"/>
        <v>-0.20009899634556044</v>
      </c>
      <c r="CI207" s="239">
        <f t="shared" si="99"/>
        <v>569765</v>
      </c>
      <c r="CJ207" s="239"/>
      <c r="CK207" s="239">
        <f t="shared" si="100"/>
        <v>-95000</v>
      </c>
      <c r="CL207" s="89">
        <f t="shared" si="101"/>
        <v>-0.20009899634556044</v>
      </c>
      <c r="CM207" s="89"/>
      <c r="CN207" s="188"/>
      <c r="CO207" s="188"/>
      <c r="CP207" s="188"/>
      <c r="CQ207" s="188"/>
      <c r="CS207" s="2">
        <v>207</v>
      </c>
    </row>
    <row r="208" spans="1:102" ht="399" customHeight="1" x14ac:dyDescent="0.25">
      <c r="A208" s="276">
        <v>24</v>
      </c>
      <c r="B208" s="269" t="s">
        <v>4575</v>
      </c>
      <c r="C208" s="269" t="s">
        <v>1269</v>
      </c>
      <c r="D208" s="189" t="s">
        <v>408</v>
      </c>
      <c r="E208" s="276" t="s">
        <v>453</v>
      </c>
      <c r="F208" s="189" t="s">
        <v>451</v>
      </c>
      <c r="G208" s="172">
        <v>3</v>
      </c>
      <c r="H208" s="276" t="s">
        <v>455</v>
      </c>
      <c r="I208" s="276">
        <v>162</v>
      </c>
      <c r="J208" s="276" t="s">
        <v>456</v>
      </c>
      <c r="K208" s="276" t="s">
        <v>970</v>
      </c>
      <c r="L208" s="189" t="s">
        <v>3633</v>
      </c>
      <c r="M208" s="276" t="s">
        <v>439</v>
      </c>
      <c r="N208" s="189" t="s">
        <v>440</v>
      </c>
      <c r="O208" s="189" t="s">
        <v>137</v>
      </c>
      <c r="P208" s="276" t="s">
        <v>189</v>
      </c>
      <c r="Q208" s="276" t="s">
        <v>440</v>
      </c>
      <c r="R208" s="276"/>
      <c r="S208" s="276">
        <v>1</v>
      </c>
      <c r="T208" s="276" t="s">
        <v>138</v>
      </c>
      <c r="U208" s="276"/>
      <c r="V208" s="276"/>
      <c r="W208" s="276" t="s">
        <v>442</v>
      </c>
      <c r="X208" s="173" t="e">
        <f>100/COUNTIFS(($B$4:$B$238),C208,($D$4:$D$238),E208)</f>
        <v>#DIV/0!</v>
      </c>
      <c r="Y208" s="276">
        <f t="shared" ref="Y208:Y214" si="104">COUNTIF(T208,"RS")</f>
        <v>0</v>
      </c>
      <c r="Z208" s="276">
        <v>1</v>
      </c>
      <c r="AA208" s="276" t="s">
        <v>3597</v>
      </c>
      <c r="AB208" s="276">
        <v>1</v>
      </c>
      <c r="AC208" s="275"/>
      <c r="AD208" s="189" t="s">
        <v>3634</v>
      </c>
      <c r="AE208" s="189" t="s">
        <v>3635</v>
      </c>
      <c r="AF208" s="79" t="s">
        <v>3636</v>
      </c>
      <c r="AG208" s="276" t="s">
        <v>1236</v>
      </c>
      <c r="AH208" s="77"/>
      <c r="AI208" s="275">
        <v>1</v>
      </c>
      <c r="AJ208" s="83" t="str">
        <f t="shared" si="90"/>
        <v>06041621</v>
      </c>
      <c r="AK208" s="189" t="s">
        <v>3637</v>
      </c>
      <c r="AL208" s="189" t="s">
        <v>78</v>
      </c>
      <c r="AM208" s="189" t="s">
        <v>1347</v>
      </c>
      <c r="AN208" s="189" t="s">
        <v>3638</v>
      </c>
      <c r="AO208" s="189" t="s">
        <v>3639</v>
      </c>
      <c r="AP208" s="189" t="s">
        <v>3640</v>
      </c>
      <c r="AQ208" s="189"/>
      <c r="AR208" s="189" t="s">
        <v>3641</v>
      </c>
      <c r="AS208" s="189" t="s">
        <v>3642</v>
      </c>
      <c r="AT208" s="189" t="s">
        <v>1395</v>
      </c>
      <c r="AU208" s="76"/>
      <c r="AV208" s="189" t="s">
        <v>3607</v>
      </c>
      <c r="AW208" s="189" t="s">
        <v>1848</v>
      </c>
      <c r="AX208" s="275">
        <v>1</v>
      </c>
      <c r="AY208" s="276" t="str">
        <f t="shared" si="87"/>
        <v>060416211</v>
      </c>
      <c r="AZ208" s="276" t="s">
        <v>3642</v>
      </c>
      <c r="BA208" s="189" t="s">
        <v>3643</v>
      </c>
      <c r="BB208" s="189" t="s">
        <v>3644</v>
      </c>
      <c r="BC208" s="189" t="s">
        <v>11</v>
      </c>
      <c r="BD208" s="189" t="s">
        <v>2484</v>
      </c>
      <c r="BE208" s="189" t="s">
        <v>1848</v>
      </c>
      <c r="BF208" s="189" t="s">
        <v>1848</v>
      </c>
      <c r="BG208" s="189" t="s">
        <v>3639</v>
      </c>
      <c r="BH208" s="77"/>
      <c r="BI208" s="189" t="s">
        <v>3645</v>
      </c>
      <c r="BJ208" s="189" t="s">
        <v>3645</v>
      </c>
      <c r="BK208" s="189" t="s">
        <v>3643</v>
      </c>
      <c r="BL208" s="189" t="s">
        <v>3646</v>
      </c>
      <c r="BM208" s="189">
        <v>2015</v>
      </c>
      <c r="BN208" s="113">
        <v>8948602</v>
      </c>
      <c r="BO208" s="240">
        <v>11002652</v>
      </c>
      <c r="BP208" s="77"/>
      <c r="BQ208" s="113">
        <f t="shared" si="102"/>
        <v>2054050</v>
      </c>
      <c r="BR208" s="275">
        <v>5</v>
      </c>
      <c r="BS208" s="174">
        <f t="shared" ref="BS208:BS233" si="105">+BN208-(((BQ208)/5)*(-1))</f>
        <v>9359412</v>
      </c>
      <c r="BT208" s="113">
        <v>9119344</v>
      </c>
      <c r="BU208" s="240">
        <f t="shared" si="88"/>
        <v>170742</v>
      </c>
      <c r="BV208" s="188">
        <f t="shared" si="91"/>
        <v>8.3124558798471318E-2</v>
      </c>
      <c r="BW208" s="113">
        <f t="shared" ref="BW208:BW233" si="106">+BN208-(((BQ208)/5)*(-2))</f>
        <v>9770222</v>
      </c>
      <c r="BX208" s="113">
        <v>9304571.8328841198</v>
      </c>
      <c r="BY208" s="174">
        <f t="shared" si="103"/>
        <v>355969.83288411982</v>
      </c>
      <c r="BZ208" s="89">
        <f t="shared" si="92"/>
        <v>0.17330144489380483</v>
      </c>
      <c r="CA208" s="239">
        <f t="shared" si="93"/>
        <v>10181032</v>
      </c>
      <c r="CB208" s="188"/>
      <c r="CC208" s="174">
        <f t="shared" si="94"/>
        <v>-8948602</v>
      </c>
      <c r="CD208" s="188">
        <f t="shared" si="95"/>
        <v>-4.356564835325333</v>
      </c>
      <c r="CE208" s="174">
        <f t="shared" si="96"/>
        <v>10591842</v>
      </c>
      <c r="CF208" s="188"/>
      <c r="CG208" s="174">
        <f t="shared" si="97"/>
        <v>-8948602</v>
      </c>
      <c r="CH208" s="89">
        <f t="shared" si="98"/>
        <v>-4.356564835325333</v>
      </c>
      <c r="CI208" s="239">
        <f t="shared" si="99"/>
        <v>11002652</v>
      </c>
      <c r="CJ208" s="188"/>
      <c r="CK208" s="174">
        <f t="shared" si="100"/>
        <v>-8948602</v>
      </c>
      <c r="CL208" s="89">
        <f t="shared" si="101"/>
        <v>-4.356564835325333</v>
      </c>
      <c r="CM208" s="89"/>
      <c r="CN208" s="188"/>
      <c r="CO208" s="188"/>
      <c r="CP208" s="188"/>
      <c r="CQ208" s="188"/>
      <c r="CS208" s="24">
        <v>208</v>
      </c>
    </row>
    <row r="209" spans="1:97" ht="399" customHeight="1" x14ac:dyDescent="0.25">
      <c r="A209" s="276">
        <v>24</v>
      </c>
      <c r="B209" s="269" t="s">
        <v>4575</v>
      </c>
      <c r="C209" s="269" t="s">
        <v>1269</v>
      </c>
      <c r="D209" s="189" t="s">
        <v>408</v>
      </c>
      <c r="E209" s="276" t="s">
        <v>453</v>
      </c>
      <c r="F209" s="189" t="s">
        <v>451</v>
      </c>
      <c r="G209" s="172">
        <v>3</v>
      </c>
      <c r="H209" s="276" t="s">
        <v>455</v>
      </c>
      <c r="I209" s="276">
        <v>162</v>
      </c>
      <c r="J209" s="276" t="s">
        <v>456</v>
      </c>
      <c r="K209" s="276" t="s">
        <v>970</v>
      </c>
      <c r="L209" s="189" t="s">
        <v>3647</v>
      </c>
      <c r="M209" s="276" t="s">
        <v>439</v>
      </c>
      <c r="N209" s="189" t="s">
        <v>440</v>
      </c>
      <c r="O209" s="189" t="s">
        <v>137</v>
      </c>
      <c r="P209" s="276" t="s">
        <v>189</v>
      </c>
      <c r="Q209" s="276" t="s">
        <v>440</v>
      </c>
      <c r="R209" s="276"/>
      <c r="S209" s="276">
        <v>1</v>
      </c>
      <c r="T209" s="276" t="s">
        <v>138</v>
      </c>
      <c r="U209" s="276"/>
      <c r="V209" s="276"/>
      <c r="W209" s="276" t="s">
        <v>442</v>
      </c>
      <c r="X209" s="173" t="e">
        <f>100/COUNTIFS(($B$4:$B$238),C209,($D$4:$D$238),E209)</f>
        <v>#DIV/0!</v>
      </c>
      <c r="Y209" s="276">
        <f t="shared" si="104"/>
        <v>0</v>
      </c>
      <c r="Z209" s="276">
        <v>2</v>
      </c>
      <c r="AA209" s="276" t="s">
        <v>3648</v>
      </c>
      <c r="AB209" s="276">
        <v>1</v>
      </c>
      <c r="AC209" s="275"/>
      <c r="AD209" s="189" t="s">
        <v>3634</v>
      </c>
      <c r="AE209" s="189" t="s">
        <v>3635</v>
      </c>
      <c r="AF209" s="79" t="s">
        <v>3636</v>
      </c>
      <c r="AG209" s="276" t="s">
        <v>1236</v>
      </c>
      <c r="AH209" s="77"/>
      <c r="AI209" s="275">
        <v>2</v>
      </c>
      <c r="AJ209" s="83" t="str">
        <f t="shared" si="90"/>
        <v>06041622</v>
      </c>
      <c r="AK209" s="189" t="s">
        <v>3649</v>
      </c>
      <c r="AL209" s="189" t="s">
        <v>78</v>
      </c>
      <c r="AM209" s="189" t="s">
        <v>1347</v>
      </c>
      <c r="AN209" s="189" t="s">
        <v>3650</v>
      </c>
      <c r="AO209" s="189" t="s">
        <v>3639</v>
      </c>
      <c r="AP209" s="189" t="s">
        <v>3651</v>
      </c>
      <c r="AQ209" s="189"/>
      <c r="AR209" s="189" t="s">
        <v>3652</v>
      </c>
      <c r="AS209" s="189" t="s">
        <v>3642</v>
      </c>
      <c r="AT209" s="189" t="s">
        <v>1395</v>
      </c>
      <c r="AU209" s="76"/>
      <c r="AV209" s="189" t="s">
        <v>3653</v>
      </c>
      <c r="AW209" s="189" t="s">
        <v>1848</v>
      </c>
      <c r="AX209" s="275">
        <v>1</v>
      </c>
      <c r="AY209" s="276" t="str">
        <f t="shared" si="87"/>
        <v>060416221</v>
      </c>
      <c r="AZ209" s="276" t="s">
        <v>3642</v>
      </c>
      <c r="BA209" s="189" t="s">
        <v>3643</v>
      </c>
      <c r="BB209" s="189" t="s">
        <v>3644</v>
      </c>
      <c r="BC209" s="189" t="s">
        <v>11</v>
      </c>
      <c r="BD209" s="189" t="s">
        <v>2484</v>
      </c>
      <c r="BE209" s="189" t="s">
        <v>1848</v>
      </c>
      <c r="BF209" s="189" t="s">
        <v>1848</v>
      </c>
      <c r="BG209" s="189" t="s">
        <v>3639</v>
      </c>
      <c r="BH209" s="77"/>
      <c r="BI209" s="189" t="s">
        <v>3645</v>
      </c>
      <c r="BJ209" s="189" t="s">
        <v>3645</v>
      </c>
      <c r="BK209" s="189" t="s">
        <v>3643</v>
      </c>
      <c r="BL209" s="189" t="s">
        <v>3654</v>
      </c>
      <c r="BM209" s="189">
        <v>2015</v>
      </c>
      <c r="BN209" s="113">
        <v>7453603</v>
      </c>
      <c r="BO209" s="113">
        <v>11862809</v>
      </c>
      <c r="BP209" s="187"/>
      <c r="BQ209" s="113">
        <f t="shared" si="102"/>
        <v>4409206</v>
      </c>
      <c r="BR209" s="275">
        <v>5</v>
      </c>
      <c r="BS209" s="174">
        <f t="shared" si="105"/>
        <v>8335444.2000000002</v>
      </c>
      <c r="BT209" s="113">
        <v>7426859</v>
      </c>
      <c r="BU209" s="240">
        <f t="shared" si="88"/>
        <v>-26744</v>
      </c>
      <c r="BV209" s="188">
        <f t="shared" si="91"/>
        <v>-6.0654911564576482E-3</v>
      </c>
      <c r="BW209" s="113">
        <f t="shared" si="106"/>
        <v>9217285.4000000004</v>
      </c>
      <c r="BX209" s="113">
        <v>7442313.9916554801</v>
      </c>
      <c r="BY209" s="174">
        <f t="shared" si="103"/>
        <v>-11289.008344519883</v>
      </c>
      <c r="BZ209" s="89">
        <f t="shared" si="92"/>
        <v>-2.5603268127004915E-3</v>
      </c>
      <c r="CA209" s="239">
        <f t="shared" si="93"/>
        <v>10099126.6</v>
      </c>
      <c r="CB209" s="188"/>
      <c r="CC209" s="174">
        <f t="shared" si="94"/>
        <v>-7453603</v>
      </c>
      <c r="CD209" s="188">
        <f t="shared" si="95"/>
        <v>-1.690463770574566</v>
      </c>
      <c r="CE209" s="174">
        <f t="shared" si="96"/>
        <v>10980967.800000001</v>
      </c>
      <c r="CF209" s="188"/>
      <c r="CG209" s="174"/>
      <c r="CH209" s="89">
        <f t="shared" si="98"/>
        <v>0</v>
      </c>
      <c r="CI209" s="239">
        <f t="shared" si="99"/>
        <v>11862809</v>
      </c>
      <c r="CJ209" s="188"/>
      <c r="CK209" s="174"/>
      <c r="CL209" s="89">
        <f t="shared" si="101"/>
        <v>0</v>
      </c>
      <c r="CM209" s="89"/>
      <c r="CN209" s="188">
        <f>+BY209+BU209</f>
        <v>-38033.008344519883</v>
      </c>
      <c r="CO209" s="188"/>
      <c r="CP209" s="188"/>
      <c r="CQ209" s="188"/>
      <c r="CS209" s="24">
        <v>209</v>
      </c>
    </row>
    <row r="210" spans="1:97" ht="399" customHeight="1" x14ac:dyDescent="0.25">
      <c r="A210" s="276">
        <v>24</v>
      </c>
      <c r="B210" s="269" t="s">
        <v>4575</v>
      </c>
      <c r="C210" s="269" t="s">
        <v>1269</v>
      </c>
      <c r="D210" s="189" t="s">
        <v>408</v>
      </c>
      <c r="E210" s="276" t="s">
        <v>453</v>
      </c>
      <c r="F210" s="189" t="s">
        <v>451</v>
      </c>
      <c r="G210" s="172">
        <v>3</v>
      </c>
      <c r="H210" s="276" t="s">
        <v>455</v>
      </c>
      <c r="I210" s="276">
        <v>162</v>
      </c>
      <c r="J210" s="276" t="s">
        <v>456</v>
      </c>
      <c r="K210" s="276" t="s">
        <v>970</v>
      </c>
      <c r="L210" s="189" t="s">
        <v>3655</v>
      </c>
      <c r="M210" s="276" t="s">
        <v>439</v>
      </c>
      <c r="N210" s="189" t="s">
        <v>440</v>
      </c>
      <c r="O210" s="189" t="s">
        <v>137</v>
      </c>
      <c r="P210" s="276" t="s">
        <v>189</v>
      </c>
      <c r="Q210" s="276" t="s">
        <v>440</v>
      </c>
      <c r="R210" s="276"/>
      <c r="S210" s="276">
        <v>1</v>
      </c>
      <c r="T210" s="276" t="s">
        <v>138</v>
      </c>
      <c r="U210" s="276"/>
      <c r="V210" s="276"/>
      <c r="W210" s="276" t="s">
        <v>442</v>
      </c>
      <c r="X210" s="173" t="e">
        <f>100/COUNTIFS(($B$4:$B$238),C210,($D$4:$D$238),E210)</f>
        <v>#DIV/0!</v>
      </c>
      <c r="Y210" s="276">
        <f t="shared" si="104"/>
        <v>0</v>
      </c>
      <c r="Z210" s="276">
        <v>3</v>
      </c>
      <c r="AA210" s="276" t="s">
        <v>1582</v>
      </c>
      <c r="AB210" s="276">
        <v>1</v>
      </c>
      <c r="AC210" s="275"/>
      <c r="AD210" s="189" t="s">
        <v>3634</v>
      </c>
      <c r="AE210" s="189" t="s">
        <v>3635</v>
      </c>
      <c r="AF210" s="79" t="s">
        <v>3636</v>
      </c>
      <c r="AG210" s="276" t="s">
        <v>1236</v>
      </c>
      <c r="AH210" s="77"/>
      <c r="AI210" s="275">
        <v>3</v>
      </c>
      <c r="AJ210" s="83" t="str">
        <f t="shared" si="90"/>
        <v>06041623</v>
      </c>
      <c r="AK210" s="189" t="s">
        <v>3656</v>
      </c>
      <c r="AL210" s="189" t="s">
        <v>78</v>
      </c>
      <c r="AM210" s="189" t="s">
        <v>1347</v>
      </c>
      <c r="AN210" s="189" t="s">
        <v>3650</v>
      </c>
      <c r="AO210" s="189" t="s">
        <v>3639</v>
      </c>
      <c r="AP210" s="189" t="s">
        <v>3657</v>
      </c>
      <c r="AQ210" s="189"/>
      <c r="AR210" s="189" t="s">
        <v>3658</v>
      </c>
      <c r="AS210" s="189" t="s">
        <v>3642</v>
      </c>
      <c r="AT210" s="189" t="s">
        <v>1395</v>
      </c>
      <c r="AU210" s="76"/>
      <c r="AV210" s="189" t="s">
        <v>3659</v>
      </c>
      <c r="AW210" s="189" t="s">
        <v>1848</v>
      </c>
      <c r="AX210" s="275">
        <v>1</v>
      </c>
      <c r="AY210" s="276" t="str">
        <f t="shared" si="87"/>
        <v>060416231</v>
      </c>
      <c r="AZ210" s="276" t="s">
        <v>3642</v>
      </c>
      <c r="BA210" s="189" t="s">
        <v>3643</v>
      </c>
      <c r="BB210" s="189" t="s">
        <v>3644</v>
      </c>
      <c r="BC210" s="189" t="s">
        <v>11</v>
      </c>
      <c r="BD210" s="189" t="s">
        <v>2484</v>
      </c>
      <c r="BE210" s="189" t="s">
        <v>1848</v>
      </c>
      <c r="BF210" s="189" t="s">
        <v>1848</v>
      </c>
      <c r="BG210" s="189" t="s">
        <v>3639</v>
      </c>
      <c r="BH210" s="77"/>
      <c r="BI210" s="189" t="s">
        <v>3645</v>
      </c>
      <c r="BJ210" s="189" t="s">
        <v>3645</v>
      </c>
      <c r="BK210" s="189" t="s">
        <v>3643</v>
      </c>
      <c r="BL210" s="189" t="s">
        <v>3660</v>
      </c>
      <c r="BM210" s="189">
        <v>2015</v>
      </c>
      <c r="BN210" s="113">
        <v>2181219</v>
      </c>
      <c r="BO210" s="240">
        <v>2807181</v>
      </c>
      <c r="BP210" s="77"/>
      <c r="BQ210" s="113">
        <f t="shared" si="102"/>
        <v>625962</v>
      </c>
      <c r="BR210" s="275">
        <v>5</v>
      </c>
      <c r="BS210" s="174">
        <f t="shared" si="105"/>
        <v>2306411.4</v>
      </c>
      <c r="BT210" s="113">
        <v>2209968</v>
      </c>
      <c r="BU210" s="240">
        <f t="shared" si="88"/>
        <v>28749</v>
      </c>
      <c r="BV210" s="188">
        <f t="shared" si="91"/>
        <v>4.5927708071735983E-2</v>
      </c>
      <c r="BW210" s="113">
        <f t="shared" si="106"/>
        <v>2431603.7999999998</v>
      </c>
      <c r="BX210" s="113">
        <v>2210720.15452528</v>
      </c>
      <c r="BY210" s="174">
        <f t="shared" si="103"/>
        <v>29501.154525279999</v>
      </c>
      <c r="BZ210" s="188">
        <f t="shared" si="92"/>
        <v>4.7129305812940718E-2</v>
      </c>
      <c r="CA210" s="239">
        <f t="shared" si="93"/>
        <v>2556796.2000000002</v>
      </c>
      <c r="CB210" s="188"/>
      <c r="CC210" s="174">
        <f t="shared" si="94"/>
        <v>-2181219</v>
      </c>
      <c r="CD210" s="188">
        <f t="shared" si="95"/>
        <v>-3.4845869238068765</v>
      </c>
      <c r="CE210" s="174">
        <f t="shared" si="96"/>
        <v>2681988.6</v>
      </c>
      <c r="CF210" s="188"/>
      <c r="CG210" s="174"/>
      <c r="CH210" s="89">
        <f t="shared" si="98"/>
        <v>0</v>
      </c>
      <c r="CI210" s="239">
        <f t="shared" si="99"/>
        <v>2807181</v>
      </c>
      <c r="CJ210" s="188"/>
      <c r="CK210" s="174"/>
      <c r="CL210" s="89">
        <f t="shared" si="101"/>
        <v>0</v>
      </c>
      <c r="CM210" s="89"/>
      <c r="CN210" s="188"/>
      <c r="CO210" s="188"/>
      <c r="CP210" s="188"/>
      <c r="CQ210" s="188"/>
      <c r="CS210" s="2">
        <v>210</v>
      </c>
    </row>
    <row r="211" spans="1:97" ht="399" customHeight="1" x14ac:dyDescent="0.25">
      <c r="A211" s="276">
        <v>24</v>
      </c>
      <c r="B211" s="269" t="s">
        <v>4575</v>
      </c>
      <c r="C211" s="269" t="s">
        <v>1269</v>
      </c>
      <c r="D211" s="189" t="s">
        <v>408</v>
      </c>
      <c r="E211" s="276" t="s">
        <v>453</v>
      </c>
      <c r="F211" s="189" t="s">
        <v>451</v>
      </c>
      <c r="G211" s="172">
        <v>3</v>
      </c>
      <c r="H211" s="276" t="s">
        <v>455</v>
      </c>
      <c r="I211" s="276">
        <v>162</v>
      </c>
      <c r="J211" s="276" t="s">
        <v>456</v>
      </c>
      <c r="K211" s="276" t="s">
        <v>970</v>
      </c>
      <c r="L211" s="189" t="s">
        <v>3661</v>
      </c>
      <c r="M211" s="276" t="s">
        <v>439</v>
      </c>
      <c r="N211" s="189" t="s">
        <v>440</v>
      </c>
      <c r="O211" s="189" t="s">
        <v>137</v>
      </c>
      <c r="P211" s="276" t="s">
        <v>189</v>
      </c>
      <c r="Q211" s="276" t="s">
        <v>440</v>
      </c>
      <c r="R211" s="276"/>
      <c r="S211" s="276">
        <v>1</v>
      </c>
      <c r="T211" s="276" t="s">
        <v>138</v>
      </c>
      <c r="U211" s="276"/>
      <c r="V211" s="276"/>
      <c r="W211" s="276" t="s">
        <v>442</v>
      </c>
      <c r="X211" s="173" t="e">
        <f>100/COUNTIFS(($B$4:$B$238),C211,($D$4:$D$238),E211)</f>
        <v>#DIV/0!</v>
      </c>
      <c r="Y211" s="276">
        <f t="shared" si="104"/>
        <v>0</v>
      </c>
      <c r="Z211" s="276">
        <v>3</v>
      </c>
      <c r="AA211" s="276" t="s">
        <v>1582</v>
      </c>
      <c r="AB211" s="276">
        <v>1</v>
      </c>
      <c r="AC211" s="275"/>
      <c r="AD211" s="189" t="s">
        <v>3634</v>
      </c>
      <c r="AE211" s="189" t="s">
        <v>3635</v>
      </c>
      <c r="AF211" s="79" t="s">
        <v>3636</v>
      </c>
      <c r="AG211" s="276" t="s">
        <v>1236</v>
      </c>
      <c r="AH211" s="77"/>
      <c r="AI211" s="275">
        <v>3</v>
      </c>
      <c r="AJ211" s="83" t="str">
        <f t="shared" si="90"/>
        <v>06041623</v>
      </c>
      <c r="AK211" s="189" t="s">
        <v>3662</v>
      </c>
      <c r="AL211" s="189" t="s">
        <v>78</v>
      </c>
      <c r="AM211" s="189" t="s">
        <v>1347</v>
      </c>
      <c r="AN211" s="189" t="s">
        <v>3650</v>
      </c>
      <c r="AO211" s="189" t="s">
        <v>3639</v>
      </c>
      <c r="AP211" s="189" t="s">
        <v>3663</v>
      </c>
      <c r="AQ211" s="189"/>
      <c r="AR211" s="189" t="s">
        <v>3664</v>
      </c>
      <c r="AS211" s="189" t="s">
        <v>3642</v>
      </c>
      <c r="AT211" s="189" t="s">
        <v>1395</v>
      </c>
      <c r="AU211" s="76"/>
      <c r="AV211" s="189" t="s">
        <v>3659</v>
      </c>
      <c r="AW211" s="189" t="s">
        <v>1848</v>
      </c>
      <c r="AX211" s="275">
        <v>1</v>
      </c>
      <c r="AY211" s="276" t="str">
        <f t="shared" si="87"/>
        <v>060416231</v>
      </c>
      <c r="AZ211" s="276" t="s">
        <v>3642</v>
      </c>
      <c r="BA211" s="189" t="s">
        <v>3643</v>
      </c>
      <c r="BB211" s="189" t="s">
        <v>3644</v>
      </c>
      <c r="BC211" s="189" t="s">
        <v>11</v>
      </c>
      <c r="BD211" s="189" t="s">
        <v>2484</v>
      </c>
      <c r="BE211" s="189" t="s">
        <v>1848</v>
      </c>
      <c r="BF211" s="189" t="s">
        <v>1848</v>
      </c>
      <c r="BG211" s="189" t="s">
        <v>3639</v>
      </c>
      <c r="BH211" s="77"/>
      <c r="BI211" s="189" t="s">
        <v>3645</v>
      </c>
      <c r="BJ211" s="189" t="s">
        <v>3645</v>
      </c>
      <c r="BK211" s="189" t="s">
        <v>3643</v>
      </c>
      <c r="BL211" s="189" t="s">
        <v>3660</v>
      </c>
      <c r="BM211" s="189">
        <v>2015</v>
      </c>
      <c r="BN211" s="113">
        <v>2855489</v>
      </c>
      <c r="BO211" s="240">
        <v>3935498</v>
      </c>
      <c r="BP211" s="77"/>
      <c r="BQ211" s="113">
        <f t="shared" si="102"/>
        <v>1080009</v>
      </c>
      <c r="BR211" s="275">
        <v>5</v>
      </c>
      <c r="BS211" s="174">
        <f t="shared" si="105"/>
        <v>3071490.8</v>
      </c>
      <c r="BT211" s="113">
        <v>2906696</v>
      </c>
      <c r="BU211" s="240">
        <f t="shared" si="88"/>
        <v>51207</v>
      </c>
      <c r="BV211" s="188">
        <f t="shared" si="91"/>
        <v>4.7413493776440753E-2</v>
      </c>
      <c r="BW211" s="113">
        <f t="shared" si="106"/>
        <v>3287492.6</v>
      </c>
      <c r="BX211" s="113">
        <v>2951048.79880514</v>
      </c>
      <c r="BY211" s="174">
        <f t="shared" si="103"/>
        <v>95559.798805139959</v>
      </c>
      <c r="BZ211" s="188">
        <f t="shared" si="92"/>
        <v>8.8480557851962308E-2</v>
      </c>
      <c r="CA211" s="239">
        <f t="shared" si="93"/>
        <v>3503494.4</v>
      </c>
      <c r="CB211" s="188"/>
      <c r="CC211" s="174">
        <f t="shared" si="94"/>
        <v>-2855489</v>
      </c>
      <c r="CD211" s="188">
        <f t="shared" si="95"/>
        <v>-2.643949263385768</v>
      </c>
      <c r="CE211" s="174">
        <f t="shared" si="96"/>
        <v>3719496.2</v>
      </c>
      <c r="CF211" s="188"/>
      <c r="CG211" s="174"/>
      <c r="CH211" s="89">
        <f t="shared" si="98"/>
        <v>0</v>
      </c>
      <c r="CI211" s="239">
        <f t="shared" si="99"/>
        <v>3935498</v>
      </c>
      <c r="CJ211" s="188"/>
      <c r="CK211" s="174"/>
      <c r="CL211" s="89">
        <f t="shared" si="101"/>
        <v>0</v>
      </c>
      <c r="CM211" s="89"/>
      <c r="CN211" s="188"/>
      <c r="CO211" s="188"/>
      <c r="CP211" s="188"/>
      <c r="CQ211" s="188"/>
      <c r="CS211" s="24">
        <v>211</v>
      </c>
    </row>
    <row r="212" spans="1:97" ht="356.25" x14ac:dyDescent="0.25">
      <c r="A212" s="276">
        <v>24</v>
      </c>
      <c r="B212" s="269" t="s">
        <v>4575</v>
      </c>
      <c r="C212" s="269" t="s">
        <v>1269</v>
      </c>
      <c r="D212" s="189" t="s">
        <v>408</v>
      </c>
      <c r="E212" s="276" t="s">
        <v>453</v>
      </c>
      <c r="F212" s="189" t="s">
        <v>451</v>
      </c>
      <c r="G212" s="172">
        <v>3</v>
      </c>
      <c r="H212" s="276" t="s">
        <v>455</v>
      </c>
      <c r="I212" s="276">
        <v>162</v>
      </c>
      <c r="J212" s="276" t="s">
        <v>456</v>
      </c>
      <c r="K212" s="276" t="s">
        <v>970</v>
      </c>
      <c r="L212" s="189" t="s">
        <v>3665</v>
      </c>
      <c r="M212" s="276" t="s">
        <v>439</v>
      </c>
      <c r="N212" s="189" t="s">
        <v>440</v>
      </c>
      <c r="O212" s="189" t="s">
        <v>137</v>
      </c>
      <c r="P212" s="276" t="s">
        <v>189</v>
      </c>
      <c r="Q212" s="276" t="s">
        <v>440</v>
      </c>
      <c r="R212" s="276"/>
      <c r="S212" s="276">
        <v>1</v>
      </c>
      <c r="T212" s="276" t="s">
        <v>138</v>
      </c>
      <c r="U212" s="276"/>
      <c r="V212" s="276"/>
      <c r="W212" s="276" t="s">
        <v>442</v>
      </c>
      <c r="X212" s="173" t="e">
        <f>100/COUNTIFS(($B$4:$B$238),C212,($D$4:$D$238),E212)</f>
        <v>#DIV/0!</v>
      </c>
      <c r="Y212" s="276">
        <f t="shared" si="104"/>
        <v>0</v>
      </c>
      <c r="Z212" s="276">
        <v>4</v>
      </c>
      <c r="AA212" s="276" t="s">
        <v>3666</v>
      </c>
      <c r="AB212" s="276">
        <v>1</v>
      </c>
      <c r="AC212" s="275"/>
      <c r="AD212" s="189" t="s">
        <v>3634</v>
      </c>
      <c r="AE212" s="189" t="s">
        <v>3635</v>
      </c>
      <c r="AF212" s="79" t="s">
        <v>3636</v>
      </c>
      <c r="AG212" s="276" t="s">
        <v>1236</v>
      </c>
      <c r="AH212" s="77"/>
      <c r="AI212" s="275">
        <v>4</v>
      </c>
      <c r="AJ212" s="83" t="str">
        <f t="shared" si="90"/>
        <v>06041624</v>
      </c>
      <c r="AK212" s="189" t="s">
        <v>3667</v>
      </c>
      <c r="AL212" s="189" t="s">
        <v>78</v>
      </c>
      <c r="AM212" s="189" t="s">
        <v>1347</v>
      </c>
      <c r="AN212" s="189" t="s">
        <v>3650</v>
      </c>
      <c r="AO212" s="189" t="s">
        <v>3639</v>
      </c>
      <c r="AP212" s="189" t="s">
        <v>3668</v>
      </c>
      <c r="AQ212" s="189"/>
      <c r="AR212" s="189" t="s">
        <v>3669</v>
      </c>
      <c r="AS212" s="189" t="s">
        <v>3642</v>
      </c>
      <c r="AT212" s="189" t="s">
        <v>1395</v>
      </c>
      <c r="AU212" s="76"/>
      <c r="AV212" s="189" t="s">
        <v>3670</v>
      </c>
      <c r="AW212" s="189" t="s">
        <v>1848</v>
      </c>
      <c r="AX212" s="275">
        <v>1</v>
      </c>
      <c r="AY212" s="276" t="str">
        <f t="shared" si="87"/>
        <v>060416241</v>
      </c>
      <c r="AZ212" s="276" t="s">
        <v>3642</v>
      </c>
      <c r="BA212" s="189" t="s">
        <v>3643</v>
      </c>
      <c r="BB212" s="189" t="s">
        <v>3644</v>
      </c>
      <c r="BC212" s="189" t="s">
        <v>11</v>
      </c>
      <c r="BD212" s="189" t="s">
        <v>2484</v>
      </c>
      <c r="BE212" s="189" t="s">
        <v>1848</v>
      </c>
      <c r="BF212" s="189" t="s">
        <v>1848</v>
      </c>
      <c r="BG212" s="189" t="s">
        <v>3639</v>
      </c>
      <c r="BH212" s="77"/>
      <c r="BI212" s="189" t="s">
        <v>3645</v>
      </c>
      <c r="BJ212" s="189" t="s">
        <v>3645</v>
      </c>
      <c r="BK212" s="189" t="s">
        <v>3643</v>
      </c>
      <c r="BL212" s="189" t="s">
        <v>3671</v>
      </c>
      <c r="BM212" s="189">
        <v>2015</v>
      </c>
      <c r="BN212" s="113">
        <v>3194248</v>
      </c>
      <c r="BO212" s="240">
        <v>4006529</v>
      </c>
      <c r="BP212" s="77"/>
      <c r="BQ212" s="113">
        <f t="shared" si="102"/>
        <v>812281</v>
      </c>
      <c r="BR212" s="275">
        <v>5</v>
      </c>
      <c r="BS212" s="174">
        <f t="shared" si="105"/>
        <v>3356704.2</v>
      </c>
      <c r="BT212" s="113">
        <v>3162064</v>
      </c>
      <c r="BU212" s="240">
        <f t="shared" si="88"/>
        <v>-32184</v>
      </c>
      <c r="BV212" s="188">
        <f t="shared" si="91"/>
        <v>-3.9621756510370178E-2</v>
      </c>
      <c r="BW212" s="113">
        <f t="shared" si="106"/>
        <v>3519160.4</v>
      </c>
      <c r="BX212" s="113">
        <v>3056385</v>
      </c>
      <c r="BY212" s="174">
        <f t="shared" si="103"/>
        <v>-137863</v>
      </c>
      <c r="BZ212" s="89">
        <f t="shared" si="92"/>
        <v>-0.16972328541477641</v>
      </c>
      <c r="CA212" s="239">
        <f t="shared" si="93"/>
        <v>3681616.6</v>
      </c>
      <c r="CB212" s="188"/>
      <c r="CC212" s="174">
        <f t="shared" si="94"/>
        <v>-3194248</v>
      </c>
      <c r="CD212" s="188">
        <f t="shared" si="95"/>
        <v>-3.9324420982394024</v>
      </c>
      <c r="CE212" s="174">
        <f t="shared" si="96"/>
        <v>3844072.8</v>
      </c>
      <c r="CF212" s="188"/>
      <c r="CG212" s="174"/>
      <c r="CH212" s="89">
        <f t="shared" si="98"/>
        <v>0</v>
      </c>
      <c r="CI212" s="239">
        <f t="shared" si="99"/>
        <v>4006529</v>
      </c>
      <c r="CJ212" s="188"/>
      <c r="CK212" s="174"/>
      <c r="CL212" s="89">
        <f t="shared" si="101"/>
        <v>0</v>
      </c>
      <c r="CM212" s="89"/>
      <c r="CN212" s="188"/>
      <c r="CO212" s="188"/>
      <c r="CP212" s="188"/>
      <c r="CQ212" s="188"/>
      <c r="CS212" s="24">
        <v>212</v>
      </c>
    </row>
    <row r="213" spans="1:97" ht="409.5" x14ac:dyDescent="0.25">
      <c r="A213" s="276">
        <v>25</v>
      </c>
      <c r="B213" s="269" t="s">
        <v>4575</v>
      </c>
      <c r="C213" s="133" t="s">
        <v>1269</v>
      </c>
      <c r="D213" s="164" t="s">
        <v>408</v>
      </c>
      <c r="E213" s="135" t="s">
        <v>462</v>
      </c>
      <c r="F213" s="164" t="s">
        <v>460</v>
      </c>
      <c r="G213" s="203">
        <v>3</v>
      </c>
      <c r="H213" s="135" t="s">
        <v>464</v>
      </c>
      <c r="I213" s="135">
        <v>166</v>
      </c>
      <c r="J213" s="135" t="s">
        <v>465</v>
      </c>
      <c r="K213" s="135" t="s">
        <v>974</v>
      </c>
      <c r="L213" s="164" t="s">
        <v>466</v>
      </c>
      <c r="M213" s="135" t="s">
        <v>439</v>
      </c>
      <c r="N213" s="164" t="s">
        <v>459</v>
      </c>
      <c r="O213" s="164" t="s">
        <v>62</v>
      </c>
      <c r="P213" s="135" t="s">
        <v>189</v>
      </c>
      <c r="Q213" s="135" t="s">
        <v>459</v>
      </c>
      <c r="R213" s="135"/>
      <c r="S213" s="135"/>
      <c r="T213" s="135" t="s">
        <v>65</v>
      </c>
      <c r="U213" s="135"/>
      <c r="V213" s="135"/>
      <c r="W213" s="194" t="s">
        <v>155</v>
      </c>
      <c r="X213" s="226" t="e">
        <f>100/COUNTIFS((#REF!),C213,(#REF!),E213)</f>
        <v>#REF!</v>
      </c>
      <c r="Y213" s="135">
        <f t="shared" si="104"/>
        <v>1</v>
      </c>
      <c r="Z213" s="135">
        <v>0</v>
      </c>
      <c r="AA213" s="135" t="s">
        <v>1220</v>
      </c>
      <c r="AB213" s="276">
        <v>1</v>
      </c>
      <c r="AC213" s="198">
        <v>15</v>
      </c>
      <c r="AD213" s="164" t="s">
        <v>1304</v>
      </c>
      <c r="AE213" s="164" t="s">
        <v>1305</v>
      </c>
      <c r="AF213" s="164" t="s">
        <v>3743</v>
      </c>
      <c r="AG213" s="135" t="s">
        <v>1583</v>
      </c>
      <c r="AH213" s="77"/>
      <c r="AI213" s="198">
        <v>1</v>
      </c>
      <c r="AJ213" s="163" t="str">
        <f t="shared" si="90"/>
        <v>06051661</v>
      </c>
      <c r="AK213" s="163" t="s">
        <v>3744</v>
      </c>
      <c r="AL213" s="164" t="s">
        <v>1259</v>
      </c>
      <c r="AM213" s="189"/>
      <c r="AN213" s="163" t="s">
        <v>3745</v>
      </c>
      <c r="AO213" s="163" t="s">
        <v>3746</v>
      </c>
      <c r="AP213" s="164" t="s">
        <v>3747</v>
      </c>
      <c r="AQ213" s="164" t="s">
        <v>3748</v>
      </c>
      <c r="AR213" s="163" t="s">
        <v>3744</v>
      </c>
      <c r="AS213" s="164" t="s">
        <v>3749</v>
      </c>
      <c r="AT213" s="225" t="s">
        <v>1395</v>
      </c>
      <c r="AU213" s="225" t="s">
        <v>3296</v>
      </c>
      <c r="AV213" s="164" t="s">
        <v>2249</v>
      </c>
      <c r="AW213" s="164" t="s">
        <v>3750</v>
      </c>
      <c r="AX213" s="198">
        <v>1</v>
      </c>
      <c r="AY213" s="135" t="str">
        <f t="shared" si="87"/>
        <v>060516611</v>
      </c>
      <c r="AZ213" s="135" t="s">
        <v>3751</v>
      </c>
      <c r="BA213" s="163" t="s">
        <v>3752</v>
      </c>
      <c r="BB213" s="163" t="s">
        <v>1392</v>
      </c>
      <c r="BC213" s="194" t="s">
        <v>11</v>
      </c>
      <c r="BD213" s="194" t="s">
        <v>2832</v>
      </c>
      <c r="BE213" s="194" t="s">
        <v>9</v>
      </c>
      <c r="BF213" s="194" t="s">
        <v>9</v>
      </c>
      <c r="BG213" s="163" t="s">
        <v>3753</v>
      </c>
      <c r="BH213" s="194"/>
      <c r="BI213" s="163" t="s">
        <v>3754</v>
      </c>
      <c r="BJ213" s="163" t="s">
        <v>3755</v>
      </c>
      <c r="BK213" s="163" t="s">
        <v>3756</v>
      </c>
      <c r="BL213" s="163" t="s">
        <v>3757</v>
      </c>
      <c r="BM213" s="194">
        <v>2015</v>
      </c>
      <c r="BN213" s="194">
        <v>9.8000000000000007</v>
      </c>
      <c r="BO213" s="194">
        <v>13</v>
      </c>
      <c r="BP213" s="194">
        <v>16.899999999999999</v>
      </c>
      <c r="BQ213" s="226">
        <f t="shared" si="102"/>
        <v>3.1999999999999993</v>
      </c>
      <c r="BR213" s="198">
        <v>5</v>
      </c>
      <c r="BS213" s="227">
        <f t="shared" si="105"/>
        <v>10.440000000000001</v>
      </c>
      <c r="BT213" s="227">
        <v>10.07</v>
      </c>
      <c r="BU213" s="227">
        <f t="shared" si="88"/>
        <v>0.26999999999999957</v>
      </c>
      <c r="BV213" s="228">
        <f t="shared" si="91"/>
        <v>8.4374999999999881E-2</v>
      </c>
      <c r="BW213" s="227">
        <f t="shared" si="106"/>
        <v>11.08</v>
      </c>
      <c r="BX213" s="227">
        <v>10.26</v>
      </c>
      <c r="BY213" s="227">
        <f t="shared" si="103"/>
        <v>0.45999999999999908</v>
      </c>
      <c r="BZ213" s="229">
        <f t="shared" si="92"/>
        <v>0.14374999999999974</v>
      </c>
      <c r="CA213" s="228">
        <f t="shared" si="93"/>
        <v>11.72</v>
      </c>
      <c r="CB213" s="228"/>
      <c r="CC213" s="227">
        <f t="shared" si="94"/>
        <v>-9.8000000000000007</v>
      </c>
      <c r="CD213" s="228">
        <f t="shared" si="95"/>
        <v>-3.0625000000000009</v>
      </c>
      <c r="CE213" s="228">
        <f t="shared" si="96"/>
        <v>12.36</v>
      </c>
      <c r="CF213" s="228"/>
      <c r="CG213" s="227">
        <f t="shared" ref="CG213:CG233" si="107">+CF213-BN213</f>
        <v>-9.8000000000000007</v>
      </c>
      <c r="CH213" s="228">
        <f t="shared" si="98"/>
        <v>-3.0625000000000009</v>
      </c>
      <c r="CI213" s="228">
        <f t="shared" si="99"/>
        <v>13</v>
      </c>
      <c r="CJ213" s="228"/>
      <c r="CK213" s="227">
        <f t="shared" ref="CK213:CK233" si="108">+CJ213-BN213</f>
        <v>-9.8000000000000007</v>
      </c>
      <c r="CL213" s="229">
        <f t="shared" si="101"/>
        <v>-3.0625000000000009</v>
      </c>
      <c r="CM213" s="230"/>
      <c r="CN213" s="228"/>
      <c r="CO213" s="228"/>
      <c r="CP213" s="228"/>
      <c r="CQ213" s="228"/>
      <c r="CS213" s="2">
        <v>213</v>
      </c>
    </row>
    <row r="214" spans="1:97" ht="327.75" x14ac:dyDescent="0.25">
      <c r="A214" s="276">
        <v>25</v>
      </c>
      <c r="B214" s="269" t="s">
        <v>4575</v>
      </c>
      <c r="C214" s="133" t="s">
        <v>1269</v>
      </c>
      <c r="D214" s="164" t="s">
        <v>408</v>
      </c>
      <c r="E214" s="135" t="s">
        <v>462</v>
      </c>
      <c r="F214" s="164" t="s">
        <v>460</v>
      </c>
      <c r="G214" s="203">
        <v>3</v>
      </c>
      <c r="H214" s="135" t="s">
        <v>464</v>
      </c>
      <c r="I214" s="135">
        <v>166</v>
      </c>
      <c r="J214" s="135" t="s">
        <v>465</v>
      </c>
      <c r="K214" s="135" t="s">
        <v>974</v>
      </c>
      <c r="L214" s="164" t="s">
        <v>466</v>
      </c>
      <c r="M214" s="135" t="s">
        <v>439</v>
      </c>
      <c r="N214" s="164" t="s">
        <v>459</v>
      </c>
      <c r="O214" s="164" t="s">
        <v>62</v>
      </c>
      <c r="P214" s="135" t="s">
        <v>189</v>
      </c>
      <c r="Q214" s="135" t="s">
        <v>459</v>
      </c>
      <c r="R214" s="135"/>
      <c r="S214" s="135"/>
      <c r="T214" s="135" t="s">
        <v>65</v>
      </c>
      <c r="U214" s="135"/>
      <c r="V214" s="135"/>
      <c r="W214" s="194" t="s">
        <v>155</v>
      </c>
      <c r="X214" s="226" t="e">
        <f>100/COUNTIFS((#REF!),C214,(#REF!),E214)</f>
        <v>#REF!</v>
      </c>
      <c r="Y214" s="135">
        <f t="shared" si="104"/>
        <v>1</v>
      </c>
      <c r="Z214" s="135">
        <v>0</v>
      </c>
      <c r="AA214" s="135" t="s">
        <v>1220</v>
      </c>
      <c r="AB214" s="276">
        <v>1</v>
      </c>
      <c r="AC214" s="198">
        <v>15</v>
      </c>
      <c r="AD214" s="164" t="s">
        <v>1304</v>
      </c>
      <c r="AE214" s="164" t="s">
        <v>1305</v>
      </c>
      <c r="AF214" s="225"/>
      <c r="AG214" s="135" t="s">
        <v>3300</v>
      </c>
      <c r="AH214" s="77"/>
      <c r="AI214" s="198">
        <v>2</v>
      </c>
      <c r="AJ214" s="163" t="str">
        <f t="shared" si="90"/>
        <v>06051662</v>
      </c>
      <c r="AK214" s="163" t="s">
        <v>3758</v>
      </c>
      <c r="AL214" s="164" t="s">
        <v>1259</v>
      </c>
      <c r="AM214" s="189"/>
      <c r="AN214" s="163" t="s">
        <v>3745</v>
      </c>
      <c r="AO214" s="194" t="s">
        <v>10</v>
      </c>
      <c r="AP214" s="164" t="s">
        <v>3759</v>
      </c>
      <c r="AQ214" s="164" t="s">
        <v>3760</v>
      </c>
      <c r="AR214" s="164" t="s">
        <v>3761</v>
      </c>
      <c r="AS214" s="164" t="s">
        <v>3762</v>
      </c>
      <c r="AT214" s="164" t="s">
        <v>3763</v>
      </c>
      <c r="AU214" s="164" t="s">
        <v>3762</v>
      </c>
      <c r="AV214" s="164" t="s">
        <v>1802</v>
      </c>
      <c r="AW214" s="164"/>
      <c r="AX214" s="198">
        <v>1</v>
      </c>
      <c r="AY214" s="135" t="str">
        <f t="shared" si="87"/>
        <v>060516621</v>
      </c>
      <c r="AZ214" s="164" t="s">
        <v>3764</v>
      </c>
      <c r="BA214" s="164" t="s">
        <v>3762</v>
      </c>
      <c r="BB214" s="164" t="s">
        <v>1392</v>
      </c>
      <c r="BC214" s="164" t="s">
        <v>11</v>
      </c>
      <c r="BD214" s="164" t="s">
        <v>1802</v>
      </c>
      <c r="BE214" s="164" t="s">
        <v>9</v>
      </c>
      <c r="BF214" s="164" t="s">
        <v>9</v>
      </c>
      <c r="BG214" s="164" t="s">
        <v>3765</v>
      </c>
      <c r="BH214" s="164"/>
      <c r="BI214" s="164" t="s">
        <v>3754</v>
      </c>
      <c r="BJ214" s="164" t="s">
        <v>3755</v>
      </c>
      <c r="BK214" s="164" t="s">
        <v>3766</v>
      </c>
      <c r="BL214" s="164" t="s">
        <v>3767</v>
      </c>
      <c r="BM214" s="194">
        <v>2013</v>
      </c>
      <c r="BN214" s="231">
        <v>0.48</v>
      </c>
      <c r="BO214" s="232">
        <v>0.48049999999999998</v>
      </c>
      <c r="BP214" s="233">
        <v>0.49</v>
      </c>
      <c r="BQ214" s="226">
        <f t="shared" si="102"/>
        <v>5.0000000000000044E-4</v>
      </c>
      <c r="BR214" s="198">
        <v>5</v>
      </c>
      <c r="BS214" s="227">
        <f t="shared" si="105"/>
        <v>0.48009999999999997</v>
      </c>
      <c r="BT214" s="228">
        <v>0.47189999999999999</v>
      </c>
      <c r="BU214" s="227">
        <f t="shared" si="88"/>
        <v>-8.0999999999999961E-3</v>
      </c>
      <c r="BV214" s="228">
        <f t="shared" si="91"/>
        <v>-16.199999999999978</v>
      </c>
      <c r="BW214" s="228">
        <f t="shared" si="106"/>
        <v>0.48019999999999996</v>
      </c>
      <c r="BX214" s="228">
        <v>0.46970000000000001</v>
      </c>
      <c r="BY214" s="234">
        <f t="shared" si="103"/>
        <v>-1.0299999999999976E-2</v>
      </c>
      <c r="BZ214" s="230">
        <f t="shared" si="92"/>
        <v>-20.599999999999934</v>
      </c>
      <c r="CA214" s="228">
        <f t="shared" si="93"/>
        <v>0.4803</v>
      </c>
      <c r="CB214" s="228"/>
      <c r="CC214" s="227">
        <f t="shared" si="94"/>
        <v>-0.48</v>
      </c>
      <c r="CD214" s="228">
        <f t="shared" si="95"/>
        <v>-959.99999999999909</v>
      </c>
      <c r="CE214" s="228">
        <f t="shared" si="96"/>
        <v>0.48039999999999999</v>
      </c>
      <c r="CF214" s="228"/>
      <c r="CG214" s="227">
        <f t="shared" si="107"/>
        <v>-0.48</v>
      </c>
      <c r="CH214" s="228">
        <f t="shared" si="98"/>
        <v>-959.99999999999909</v>
      </c>
      <c r="CI214" s="228">
        <f t="shared" si="99"/>
        <v>0.48049999999999998</v>
      </c>
      <c r="CJ214" s="228"/>
      <c r="CK214" s="227">
        <f t="shared" si="108"/>
        <v>-0.48</v>
      </c>
      <c r="CL214" s="229">
        <f t="shared" si="101"/>
        <v>-959.99999999999909</v>
      </c>
      <c r="CM214" s="230"/>
      <c r="CN214" s="228"/>
      <c r="CO214" s="228"/>
      <c r="CP214" s="228"/>
      <c r="CQ214" s="228"/>
      <c r="CS214" s="24">
        <v>214</v>
      </c>
    </row>
    <row r="215" spans="1:97" ht="256.5" x14ac:dyDescent="0.25">
      <c r="A215" s="276">
        <v>24</v>
      </c>
      <c r="B215" s="269" t="s">
        <v>4575</v>
      </c>
      <c r="C215" s="269" t="s">
        <v>1269</v>
      </c>
      <c r="D215" s="189" t="s">
        <v>408</v>
      </c>
      <c r="E215" s="276" t="s">
        <v>470</v>
      </c>
      <c r="F215" s="189" t="s">
        <v>468</v>
      </c>
      <c r="G215" s="172">
        <v>3</v>
      </c>
      <c r="H215" s="276" t="s">
        <v>472</v>
      </c>
      <c r="I215" s="276">
        <v>170</v>
      </c>
      <c r="J215" s="276" t="s">
        <v>473</v>
      </c>
      <c r="K215" s="276" t="s">
        <v>978</v>
      </c>
      <c r="L215" s="189" t="s">
        <v>474</v>
      </c>
      <c r="M215" s="276" t="s">
        <v>439</v>
      </c>
      <c r="N215" s="189" t="s">
        <v>440</v>
      </c>
      <c r="O215" s="189" t="s">
        <v>62</v>
      </c>
      <c r="P215" s="276" t="s">
        <v>189</v>
      </c>
      <c r="Q215" s="276" t="s">
        <v>440</v>
      </c>
      <c r="R215" s="276"/>
      <c r="S215" s="276"/>
      <c r="T215" s="276" t="s">
        <v>65</v>
      </c>
      <c r="U215" s="276"/>
      <c r="V215" s="276"/>
      <c r="W215" s="276" t="s">
        <v>1325</v>
      </c>
      <c r="X215" s="173" t="e">
        <f t="shared" ref="X215:X226" si="109">100/COUNTIFS(($B$4:$B$29),C215,($D$4:$D$29),E215)</f>
        <v>#DIV/0!</v>
      </c>
      <c r="Y215" s="276">
        <v>0</v>
      </c>
      <c r="Z215" s="276">
        <v>1</v>
      </c>
      <c r="AA215" s="276" t="s">
        <v>3597</v>
      </c>
      <c r="AB215" s="276"/>
      <c r="AC215" s="275"/>
      <c r="AD215" s="164" t="s">
        <v>1302</v>
      </c>
      <c r="AE215" s="189" t="s">
        <v>3613</v>
      </c>
      <c r="AF215" s="189" t="s">
        <v>3614</v>
      </c>
      <c r="AG215" s="276" t="s">
        <v>1236</v>
      </c>
      <c r="AH215" s="77"/>
      <c r="AI215" s="275">
        <v>1</v>
      </c>
      <c r="AJ215" s="83" t="str">
        <f t="shared" si="90"/>
        <v>06061701</v>
      </c>
      <c r="AK215" s="189" t="s">
        <v>3672</v>
      </c>
      <c r="AL215" s="189" t="s">
        <v>3601</v>
      </c>
      <c r="AM215" s="189" t="s">
        <v>1347</v>
      </c>
      <c r="AN215" s="83" t="s">
        <v>3602</v>
      </c>
      <c r="AO215" s="83" t="s">
        <v>3673</v>
      </c>
      <c r="AP215" s="189" t="s">
        <v>3674</v>
      </c>
      <c r="AQ215" s="83" t="s">
        <v>3902</v>
      </c>
      <c r="AR215" s="83" t="s">
        <v>3675</v>
      </c>
      <c r="AS215" s="83" t="s">
        <v>3606</v>
      </c>
      <c r="AT215" s="83" t="s">
        <v>1395</v>
      </c>
      <c r="AU215" s="83" t="s">
        <v>3606</v>
      </c>
      <c r="AV215" s="83" t="s">
        <v>3607</v>
      </c>
      <c r="AW215" s="83" t="s">
        <v>2437</v>
      </c>
      <c r="AX215" s="275">
        <v>1</v>
      </c>
      <c r="AY215" s="276" t="str">
        <f t="shared" si="87"/>
        <v>060617011</v>
      </c>
      <c r="AZ215" s="83" t="s">
        <v>3606</v>
      </c>
      <c r="BA215" s="83" t="s">
        <v>3608</v>
      </c>
      <c r="BB215" s="83" t="s">
        <v>1514</v>
      </c>
      <c r="BC215" s="83" t="s">
        <v>11</v>
      </c>
      <c r="BD215" s="83" t="s">
        <v>2484</v>
      </c>
      <c r="BE215" s="83" t="s">
        <v>2437</v>
      </c>
      <c r="BF215" s="83" t="s">
        <v>1665</v>
      </c>
      <c r="BG215" s="83" t="s">
        <v>3676</v>
      </c>
      <c r="BH215" s="77"/>
      <c r="BI215" s="83" t="s">
        <v>3611</v>
      </c>
      <c r="BJ215" s="83" t="s">
        <v>3611</v>
      </c>
      <c r="BK215" s="83" t="s">
        <v>3608</v>
      </c>
      <c r="BL215" s="83" t="s">
        <v>3612</v>
      </c>
      <c r="BM215" s="83">
        <v>2015</v>
      </c>
      <c r="BN215" s="113">
        <v>5896</v>
      </c>
      <c r="BO215" s="113">
        <v>7634</v>
      </c>
      <c r="BP215" s="77"/>
      <c r="BQ215" s="113">
        <f t="shared" si="102"/>
        <v>1738</v>
      </c>
      <c r="BR215" s="275">
        <v>5</v>
      </c>
      <c r="BS215" s="94">
        <f t="shared" si="105"/>
        <v>6243.6</v>
      </c>
      <c r="BT215" s="113">
        <v>5909</v>
      </c>
      <c r="BU215" s="94">
        <f t="shared" si="88"/>
        <v>13</v>
      </c>
      <c r="BV215" s="89">
        <f t="shared" si="91"/>
        <v>7.4798619102416572E-3</v>
      </c>
      <c r="BW215" s="94">
        <f t="shared" si="106"/>
        <v>6591.2</v>
      </c>
      <c r="BX215" s="113">
        <v>6431</v>
      </c>
      <c r="BY215" s="94">
        <f t="shared" si="103"/>
        <v>535</v>
      </c>
      <c r="BZ215" s="89">
        <f t="shared" si="92"/>
        <v>0.30782508630609895</v>
      </c>
      <c r="CA215" s="182">
        <f t="shared" si="93"/>
        <v>6938.8</v>
      </c>
      <c r="CB215" s="130"/>
      <c r="CC215" s="94">
        <f t="shared" si="94"/>
        <v>-5896</v>
      </c>
      <c r="CD215" s="89">
        <f t="shared" si="95"/>
        <v>-3.3924050632911391</v>
      </c>
      <c r="CE215" s="182">
        <f t="shared" si="96"/>
        <v>7286.4</v>
      </c>
      <c r="CF215" s="188"/>
      <c r="CG215" s="182">
        <f t="shared" si="107"/>
        <v>-5896</v>
      </c>
      <c r="CH215" s="89">
        <f t="shared" si="98"/>
        <v>-3.3924050632911391</v>
      </c>
      <c r="CI215" s="94">
        <f t="shared" si="99"/>
        <v>7634</v>
      </c>
      <c r="CJ215" s="94"/>
      <c r="CK215" s="182">
        <f t="shared" si="108"/>
        <v>-5896</v>
      </c>
      <c r="CL215" s="89">
        <f t="shared" si="101"/>
        <v>-3.3924050632911391</v>
      </c>
      <c r="CM215" s="89"/>
      <c r="CN215" s="188"/>
      <c r="CO215" s="188"/>
      <c r="CP215" s="188"/>
      <c r="CQ215" s="188"/>
      <c r="CS215" s="24">
        <v>215</v>
      </c>
    </row>
    <row r="216" spans="1:97" ht="256.5" x14ac:dyDescent="0.25">
      <c r="A216" s="276">
        <v>24</v>
      </c>
      <c r="B216" s="269" t="s">
        <v>4575</v>
      </c>
      <c r="C216" s="269" t="s">
        <v>1269</v>
      </c>
      <c r="D216" s="189" t="s">
        <v>408</v>
      </c>
      <c r="E216" s="276" t="s">
        <v>470</v>
      </c>
      <c r="F216" s="189" t="s">
        <v>468</v>
      </c>
      <c r="G216" s="172">
        <v>3</v>
      </c>
      <c r="H216" s="276" t="s">
        <v>472</v>
      </c>
      <c r="I216" s="276">
        <v>170</v>
      </c>
      <c r="J216" s="276" t="s">
        <v>473</v>
      </c>
      <c r="K216" s="276" t="s">
        <v>978</v>
      </c>
      <c r="L216" s="189" t="s">
        <v>474</v>
      </c>
      <c r="M216" s="276" t="s">
        <v>439</v>
      </c>
      <c r="N216" s="189" t="s">
        <v>440</v>
      </c>
      <c r="O216" s="189" t="s">
        <v>62</v>
      </c>
      <c r="P216" s="276" t="s">
        <v>189</v>
      </c>
      <c r="Q216" s="276" t="s">
        <v>440</v>
      </c>
      <c r="R216" s="276"/>
      <c r="S216" s="276"/>
      <c r="T216" s="276" t="s">
        <v>65</v>
      </c>
      <c r="U216" s="276"/>
      <c r="V216" s="276"/>
      <c r="W216" s="276" t="s">
        <v>1325</v>
      </c>
      <c r="X216" s="173" t="e">
        <f t="shared" si="109"/>
        <v>#DIV/0!</v>
      </c>
      <c r="Y216" s="276">
        <v>0</v>
      </c>
      <c r="Z216" s="276">
        <v>1</v>
      </c>
      <c r="AA216" s="276" t="s">
        <v>3597</v>
      </c>
      <c r="AB216" s="276"/>
      <c r="AC216" s="275"/>
      <c r="AD216" s="164" t="s">
        <v>1302</v>
      </c>
      <c r="AE216" s="189" t="s">
        <v>3613</v>
      </c>
      <c r="AF216" s="189" t="s">
        <v>3614</v>
      </c>
      <c r="AG216" s="276" t="s">
        <v>1236</v>
      </c>
      <c r="AH216" s="77"/>
      <c r="AI216" s="275">
        <v>2</v>
      </c>
      <c r="AJ216" s="83" t="str">
        <f t="shared" si="90"/>
        <v>06061702</v>
      </c>
      <c r="AK216" s="189" t="s">
        <v>3677</v>
      </c>
      <c r="AL216" s="189" t="s">
        <v>3601</v>
      </c>
      <c r="AM216" s="189" t="s">
        <v>1347</v>
      </c>
      <c r="AN216" s="83" t="s">
        <v>3602</v>
      </c>
      <c r="AO216" s="83" t="s">
        <v>3673</v>
      </c>
      <c r="AP216" s="189" t="s">
        <v>3674</v>
      </c>
      <c r="AQ216" s="83" t="s">
        <v>3902</v>
      </c>
      <c r="AR216" s="83" t="s">
        <v>3675</v>
      </c>
      <c r="AS216" s="83" t="s">
        <v>3606</v>
      </c>
      <c r="AT216" s="83" t="s">
        <v>1395</v>
      </c>
      <c r="AU216" s="83" t="s">
        <v>3606</v>
      </c>
      <c r="AV216" s="83" t="s">
        <v>3607</v>
      </c>
      <c r="AW216" s="83" t="s">
        <v>2437</v>
      </c>
      <c r="AX216" s="275">
        <v>1</v>
      </c>
      <c r="AY216" s="276" t="str">
        <f t="shared" si="87"/>
        <v>060617021</v>
      </c>
      <c r="AZ216" s="83" t="s">
        <v>3606</v>
      </c>
      <c r="BA216" s="83" t="s">
        <v>3608</v>
      </c>
      <c r="BB216" s="83" t="s">
        <v>1514</v>
      </c>
      <c r="BC216" s="83" t="s">
        <v>11</v>
      </c>
      <c r="BD216" s="83" t="s">
        <v>2484</v>
      </c>
      <c r="BE216" s="83" t="s">
        <v>2437</v>
      </c>
      <c r="BF216" s="83" t="s">
        <v>1665</v>
      </c>
      <c r="BG216" s="83" t="s">
        <v>3676</v>
      </c>
      <c r="BH216" s="77"/>
      <c r="BI216" s="83" t="s">
        <v>3611</v>
      </c>
      <c r="BJ216" s="83" t="s">
        <v>3611</v>
      </c>
      <c r="BK216" s="83" t="s">
        <v>3608</v>
      </c>
      <c r="BL216" s="83" t="s">
        <v>3612</v>
      </c>
      <c r="BM216" s="83">
        <v>2015</v>
      </c>
      <c r="BN216" s="113">
        <v>2348</v>
      </c>
      <c r="BO216" s="113">
        <v>2724</v>
      </c>
      <c r="BP216" s="77"/>
      <c r="BQ216" s="113">
        <f t="shared" si="102"/>
        <v>376</v>
      </c>
      <c r="BR216" s="275">
        <v>5</v>
      </c>
      <c r="BS216" s="94">
        <f t="shared" si="105"/>
        <v>2423.1999999999998</v>
      </c>
      <c r="BT216" s="113">
        <v>2398</v>
      </c>
      <c r="BU216" s="94">
        <f t="shared" si="88"/>
        <v>50</v>
      </c>
      <c r="BV216" s="89">
        <f t="shared" si="91"/>
        <v>0.13297872340425532</v>
      </c>
      <c r="BW216" s="113">
        <f t="shared" si="106"/>
        <v>2498.4</v>
      </c>
      <c r="BX216" s="113">
        <v>2003</v>
      </c>
      <c r="BY216" s="94">
        <f t="shared" si="103"/>
        <v>-345</v>
      </c>
      <c r="BZ216" s="89">
        <f t="shared" si="92"/>
        <v>-0.91755319148936165</v>
      </c>
      <c r="CA216" s="182">
        <f t="shared" si="93"/>
        <v>2573.6</v>
      </c>
      <c r="CB216" s="130"/>
      <c r="CC216" s="94">
        <f t="shared" si="94"/>
        <v>-2348</v>
      </c>
      <c r="CD216" s="89">
        <f t="shared" si="95"/>
        <v>-6.2446808510638299</v>
      </c>
      <c r="CE216" s="182">
        <f t="shared" si="96"/>
        <v>2648.8</v>
      </c>
      <c r="CF216" s="188"/>
      <c r="CG216" s="182">
        <f t="shared" si="107"/>
        <v>-2348</v>
      </c>
      <c r="CH216" s="89">
        <f t="shared" si="98"/>
        <v>-6.2446808510638299</v>
      </c>
      <c r="CI216" s="94">
        <f t="shared" si="99"/>
        <v>2724</v>
      </c>
      <c r="CJ216" s="94"/>
      <c r="CK216" s="182">
        <f t="shared" si="108"/>
        <v>-2348</v>
      </c>
      <c r="CL216" s="89">
        <f t="shared" si="101"/>
        <v>-6.2446808510638299</v>
      </c>
      <c r="CM216" s="89"/>
      <c r="CN216" s="188"/>
      <c r="CO216" s="188"/>
      <c r="CP216" s="188"/>
      <c r="CQ216" s="188"/>
      <c r="CS216" s="2">
        <v>216</v>
      </c>
    </row>
    <row r="217" spans="1:97" ht="356.25" customHeight="1" x14ac:dyDescent="0.25">
      <c r="A217" s="276">
        <v>24</v>
      </c>
      <c r="B217" s="269" t="s">
        <v>4575</v>
      </c>
      <c r="C217" s="269" t="s">
        <v>1269</v>
      </c>
      <c r="D217" s="189" t="s">
        <v>408</v>
      </c>
      <c r="E217" s="276" t="s">
        <v>470</v>
      </c>
      <c r="F217" s="189" t="s">
        <v>468</v>
      </c>
      <c r="G217" s="172">
        <v>3</v>
      </c>
      <c r="H217" s="276" t="s">
        <v>472</v>
      </c>
      <c r="I217" s="276">
        <v>170</v>
      </c>
      <c r="J217" s="276" t="s">
        <v>473</v>
      </c>
      <c r="K217" s="276" t="s">
        <v>978</v>
      </c>
      <c r="L217" s="189" t="s">
        <v>474</v>
      </c>
      <c r="M217" s="276" t="s">
        <v>439</v>
      </c>
      <c r="N217" s="189" t="s">
        <v>440</v>
      </c>
      <c r="O217" s="189" t="s">
        <v>75</v>
      </c>
      <c r="P217" s="276" t="s">
        <v>189</v>
      </c>
      <c r="Q217" s="276" t="s">
        <v>440</v>
      </c>
      <c r="R217" s="276"/>
      <c r="S217" s="276"/>
      <c r="T217" s="276" t="s">
        <v>65</v>
      </c>
      <c r="U217" s="276"/>
      <c r="V217" s="276"/>
      <c r="W217" s="276" t="s">
        <v>1325</v>
      </c>
      <c r="X217" s="173" t="e">
        <f t="shared" si="109"/>
        <v>#DIV/0!</v>
      </c>
      <c r="Y217" s="276">
        <v>0</v>
      </c>
      <c r="Z217" s="276">
        <v>1</v>
      </c>
      <c r="AA217" s="276" t="s">
        <v>3597</v>
      </c>
      <c r="AB217" s="276"/>
      <c r="AC217" s="275"/>
      <c r="AD217" s="164" t="s">
        <v>1302</v>
      </c>
      <c r="AE217" s="189" t="s">
        <v>3613</v>
      </c>
      <c r="AF217" s="189" t="s">
        <v>3614</v>
      </c>
      <c r="AG217" s="276" t="s">
        <v>1236</v>
      </c>
      <c r="AH217" s="77"/>
      <c r="AI217" s="275">
        <v>3</v>
      </c>
      <c r="AJ217" s="83" t="str">
        <f t="shared" si="90"/>
        <v>06061703</v>
      </c>
      <c r="AK217" s="189" t="s">
        <v>3678</v>
      </c>
      <c r="AL217" s="189" t="s">
        <v>3601</v>
      </c>
      <c r="AM217" s="189" t="s">
        <v>1347</v>
      </c>
      <c r="AN217" s="83" t="s">
        <v>3602</v>
      </c>
      <c r="AO217" s="83" t="s">
        <v>3679</v>
      </c>
      <c r="AP217" s="189" t="s">
        <v>3674</v>
      </c>
      <c r="AQ217" s="83" t="s">
        <v>3902</v>
      </c>
      <c r="AR217" s="83" t="s">
        <v>3675</v>
      </c>
      <c r="AS217" s="83" t="s">
        <v>3606</v>
      </c>
      <c r="AT217" s="83" t="s">
        <v>1395</v>
      </c>
      <c r="AU217" s="83" t="s">
        <v>3606</v>
      </c>
      <c r="AV217" s="83" t="s">
        <v>3607</v>
      </c>
      <c r="AW217" s="83" t="s">
        <v>2437</v>
      </c>
      <c r="AX217" s="275">
        <v>1</v>
      </c>
      <c r="AY217" s="276" t="str">
        <f t="shared" si="87"/>
        <v>060617031</v>
      </c>
      <c r="AZ217" s="83" t="s">
        <v>3606</v>
      </c>
      <c r="BA217" s="83" t="s">
        <v>3608</v>
      </c>
      <c r="BB217" s="83" t="s">
        <v>1514</v>
      </c>
      <c r="BC217" s="83" t="s">
        <v>11</v>
      </c>
      <c r="BD217" s="83" t="s">
        <v>2484</v>
      </c>
      <c r="BE217" s="83" t="s">
        <v>2437</v>
      </c>
      <c r="BF217" s="83" t="s">
        <v>1665</v>
      </c>
      <c r="BG217" s="83" t="s">
        <v>3676</v>
      </c>
      <c r="BH217" s="77"/>
      <c r="BI217" s="83" t="s">
        <v>3611</v>
      </c>
      <c r="BJ217" s="83" t="s">
        <v>3611</v>
      </c>
      <c r="BK217" s="83" t="s">
        <v>3608</v>
      </c>
      <c r="BL217" s="83" t="s">
        <v>3612</v>
      </c>
      <c r="BM217" s="83">
        <v>2015</v>
      </c>
      <c r="BN217" s="183">
        <v>49.45</v>
      </c>
      <c r="BO217" s="183">
        <v>59.34</v>
      </c>
      <c r="BP217" s="77"/>
      <c r="BQ217" s="113">
        <f t="shared" si="102"/>
        <v>9.89</v>
      </c>
      <c r="BR217" s="275">
        <v>5</v>
      </c>
      <c r="BS217" s="94">
        <f t="shared" si="105"/>
        <v>51.428000000000004</v>
      </c>
      <c r="BT217" s="183">
        <v>50.509</v>
      </c>
      <c r="BU217" s="94">
        <f t="shared" si="88"/>
        <v>1.0589999999999975</v>
      </c>
      <c r="BV217" s="89">
        <f t="shared" si="91"/>
        <v>0.10707785642062664</v>
      </c>
      <c r="BW217" s="113">
        <f t="shared" si="106"/>
        <v>53.406000000000006</v>
      </c>
      <c r="BX217" s="183">
        <v>52.960999999999999</v>
      </c>
      <c r="BY217" s="94">
        <f t="shared" si="103"/>
        <v>3.5109999999999957</v>
      </c>
      <c r="BZ217" s="89">
        <f t="shared" si="92"/>
        <v>0.35500505561172857</v>
      </c>
      <c r="CA217" s="182">
        <f t="shared" si="93"/>
        <v>55.384</v>
      </c>
      <c r="CB217" s="130"/>
      <c r="CC217" s="94">
        <f t="shared" si="94"/>
        <v>-49.45</v>
      </c>
      <c r="CD217" s="89">
        <f t="shared" si="95"/>
        <v>-5</v>
      </c>
      <c r="CE217" s="182">
        <f t="shared" si="96"/>
        <v>57.362000000000002</v>
      </c>
      <c r="CF217" s="188"/>
      <c r="CG217" s="182">
        <f t="shared" si="107"/>
        <v>-49.45</v>
      </c>
      <c r="CH217" s="89">
        <f t="shared" si="98"/>
        <v>-5</v>
      </c>
      <c r="CI217" s="94">
        <f t="shared" si="99"/>
        <v>59.34</v>
      </c>
      <c r="CJ217" s="94"/>
      <c r="CK217" s="182">
        <f t="shared" si="108"/>
        <v>-49.45</v>
      </c>
      <c r="CL217" s="89">
        <f t="shared" si="101"/>
        <v>-5</v>
      </c>
      <c r="CM217" s="89"/>
      <c r="CN217" s="188"/>
      <c r="CO217" s="188"/>
      <c r="CP217" s="188"/>
      <c r="CQ217" s="188"/>
      <c r="CS217" s="24">
        <v>217</v>
      </c>
    </row>
    <row r="218" spans="1:97" ht="256.5" x14ac:dyDescent="0.25">
      <c r="A218" s="276">
        <v>24</v>
      </c>
      <c r="B218" s="269" t="s">
        <v>4575</v>
      </c>
      <c r="C218" s="269" t="s">
        <v>1269</v>
      </c>
      <c r="D218" s="189" t="s">
        <v>408</v>
      </c>
      <c r="E218" s="276" t="s">
        <v>470</v>
      </c>
      <c r="F218" s="189" t="s">
        <v>468</v>
      </c>
      <c r="G218" s="172">
        <v>3</v>
      </c>
      <c r="H218" s="276" t="s">
        <v>472</v>
      </c>
      <c r="I218" s="276">
        <v>170</v>
      </c>
      <c r="J218" s="276" t="s">
        <v>473</v>
      </c>
      <c r="K218" s="276" t="s">
        <v>978</v>
      </c>
      <c r="L218" s="189" t="s">
        <v>474</v>
      </c>
      <c r="M218" s="276" t="s">
        <v>439</v>
      </c>
      <c r="N218" s="189" t="s">
        <v>440</v>
      </c>
      <c r="O218" s="189" t="s">
        <v>75</v>
      </c>
      <c r="P218" s="276" t="s">
        <v>189</v>
      </c>
      <c r="Q218" s="276" t="s">
        <v>440</v>
      </c>
      <c r="R218" s="276"/>
      <c r="S218" s="276"/>
      <c r="T218" s="276" t="s">
        <v>65</v>
      </c>
      <c r="U218" s="276"/>
      <c r="V218" s="276"/>
      <c r="W218" s="276" t="s">
        <v>1325</v>
      </c>
      <c r="X218" s="173" t="e">
        <f t="shared" si="109"/>
        <v>#DIV/0!</v>
      </c>
      <c r="Y218" s="276">
        <v>0</v>
      </c>
      <c r="Z218" s="276">
        <v>1</v>
      </c>
      <c r="AA218" s="276" t="s">
        <v>3597</v>
      </c>
      <c r="AB218" s="276"/>
      <c r="AC218" s="275"/>
      <c r="AD218" s="164" t="s">
        <v>1302</v>
      </c>
      <c r="AE218" s="189" t="s">
        <v>3613</v>
      </c>
      <c r="AF218" s="189" t="s">
        <v>3614</v>
      </c>
      <c r="AG218" s="276" t="s">
        <v>1236</v>
      </c>
      <c r="AH218" s="77"/>
      <c r="AI218" s="275">
        <v>4</v>
      </c>
      <c r="AJ218" s="83" t="str">
        <f t="shared" si="90"/>
        <v>06061704</v>
      </c>
      <c r="AK218" s="189" t="s">
        <v>3680</v>
      </c>
      <c r="AL218" s="189" t="s">
        <v>3601</v>
      </c>
      <c r="AM218" s="189" t="s">
        <v>1347</v>
      </c>
      <c r="AN218" s="83" t="s">
        <v>3602</v>
      </c>
      <c r="AO218" s="83" t="s">
        <v>3673</v>
      </c>
      <c r="AP218" s="189" t="s">
        <v>3674</v>
      </c>
      <c r="AQ218" s="83" t="s">
        <v>3902</v>
      </c>
      <c r="AR218" s="83" t="s">
        <v>3675</v>
      </c>
      <c r="AS218" s="83" t="s">
        <v>3606</v>
      </c>
      <c r="AT218" s="83" t="s">
        <v>1395</v>
      </c>
      <c r="AU218" s="83" t="s">
        <v>3606</v>
      </c>
      <c r="AV218" s="83" t="s">
        <v>3607</v>
      </c>
      <c r="AW218" s="83" t="s">
        <v>2437</v>
      </c>
      <c r="AX218" s="275">
        <v>1</v>
      </c>
      <c r="AY218" s="276" t="str">
        <f t="shared" si="87"/>
        <v>060617041</v>
      </c>
      <c r="AZ218" s="83" t="s">
        <v>3606</v>
      </c>
      <c r="BA218" s="83" t="s">
        <v>3608</v>
      </c>
      <c r="BB218" s="83" t="s">
        <v>1514</v>
      </c>
      <c r="BC218" s="83" t="s">
        <v>11</v>
      </c>
      <c r="BD218" s="83" t="s">
        <v>2484</v>
      </c>
      <c r="BE218" s="83" t="s">
        <v>2437</v>
      </c>
      <c r="BF218" s="83" t="s">
        <v>1665</v>
      </c>
      <c r="BG218" s="83" t="s">
        <v>3676</v>
      </c>
      <c r="BH218" s="77"/>
      <c r="BI218" s="83" t="s">
        <v>3611</v>
      </c>
      <c r="BJ218" s="83" t="s">
        <v>3611</v>
      </c>
      <c r="BK218" s="83" t="s">
        <v>3608</v>
      </c>
      <c r="BL218" s="83" t="s">
        <v>3612</v>
      </c>
      <c r="BM218" s="83">
        <v>2015</v>
      </c>
      <c r="BN218" s="113">
        <v>2393</v>
      </c>
      <c r="BO218" s="113">
        <v>3379</v>
      </c>
      <c r="BP218" s="77"/>
      <c r="BQ218" s="113">
        <f t="shared" si="102"/>
        <v>986</v>
      </c>
      <c r="BR218" s="275">
        <v>5</v>
      </c>
      <c r="BS218" s="94">
        <f t="shared" si="105"/>
        <v>2590.1999999999998</v>
      </c>
      <c r="BT218" s="113">
        <v>2497</v>
      </c>
      <c r="BU218" s="94">
        <f t="shared" si="88"/>
        <v>104</v>
      </c>
      <c r="BV218" s="94">
        <f t="shared" si="91"/>
        <v>0.10547667342799188</v>
      </c>
      <c r="BW218" s="113">
        <f t="shared" si="106"/>
        <v>2787.4</v>
      </c>
      <c r="BX218" s="113">
        <v>2322</v>
      </c>
      <c r="BY218" s="94">
        <f t="shared" si="103"/>
        <v>-71</v>
      </c>
      <c r="BZ218" s="180">
        <f t="shared" si="92"/>
        <v>-7.2008113590263698E-2</v>
      </c>
      <c r="CA218" s="182">
        <f t="shared" si="93"/>
        <v>2984.6</v>
      </c>
      <c r="CB218" s="130"/>
      <c r="CC218" s="94">
        <f t="shared" si="94"/>
        <v>-2393</v>
      </c>
      <c r="CD218" s="94">
        <f t="shared" si="95"/>
        <v>-2.426977687626775</v>
      </c>
      <c r="CE218" s="182">
        <f t="shared" si="96"/>
        <v>3181.8</v>
      </c>
      <c r="CF218" s="188"/>
      <c r="CG218" s="182">
        <f t="shared" si="107"/>
        <v>-2393</v>
      </c>
      <c r="CH218" s="94">
        <f t="shared" si="98"/>
        <v>-2.426977687626775</v>
      </c>
      <c r="CI218" s="94">
        <f t="shared" si="99"/>
        <v>3379</v>
      </c>
      <c r="CJ218" s="94"/>
      <c r="CK218" s="182">
        <f t="shared" si="108"/>
        <v>-2393</v>
      </c>
      <c r="CL218" s="180">
        <f t="shared" si="101"/>
        <v>-2.426977687626775</v>
      </c>
      <c r="CM218" s="89"/>
      <c r="CN218" s="188"/>
      <c r="CO218" s="188"/>
      <c r="CP218" s="188"/>
      <c r="CQ218" s="188"/>
      <c r="CS218" s="24">
        <v>218</v>
      </c>
    </row>
    <row r="219" spans="1:97" ht="256.5" x14ac:dyDescent="0.25">
      <c r="A219" s="276">
        <v>24</v>
      </c>
      <c r="B219" s="269" t="s">
        <v>4575</v>
      </c>
      <c r="C219" s="269" t="s">
        <v>1269</v>
      </c>
      <c r="D219" s="189" t="s">
        <v>408</v>
      </c>
      <c r="E219" s="276" t="s">
        <v>470</v>
      </c>
      <c r="F219" s="189" t="s">
        <v>468</v>
      </c>
      <c r="G219" s="172">
        <v>3</v>
      </c>
      <c r="H219" s="276" t="s">
        <v>472</v>
      </c>
      <c r="I219" s="276">
        <v>170</v>
      </c>
      <c r="J219" s="276" t="s">
        <v>473</v>
      </c>
      <c r="K219" s="276" t="s">
        <v>978</v>
      </c>
      <c r="L219" s="189" t="s">
        <v>474</v>
      </c>
      <c r="M219" s="276" t="s">
        <v>439</v>
      </c>
      <c r="N219" s="189" t="s">
        <v>440</v>
      </c>
      <c r="O219" s="189" t="s">
        <v>75</v>
      </c>
      <c r="P219" s="276" t="s">
        <v>189</v>
      </c>
      <c r="Q219" s="276" t="s">
        <v>440</v>
      </c>
      <c r="R219" s="276"/>
      <c r="S219" s="276"/>
      <c r="T219" s="276" t="s">
        <v>65</v>
      </c>
      <c r="U219" s="276"/>
      <c r="V219" s="276"/>
      <c r="W219" s="276" t="s">
        <v>1325</v>
      </c>
      <c r="X219" s="173" t="e">
        <f t="shared" si="109"/>
        <v>#DIV/0!</v>
      </c>
      <c r="Y219" s="276">
        <v>0</v>
      </c>
      <c r="Z219" s="276">
        <v>1</v>
      </c>
      <c r="AA219" s="276" t="s">
        <v>3597</v>
      </c>
      <c r="AB219" s="276"/>
      <c r="AC219" s="275"/>
      <c r="AD219" s="164" t="s">
        <v>1302</v>
      </c>
      <c r="AE219" s="189" t="s">
        <v>3613</v>
      </c>
      <c r="AF219" s="189" t="s">
        <v>3614</v>
      </c>
      <c r="AG219" s="276" t="s">
        <v>1236</v>
      </c>
      <c r="AH219" s="77"/>
      <c r="AI219" s="275">
        <v>5</v>
      </c>
      <c r="AJ219" s="83" t="str">
        <f t="shared" si="90"/>
        <v>06061705</v>
      </c>
      <c r="AK219" s="189" t="s">
        <v>3681</v>
      </c>
      <c r="AL219" s="189" t="s">
        <v>3601</v>
      </c>
      <c r="AM219" s="189" t="s">
        <v>1347</v>
      </c>
      <c r="AN219" s="83" t="s">
        <v>3602</v>
      </c>
      <c r="AO219" s="83" t="s">
        <v>3673</v>
      </c>
      <c r="AP219" s="189" t="s">
        <v>3674</v>
      </c>
      <c r="AQ219" s="83" t="s">
        <v>3902</v>
      </c>
      <c r="AR219" s="83" t="s">
        <v>3675</v>
      </c>
      <c r="AS219" s="83" t="s">
        <v>3606</v>
      </c>
      <c r="AT219" s="83" t="s">
        <v>1395</v>
      </c>
      <c r="AU219" s="83" t="s">
        <v>3606</v>
      </c>
      <c r="AV219" s="83" t="s">
        <v>3607</v>
      </c>
      <c r="AW219" s="83" t="s">
        <v>2437</v>
      </c>
      <c r="AX219" s="275">
        <v>1</v>
      </c>
      <c r="AY219" s="276" t="str">
        <f t="shared" si="87"/>
        <v>060617051</v>
      </c>
      <c r="AZ219" s="83" t="s">
        <v>3606</v>
      </c>
      <c r="BA219" s="83" t="s">
        <v>3608</v>
      </c>
      <c r="BB219" s="83" t="s">
        <v>1514</v>
      </c>
      <c r="BC219" s="83" t="s">
        <v>11</v>
      </c>
      <c r="BD219" s="83" t="s">
        <v>2484</v>
      </c>
      <c r="BE219" s="83" t="s">
        <v>2437</v>
      </c>
      <c r="BF219" s="83" t="s">
        <v>1665</v>
      </c>
      <c r="BG219" s="83" t="s">
        <v>3676</v>
      </c>
      <c r="BH219" s="77"/>
      <c r="BI219" s="83" t="s">
        <v>3611</v>
      </c>
      <c r="BJ219" s="83" t="s">
        <v>3611</v>
      </c>
      <c r="BK219" s="83" t="s">
        <v>3608</v>
      </c>
      <c r="BL219" s="83" t="s">
        <v>3612</v>
      </c>
      <c r="BM219" s="83">
        <v>2015</v>
      </c>
      <c r="BN219" s="113">
        <v>623</v>
      </c>
      <c r="BO219" s="113">
        <v>810</v>
      </c>
      <c r="BP219" s="77"/>
      <c r="BQ219" s="113">
        <f t="shared" si="102"/>
        <v>187</v>
      </c>
      <c r="BR219" s="275">
        <v>5</v>
      </c>
      <c r="BS219" s="94">
        <f t="shared" si="105"/>
        <v>660.4</v>
      </c>
      <c r="BT219" s="113">
        <v>551</v>
      </c>
      <c r="BU219" s="94">
        <f t="shared" si="88"/>
        <v>-72</v>
      </c>
      <c r="BV219" s="89">
        <f t="shared" si="91"/>
        <v>-0.38502673796791442</v>
      </c>
      <c r="BW219" s="113">
        <f t="shared" si="106"/>
        <v>697.8</v>
      </c>
      <c r="BX219" s="113">
        <v>604</v>
      </c>
      <c r="BY219" s="94">
        <f t="shared" si="103"/>
        <v>-19</v>
      </c>
      <c r="BZ219" s="89">
        <f t="shared" si="92"/>
        <v>-0.10160427807486631</v>
      </c>
      <c r="CA219" s="182">
        <f t="shared" si="93"/>
        <v>735.2</v>
      </c>
      <c r="CB219" s="130"/>
      <c r="CC219" s="94">
        <f t="shared" si="94"/>
        <v>-623</v>
      </c>
      <c r="CD219" s="89">
        <f t="shared" si="95"/>
        <v>-3.3315508021390374</v>
      </c>
      <c r="CE219" s="182">
        <f t="shared" si="96"/>
        <v>772.6</v>
      </c>
      <c r="CF219" s="188"/>
      <c r="CG219" s="182">
        <f t="shared" si="107"/>
        <v>-623</v>
      </c>
      <c r="CH219" s="89">
        <f t="shared" si="98"/>
        <v>-3.3315508021390374</v>
      </c>
      <c r="CI219" s="94">
        <f t="shared" si="99"/>
        <v>810</v>
      </c>
      <c r="CJ219" s="94"/>
      <c r="CK219" s="182">
        <f t="shared" si="108"/>
        <v>-623</v>
      </c>
      <c r="CL219" s="89">
        <f t="shared" si="101"/>
        <v>-3.3315508021390374</v>
      </c>
      <c r="CM219" s="89"/>
      <c r="CN219" s="188"/>
      <c r="CO219" s="188"/>
      <c r="CP219" s="188"/>
      <c r="CQ219" s="188"/>
      <c r="CS219" s="2">
        <v>219</v>
      </c>
    </row>
    <row r="220" spans="1:97" ht="285" customHeight="1" x14ac:dyDescent="0.25">
      <c r="A220" s="276">
        <v>24</v>
      </c>
      <c r="B220" s="269" t="s">
        <v>4575</v>
      </c>
      <c r="C220" s="269" t="s">
        <v>1269</v>
      </c>
      <c r="D220" s="189" t="s">
        <v>408</v>
      </c>
      <c r="E220" s="276" t="s">
        <v>470</v>
      </c>
      <c r="F220" s="189" t="s">
        <v>468</v>
      </c>
      <c r="G220" s="172">
        <v>3</v>
      </c>
      <c r="H220" s="276" t="s">
        <v>472</v>
      </c>
      <c r="I220" s="276">
        <v>170</v>
      </c>
      <c r="J220" s="276" t="s">
        <v>473</v>
      </c>
      <c r="K220" s="276" t="s">
        <v>978</v>
      </c>
      <c r="L220" s="189" t="s">
        <v>474</v>
      </c>
      <c r="M220" s="276" t="s">
        <v>439</v>
      </c>
      <c r="N220" s="189" t="s">
        <v>440</v>
      </c>
      <c r="O220" s="189" t="s">
        <v>75</v>
      </c>
      <c r="P220" s="276" t="s">
        <v>189</v>
      </c>
      <c r="Q220" s="276" t="s">
        <v>440</v>
      </c>
      <c r="R220" s="276"/>
      <c r="S220" s="276"/>
      <c r="T220" s="276" t="s">
        <v>65</v>
      </c>
      <c r="U220" s="276"/>
      <c r="V220" s="276"/>
      <c r="W220" s="276" t="s">
        <v>1325</v>
      </c>
      <c r="X220" s="173" t="e">
        <f t="shared" si="109"/>
        <v>#DIV/0!</v>
      </c>
      <c r="Y220" s="276">
        <v>0</v>
      </c>
      <c r="Z220" s="276">
        <v>1</v>
      </c>
      <c r="AA220" s="276" t="s">
        <v>3597</v>
      </c>
      <c r="AB220" s="276"/>
      <c r="AC220" s="275"/>
      <c r="AD220" s="164" t="s">
        <v>1302</v>
      </c>
      <c r="AE220" s="189" t="s">
        <v>3613</v>
      </c>
      <c r="AF220" s="189" t="s">
        <v>3614</v>
      </c>
      <c r="AG220" s="276" t="s">
        <v>1236</v>
      </c>
      <c r="AH220" s="77"/>
      <c r="AI220" s="275">
        <v>6</v>
      </c>
      <c r="AJ220" s="83" t="str">
        <f t="shared" si="90"/>
        <v>06061706</v>
      </c>
      <c r="AK220" s="189" t="s">
        <v>3682</v>
      </c>
      <c r="AL220" s="189" t="s">
        <v>3601</v>
      </c>
      <c r="AM220" s="189" t="s">
        <v>1347</v>
      </c>
      <c r="AN220" s="83" t="s">
        <v>3602</v>
      </c>
      <c r="AO220" s="83" t="s">
        <v>3673</v>
      </c>
      <c r="AP220" s="189" t="s">
        <v>3674</v>
      </c>
      <c r="AQ220" s="83" t="s">
        <v>3902</v>
      </c>
      <c r="AR220" s="83" t="s">
        <v>3675</v>
      </c>
      <c r="AS220" s="83" t="s">
        <v>3606</v>
      </c>
      <c r="AT220" s="83" t="s">
        <v>1395</v>
      </c>
      <c r="AU220" s="83" t="s">
        <v>3606</v>
      </c>
      <c r="AV220" s="83" t="s">
        <v>3607</v>
      </c>
      <c r="AW220" s="83" t="s">
        <v>2437</v>
      </c>
      <c r="AX220" s="275">
        <v>1</v>
      </c>
      <c r="AY220" s="276" t="str">
        <f t="shared" si="87"/>
        <v>060617061</v>
      </c>
      <c r="AZ220" s="83" t="s">
        <v>3606</v>
      </c>
      <c r="BA220" s="83" t="s">
        <v>3608</v>
      </c>
      <c r="BB220" s="83" t="s">
        <v>3683</v>
      </c>
      <c r="BC220" s="83" t="s">
        <v>11</v>
      </c>
      <c r="BD220" s="83" t="s">
        <v>2484</v>
      </c>
      <c r="BE220" s="83" t="s">
        <v>2437</v>
      </c>
      <c r="BF220" s="83" t="s">
        <v>1665</v>
      </c>
      <c r="BG220" s="83" t="s">
        <v>3684</v>
      </c>
      <c r="BH220" s="77"/>
      <c r="BI220" s="83" t="s">
        <v>3611</v>
      </c>
      <c r="BJ220" s="83" t="s">
        <v>3611</v>
      </c>
      <c r="BK220" s="83" t="s">
        <v>3608</v>
      </c>
      <c r="BL220" s="83" t="s">
        <v>3612</v>
      </c>
      <c r="BM220" s="83">
        <v>2015</v>
      </c>
      <c r="BN220" s="113">
        <v>1721</v>
      </c>
      <c r="BO220" s="113">
        <v>1982</v>
      </c>
      <c r="BP220" s="77"/>
      <c r="BQ220" s="130">
        <f t="shared" si="102"/>
        <v>261</v>
      </c>
      <c r="BR220" s="275">
        <v>5</v>
      </c>
      <c r="BS220" s="94">
        <f t="shared" si="105"/>
        <v>1773.2</v>
      </c>
      <c r="BT220" s="113">
        <v>1433</v>
      </c>
      <c r="BU220" s="94">
        <f t="shared" si="88"/>
        <v>-288</v>
      </c>
      <c r="BV220" s="89">
        <f t="shared" si="91"/>
        <v>-1.103448275862069</v>
      </c>
      <c r="BW220" s="130">
        <f t="shared" si="106"/>
        <v>1825.4</v>
      </c>
      <c r="BX220" s="113">
        <v>885</v>
      </c>
      <c r="BY220" s="94">
        <f t="shared" si="103"/>
        <v>-836</v>
      </c>
      <c r="BZ220" s="89">
        <f t="shared" si="92"/>
        <v>-3.2030651340996168</v>
      </c>
      <c r="CA220" s="182">
        <f t="shared" si="93"/>
        <v>1877.6</v>
      </c>
      <c r="CB220" s="130"/>
      <c r="CC220" s="94">
        <f t="shared" si="94"/>
        <v>-1721</v>
      </c>
      <c r="CD220" s="89">
        <f t="shared" si="95"/>
        <v>-6.5938697318007664</v>
      </c>
      <c r="CE220" s="182">
        <f t="shared" si="96"/>
        <v>1929.8</v>
      </c>
      <c r="CF220" s="188"/>
      <c r="CG220" s="182">
        <f t="shared" si="107"/>
        <v>-1721</v>
      </c>
      <c r="CH220" s="89">
        <f t="shared" si="98"/>
        <v>-6.5938697318007664</v>
      </c>
      <c r="CI220" s="94">
        <f t="shared" si="99"/>
        <v>1982</v>
      </c>
      <c r="CJ220" s="94"/>
      <c r="CK220" s="182">
        <f t="shared" si="108"/>
        <v>-1721</v>
      </c>
      <c r="CL220" s="89">
        <f t="shared" si="101"/>
        <v>-6.5938697318007664</v>
      </c>
      <c r="CM220" s="89"/>
      <c r="CN220" s="188"/>
      <c r="CO220" s="188"/>
      <c r="CP220" s="188"/>
      <c r="CQ220" s="188"/>
      <c r="CS220" s="24">
        <v>220</v>
      </c>
    </row>
    <row r="221" spans="1:97" ht="171" customHeight="1" x14ac:dyDescent="0.25">
      <c r="A221" s="276">
        <v>24</v>
      </c>
      <c r="B221" s="269" t="s">
        <v>4575</v>
      </c>
      <c r="C221" s="269" t="s">
        <v>1269</v>
      </c>
      <c r="D221" s="189" t="s">
        <v>408</v>
      </c>
      <c r="E221" s="276" t="s">
        <v>470</v>
      </c>
      <c r="F221" s="189" t="s">
        <v>468</v>
      </c>
      <c r="G221" s="172">
        <v>3</v>
      </c>
      <c r="H221" s="276" t="s">
        <v>472</v>
      </c>
      <c r="I221" s="276">
        <v>170</v>
      </c>
      <c r="J221" s="276" t="s">
        <v>473</v>
      </c>
      <c r="K221" s="276" t="s">
        <v>978</v>
      </c>
      <c r="L221" s="189" t="s">
        <v>474</v>
      </c>
      <c r="M221" s="276" t="s">
        <v>439</v>
      </c>
      <c r="N221" s="189" t="s">
        <v>440</v>
      </c>
      <c r="O221" s="189" t="s">
        <v>75</v>
      </c>
      <c r="P221" s="276" t="s">
        <v>189</v>
      </c>
      <c r="Q221" s="276" t="s">
        <v>440</v>
      </c>
      <c r="R221" s="276"/>
      <c r="S221" s="276"/>
      <c r="T221" s="276" t="s">
        <v>65</v>
      </c>
      <c r="U221" s="276"/>
      <c r="V221" s="276"/>
      <c r="W221" s="276" t="s">
        <v>1325</v>
      </c>
      <c r="X221" s="173" t="e">
        <f t="shared" si="109"/>
        <v>#DIV/0!</v>
      </c>
      <c r="Y221" s="276">
        <v>0</v>
      </c>
      <c r="Z221" s="276">
        <v>1</v>
      </c>
      <c r="AA221" s="276" t="s">
        <v>3597</v>
      </c>
      <c r="AB221" s="276"/>
      <c r="AC221" s="275"/>
      <c r="AD221" s="164" t="s">
        <v>1302</v>
      </c>
      <c r="AE221" s="189" t="s">
        <v>3613</v>
      </c>
      <c r="AF221" s="189" t="s">
        <v>3614</v>
      </c>
      <c r="AG221" s="276" t="s">
        <v>1236</v>
      </c>
      <c r="AH221" s="77"/>
      <c r="AI221" s="275">
        <v>7</v>
      </c>
      <c r="AJ221" s="83" t="str">
        <f t="shared" si="90"/>
        <v>06061707</v>
      </c>
      <c r="AK221" s="189" t="s">
        <v>3685</v>
      </c>
      <c r="AL221" s="189" t="s">
        <v>3601</v>
      </c>
      <c r="AM221" s="189" t="s">
        <v>1347</v>
      </c>
      <c r="AN221" s="83" t="s">
        <v>3602</v>
      </c>
      <c r="AO221" s="83" t="s">
        <v>3673</v>
      </c>
      <c r="AP221" s="189" t="s">
        <v>3674</v>
      </c>
      <c r="AQ221" s="83" t="s">
        <v>3902</v>
      </c>
      <c r="AR221" s="83" t="s">
        <v>3675</v>
      </c>
      <c r="AS221" s="83" t="s">
        <v>3606</v>
      </c>
      <c r="AT221" s="83" t="s">
        <v>1395</v>
      </c>
      <c r="AU221" s="83" t="s">
        <v>3606</v>
      </c>
      <c r="AV221" s="83" t="s">
        <v>3607</v>
      </c>
      <c r="AW221" s="83" t="s">
        <v>2437</v>
      </c>
      <c r="AX221" s="275">
        <v>1</v>
      </c>
      <c r="AY221" s="276" t="str">
        <f t="shared" si="87"/>
        <v>060617071</v>
      </c>
      <c r="AZ221" s="83" t="s">
        <v>3606</v>
      </c>
      <c r="BA221" s="83" t="s">
        <v>3608</v>
      </c>
      <c r="BB221" s="83" t="s">
        <v>3683</v>
      </c>
      <c r="BC221" s="83" t="s">
        <v>11</v>
      </c>
      <c r="BD221" s="83" t="s">
        <v>2484</v>
      </c>
      <c r="BE221" s="83" t="s">
        <v>2437</v>
      </c>
      <c r="BF221" s="83" t="s">
        <v>1665</v>
      </c>
      <c r="BG221" s="83" t="s">
        <v>3684</v>
      </c>
      <c r="BH221" s="77"/>
      <c r="BI221" s="83" t="s">
        <v>3611</v>
      </c>
      <c r="BJ221" s="83" t="s">
        <v>3611</v>
      </c>
      <c r="BK221" s="83" t="s">
        <v>3608</v>
      </c>
      <c r="BL221" s="83" t="s">
        <v>3612</v>
      </c>
      <c r="BM221" s="83">
        <v>2015</v>
      </c>
      <c r="BN221" s="113">
        <v>14856</v>
      </c>
      <c r="BO221" s="113">
        <v>17084</v>
      </c>
      <c r="BP221" s="77"/>
      <c r="BQ221" s="130">
        <f t="shared" si="102"/>
        <v>2228</v>
      </c>
      <c r="BR221" s="275">
        <v>5</v>
      </c>
      <c r="BS221" s="94">
        <f t="shared" si="105"/>
        <v>15301.6</v>
      </c>
      <c r="BT221" s="113">
        <v>15102</v>
      </c>
      <c r="BU221" s="94">
        <f t="shared" si="88"/>
        <v>246</v>
      </c>
      <c r="BV221" s="94">
        <f t="shared" si="91"/>
        <v>0.11041292639138241</v>
      </c>
      <c r="BW221" s="130">
        <f t="shared" si="106"/>
        <v>15747.2</v>
      </c>
      <c r="BX221" s="113">
        <v>14134</v>
      </c>
      <c r="BY221" s="94">
        <f t="shared" si="103"/>
        <v>-722</v>
      </c>
      <c r="BZ221" s="180">
        <f t="shared" si="92"/>
        <v>-0.32405745062836627</v>
      </c>
      <c r="CA221" s="182">
        <f t="shared" si="93"/>
        <v>16192.8</v>
      </c>
      <c r="CB221" s="130"/>
      <c r="CC221" s="94">
        <f t="shared" si="94"/>
        <v>-14856</v>
      </c>
      <c r="CD221" s="94">
        <f t="shared" si="95"/>
        <v>-6.6678635547576306</v>
      </c>
      <c r="CE221" s="182">
        <f t="shared" si="96"/>
        <v>16638.400000000001</v>
      </c>
      <c r="CF221" s="188"/>
      <c r="CG221" s="182">
        <f t="shared" si="107"/>
        <v>-14856</v>
      </c>
      <c r="CH221" s="94">
        <f t="shared" si="98"/>
        <v>-6.6678635547576306</v>
      </c>
      <c r="CI221" s="94">
        <f t="shared" si="99"/>
        <v>17084</v>
      </c>
      <c r="CJ221" s="94"/>
      <c r="CK221" s="182">
        <f t="shared" si="108"/>
        <v>-14856</v>
      </c>
      <c r="CL221" s="180">
        <f t="shared" si="101"/>
        <v>-6.6678635547576306</v>
      </c>
      <c r="CM221" s="89"/>
      <c r="CN221" s="188"/>
      <c r="CO221" s="188"/>
      <c r="CP221" s="188"/>
      <c r="CQ221" s="188"/>
      <c r="CS221" s="24">
        <v>221</v>
      </c>
    </row>
    <row r="222" spans="1:97" ht="242.25" customHeight="1" x14ac:dyDescent="0.25">
      <c r="A222" s="276">
        <v>24</v>
      </c>
      <c r="B222" s="269" t="s">
        <v>4575</v>
      </c>
      <c r="C222" s="269" t="s">
        <v>1269</v>
      </c>
      <c r="D222" s="189" t="s">
        <v>408</v>
      </c>
      <c r="E222" s="276" t="s">
        <v>470</v>
      </c>
      <c r="F222" s="189" t="s">
        <v>468</v>
      </c>
      <c r="G222" s="172">
        <v>3</v>
      </c>
      <c r="H222" s="276" t="s">
        <v>472</v>
      </c>
      <c r="I222" s="276">
        <v>170</v>
      </c>
      <c r="J222" s="276" t="s">
        <v>473</v>
      </c>
      <c r="K222" s="276" t="s">
        <v>978</v>
      </c>
      <c r="L222" s="189" t="s">
        <v>474</v>
      </c>
      <c r="M222" s="276" t="s">
        <v>439</v>
      </c>
      <c r="N222" s="189" t="s">
        <v>440</v>
      </c>
      <c r="O222" s="189" t="s">
        <v>75</v>
      </c>
      <c r="P222" s="276" t="s">
        <v>189</v>
      </c>
      <c r="Q222" s="276" t="s">
        <v>440</v>
      </c>
      <c r="R222" s="276"/>
      <c r="S222" s="276"/>
      <c r="T222" s="276" t="s">
        <v>65</v>
      </c>
      <c r="U222" s="276"/>
      <c r="V222" s="276"/>
      <c r="W222" s="276" t="s">
        <v>1325</v>
      </c>
      <c r="X222" s="173" t="e">
        <f t="shared" si="109"/>
        <v>#DIV/0!</v>
      </c>
      <c r="Y222" s="276">
        <v>0</v>
      </c>
      <c r="Z222" s="276">
        <v>1</v>
      </c>
      <c r="AA222" s="276" t="s">
        <v>3597</v>
      </c>
      <c r="AB222" s="276"/>
      <c r="AC222" s="275"/>
      <c r="AD222" s="164" t="s">
        <v>1302</v>
      </c>
      <c r="AE222" s="189" t="s">
        <v>3613</v>
      </c>
      <c r="AF222" s="189" t="s">
        <v>3614</v>
      </c>
      <c r="AG222" s="276" t="s">
        <v>1236</v>
      </c>
      <c r="AH222" s="77"/>
      <c r="AI222" s="275">
        <v>8</v>
      </c>
      <c r="AJ222" s="83" t="str">
        <f t="shared" si="90"/>
        <v>06061708</v>
      </c>
      <c r="AK222" s="189" t="s">
        <v>3686</v>
      </c>
      <c r="AL222" s="189" t="s">
        <v>3601</v>
      </c>
      <c r="AM222" s="189" t="s">
        <v>1347</v>
      </c>
      <c r="AN222" s="83" t="s">
        <v>3602</v>
      </c>
      <c r="AO222" s="83" t="s">
        <v>3673</v>
      </c>
      <c r="AP222" s="189" t="s">
        <v>3674</v>
      </c>
      <c r="AQ222" s="83" t="s">
        <v>3902</v>
      </c>
      <c r="AR222" s="83" t="s">
        <v>3675</v>
      </c>
      <c r="AS222" s="83" t="s">
        <v>3606</v>
      </c>
      <c r="AT222" s="83" t="s">
        <v>1395</v>
      </c>
      <c r="AU222" s="83" t="s">
        <v>3606</v>
      </c>
      <c r="AV222" s="83" t="s">
        <v>3607</v>
      </c>
      <c r="AW222" s="83" t="s">
        <v>2437</v>
      </c>
      <c r="AX222" s="275">
        <v>1</v>
      </c>
      <c r="AY222" s="276" t="str">
        <f t="shared" si="87"/>
        <v>060617081</v>
      </c>
      <c r="AZ222" s="83" t="s">
        <v>3606</v>
      </c>
      <c r="BA222" s="83" t="s">
        <v>3608</v>
      </c>
      <c r="BB222" s="83" t="s">
        <v>3683</v>
      </c>
      <c r="BC222" s="83" t="s">
        <v>11</v>
      </c>
      <c r="BD222" s="83" t="s">
        <v>2484</v>
      </c>
      <c r="BE222" s="83" t="s">
        <v>2437</v>
      </c>
      <c r="BF222" s="83" t="s">
        <v>1665</v>
      </c>
      <c r="BG222" s="83" t="s">
        <v>3684</v>
      </c>
      <c r="BH222" s="77"/>
      <c r="BI222" s="83" t="s">
        <v>3611</v>
      </c>
      <c r="BJ222" s="83" t="s">
        <v>3611</v>
      </c>
      <c r="BK222" s="83" t="s">
        <v>3608</v>
      </c>
      <c r="BL222" s="83" t="s">
        <v>3612</v>
      </c>
      <c r="BM222" s="83">
        <v>2015</v>
      </c>
      <c r="BN222" s="113">
        <v>16828</v>
      </c>
      <c r="BO222" s="113">
        <v>19352</v>
      </c>
      <c r="BP222" s="77"/>
      <c r="BQ222" s="130">
        <f t="shared" si="102"/>
        <v>2524</v>
      </c>
      <c r="BR222" s="275">
        <v>5</v>
      </c>
      <c r="BS222" s="94">
        <f t="shared" si="105"/>
        <v>17332.8</v>
      </c>
      <c r="BT222" s="113">
        <v>16966</v>
      </c>
      <c r="BU222" s="94">
        <f t="shared" si="88"/>
        <v>138</v>
      </c>
      <c r="BV222" s="94">
        <f t="shared" si="91"/>
        <v>5.4675118858954042E-2</v>
      </c>
      <c r="BW222" s="130">
        <f t="shared" si="106"/>
        <v>17837.599999999999</v>
      </c>
      <c r="BX222" s="113">
        <v>17221</v>
      </c>
      <c r="BY222" s="94">
        <f t="shared" si="103"/>
        <v>393</v>
      </c>
      <c r="BZ222" s="89">
        <f t="shared" si="92"/>
        <v>0.1557052297939778</v>
      </c>
      <c r="CA222" s="182">
        <f t="shared" si="93"/>
        <v>18342.400000000001</v>
      </c>
      <c r="CB222" s="130"/>
      <c r="CC222" s="94">
        <f t="shared" si="94"/>
        <v>-16828</v>
      </c>
      <c r="CD222" s="89">
        <f t="shared" si="95"/>
        <v>-6.6671949286846273</v>
      </c>
      <c r="CE222" s="182">
        <f t="shared" si="96"/>
        <v>18847.2</v>
      </c>
      <c r="CF222" s="188"/>
      <c r="CG222" s="182">
        <f t="shared" si="107"/>
        <v>-16828</v>
      </c>
      <c r="CH222" s="89">
        <f t="shared" si="98"/>
        <v>-6.6671949286846273</v>
      </c>
      <c r="CI222" s="94">
        <f t="shared" si="99"/>
        <v>19352</v>
      </c>
      <c r="CJ222" s="94"/>
      <c r="CK222" s="182">
        <f t="shared" si="108"/>
        <v>-16828</v>
      </c>
      <c r="CL222" s="89">
        <f t="shared" si="101"/>
        <v>-6.6671949286846273</v>
      </c>
      <c r="CM222" s="89"/>
      <c r="CN222" s="188"/>
      <c r="CO222" s="188"/>
      <c r="CP222" s="188"/>
      <c r="CQ222" s="188"/>
      <c r="CS222" s="2">
        <v>222</v>
      </c>
    </row>
    <row r="223" spans="1:97" ht="242.25" customHeight="1" x14ac:dyDescent="0.25">
      <c r="A223" s="276">
        <v>24</v>
      </c>
      <c r="B223" s="269" t="s">
        <v>4575</v>
      </c>
      <c r="C223" s="269" t="s">
        <v>1269</v>
      </c>
      <c r="D223" s="189" t="s">
        <v>408</v>
      </c>
      <c r="E223" s="276" t="s">
        <v>470</v>
      </c>
      <c r="F223" s="189" t="s">
        <v>468</v>
      </c>
      <c r="G223" s="172">
        <v>3</v>
      </c>
      <c r="H223" s="276" t="s">
        <v>472</v>
      </c>
      <c r="I223" s="276">
        <v>170</v>
      </c>
      <c r="J223" s="276" t="s">
        <v>473</v>
      </c>
      <c r="K223" s="276" t="s">
        <v>978</v>
      </c>
      <c r="L223" s="189" t="s">
        <v>474</v>
      </c>
      <c r="M223" s="276" t="s">
        <v>439</v>
      </c>
      <c r="N223" s="189" t="s">
        <v>440</v>
      </c>
      <c r="O223" s="189" t="s">
        <v>75</v>
      </c>
      <c r="P223" s="276" t="s">
        <v>189</v>
      </c>
      <c r="Q223" s="276" t="s">
        <v>440</v>
      </c>
      <c r="R223" s="276"/>
      <c r="S223" s="276"/>
      <c r="T223" s="276" t="s">
        <v>65</v>
      </c>
      <c r="U223" s="276"/>
      <c r="V223" s="276"/>
      <c r="W223" s="276" t="s">
        <v>1325</v>
      </c>
      <c r="X223" s="173" t="e">
        <f t="shared" si="109"/>
        <v>#DIV/0!</v>
      </c>
      <c r="Y223" s="276">
        <v>0</v>
      </c>
      <c r="Z223" s="276">
        <v>1</v>
      </c>
      <c r="AA223" s="276" t="s">
        <v>3597</v>
      </c>
      <c r="AB223" s="276"/>
      <c r="AC223" s="275"/>
      <c r="AD223" s="164" t="s">
        <v>1302</v>
      </c>
      <c r="AE223" s="189" t="s">
        <v>3613</v>
      </c>
      <c r="AF223" s="189" t="s">
        <v>3614</v>
      </c>
      <c r="AG223" s="276" t="s">
        <v>1236</v>
      </c>
      <c r="AH223" s="77"/>
      <c r="AI223" s="275">
        <v>9</v>
      </c>
      <c r="AJ223" s="83" t="str">
        <f t="shared" si="90"/>
        <v>06061709</v>
      </c>
      <c r="AK223" s="189" t="s">
        <v>3687</v>
      </c>
      <c r="AL223" s="189" t="s">
        <v>3601</v>
      </c>
      <c r="AM223" s="189" t="s">
        <v>1347</v>
      </c>
      <c r="AN223" s="83" t="s">
        <v>3602</v>
      </c>
      <c r="AO223" s="83" t="s">
        <v>3673</v>
      </c>
      <c r="AP223" s="189" t="s">
        <v>3674</v>
      </c>
      <c r="AQ223" s="83" t="s">
        <v>3902</v>
      </c>
      <c r="AR223" s="83" t="s">
        <v>3675</v>
      </c>
      <c r="AS223" s="83" t="s">
        <v>3606</v>
      </c>
      <c r="AT223" s="83" t="s">
        <v>1395</v>
      </c>
      <c r="AU223" s="83" t="s">
        <v>3606</v>
      </c>
      <c r="AV223" s="83" t="s">
        <v>3607</v>
      </c>
      <c r="AW223" s="83" t="s">
        <v>2437</v>
      </c>
      <c r="AX223" s="275">
        <v>1</v>
      </c>
      <c r="AY223" s="276" t="str">
        <f t="shared" si="87"/>
        <v>060617091</v>
      </c>
      <c r="AZ223" s="83" t="s">
        <v>3606</v>
      </c>
      <c r="BA223" s="83" t="s">
        <v>3608</v>
      </c>
      <c r="BB223" s="83" t="s">
        <v>3683</v>
      </c>
      <c r="BC223" s="83" t="s">
        <v>11</v>
      </c>
      <c r="BD223" s="83" t="s">
        <v>2484</v>
      </c>
      <c r="BE223" s="83" t="s">
        <v>2437</v>
      </c>
      <c r="BF223" s="83" t="s">
        <v>1665</v>
      </c>
      <c r="BG223" s="83" t="s">
        <v>3684</v>
      </c>
      <c r="BH223" s="77"/>
      <c r="BI223" s="83" t="s">
        <v>3611</v>
      </c>
      <c r="BJ223" s="83" t="s">
        <v>3611</v>
      </c>
      <c r="BK223" s="83" t="s">
        <v>3608</v>
      </c>
      <c r="BL223" s="83" t="s">
        <v>3612</v>
      </c>
      <c r="BM223" s="83">
        <v>2015</v>
      </c>
      <c r="BN223" s="113">
        <v>13803</v>
      </c>
      <c r="BO223" s="113">
        <v>16588</v>
      </c>
      <c r="BP223" s="77"/>
      <c r="BQ223" s="130">
        <f t="shared" si="102"/>
        <v>2785</v>
      </c>
      <c r="BR223" s="275">
        <v>5</v>
      </c>
      <c r="BS223" s="94">
        <f t="shared" si="105"/>
        <v>14360</v>
      </c>
      <c r="BT223" s="113">
        <v>13193</v>
      </c>
      <c r="BU223" s="94">
        <f t="shared" si="88"/>
        <v>-610</v>
      </c>
      <c r="BV223" s="94">
        <f t="shared" si="91"/>
        <v>-0.21903052064631956</v>
      </c>
      <c r="BW223" s="130">
        <f t="shared" si="106"/>
        <v>14917</v>
      </c>
      <c r="BX223" s="113">
        <v>12596</v>
      </c>
      <c r="BY223" s="94">
        <f t="shared" si="103"/>
        <v>-1207</v>
      </c>
      <c r="BZ223" s="89">
        <f t="shared" si="92"/>
        <v>-0.4333931777378815</v>
      </c>
      <c r="CA223" s="182">
        <f t="shared" si="93"/>
        <v>15474</v>
      </c>
      <c r="CB223" s="130"/>
      <c r="CC223" s="94">
        <f t="shared" si="94"/>
        <v>-13803</v>
      </c>
      <c r="CD223" s="89">
        <f t="shared" si="95"/>
        <v>-4.9561938958707357</v>
      </c>
      <c r="CE223" s="182">
        <f t="shared" si="96"/>
        <v>16031</v>
      </c>
      <c r="CF223" s="188"/>
      <c r="CG223" s="182">
        <f t="shared" si="107"/>
        <v>-13803</v>
      </c>
      <c r="CH223" s="89">
        <f t="shared" si="98"/>
        <v>-4.9561938958707357</v>
      </c>
      <c r="CI223" s="94">
        <f t="shared" si="99"/>
        <v>16588</v>
      </c>
      <c r="CJ223" s="94"/>
      <c r="CK223" s="182">
        <f t="shared" si="108"/>
        <v>-13803</v>
      </c>
      <c r="CL223" s="89">
        <f t="shared" si="101"/>
        <v>-4.9561938958707357</v>
      </c>
      <c r="CM223" s="89"/>
      <c r="CN223" s="188"/>
      <c r="CO223" s="188"/>
      <c r="CP223" s="188"/>
      <c r="CQ223" s="188"/>
      <c r="CS223" s="24">
        <v>223</v>
      </c>
    </row>
    <row r="224" spans="1:97" ht="270.75" customHeight="1" x14ac:dyDescent="0.25">
      <c r="A224" s="276">
        <v>24</v>
      </c>
      <c r="B224" s="269" t="s">
        <v>4575</v>
      </c>
      <c r="C224" s="269" t="s">
        <v>1269</v>
      </c>
      <c r="D224" s="189" t="s">
        <v>408</v>
      </c>
      <c r="E224" s="276" t="s">
        <v>470</v>
      </c>
      <c r="F224" s="189" t="s">
        <v>468</v>
      </c>
      <c r="G224" s="172">
        <v>3</v>
      </c>
      <c r="H224" s="276" t="s">
        <v>472</v>
      </c>
      <c r="I224" s="276">
        <v>170</v>
      </c>
      <c r="J224" s="276" t="s">
        <v>473</v>
      </c>
      <c r="K224" s="276" t="s">
        <v>978</v>
      </c>
      <c r="L224" s="189" t="s">
        <v>474</v>
      </c>
      <c r="M224" s="276" t="s">
        <v>439</v>
      </c>
      <c r="N224" s="189" t="s">
        <v>440</v>
      </c>
      <c r="O224" s="189" t="s">
        <v>75</v>
      </c>
      <c r="P224" s="276" t="s">
        <v>189</v>
      </c>
      <c r="Q224" s="276" t="s">
        <v>440</v>
      </c>
      <c r="R224" s="276"/>
      <c r="S224" s="276"/>
      <c r="T224" s="276" t="s">
        <v>65</v>
      </c>
      <c r="U224" s="276"/>
      <c r="V224" s="276"/>
      <c r="W224" s="276" t="s">
        <v>1325</v>
      </c>
      <c r="X224" s="173" t="e">
        <f t="shared" si="109"/>
        <v>#DIV/0!</v>
      </c>
      <c r="Y224" s="276">
        <v>0</v>
      </c>
      <c r="Z224" s="276">
        <v>1</v>
      </c>
      <c r="AA224" s="276" t="s">
        <v>3597</v>
      </c>
      <c r="AB224" s="276"/>
      <c r="AC224" s="275"/>
      <c r="AD224" s="164" t="s">
        <v>1302</v>
      </c>
      <c r="AE224" s="189" t="s">
        <v>3613</v>
      </c>
      <c r="AF224" s="189" t="s">
        <v>3614</v>
      </c>
      <c r="AG224" s="276" t="s">
        <v>1236</v>
      </c>
      <c r="AH224" s="77"/>
      <c r="AI224" s="275">
        <v>10</v>
      </c>
      <c r="AJ224" s="83" t="str">
        <f t="shared" ref="AJ224:AJ255" si="110">CONCATENATE(K224,AI224)</f>
        <v>060617010</v>
      </c>
      <c r="AK224" s="189" t="s">
        <v>3688</v>
      </c>
      <c r="AL224" s="189" t="s">
        <v>3601</v>
      </c>
      <c r="AM224" s="189" t="s">
        <v>1347</v>
      </c>
      <c r="AN224" s="83" t="s">
        <v>3602</v>
      </c>
      <c r="AO224" s="83" t="s">
        <v>3673</v>
      </c>
      <c r="AP224" s="189" t="s">
        <v>3674</v>
      </c>
      <c r="AQ224" s="83" t="s">
        <v>3902</v>
      </c>
      <c r="AR224" s="83" t="s">
        <v>3675</v>
      </c>
      <c r="AS224" s="83" t="s">
        <v>3606</v>
      </c>
      <c r="AT224" s="83" t="s">
        <v>1395</v>
      </c>
      <c r="AU224" s="83" t="s">
        <v>3606</v>
      </c>
      <c r="AV224" s="83" t="s">
        <v>3607</v>
      </c>
      <c r="AW224" s="83" t="s">
        <v>2437</v>
      </c>
      <c r="AX224" s="275">
        <v>1</v>
      </c>
      <c r="AY224" s="276" t="str">
        <f t="shared" si="87"/>
        <v>0606170101</v>
      </c>
      <c r="AZ224" s="83" t="s">
        <v>3606</v>
      </c>
      <c r="BA224" s="83" t="s">
        <v>3608</v>
      </c>
      <c r="BB224" s="83" t="s">
        <v>3683</v>
      </c>
      <c r="BC224" s="83" t="s">
        <v>11</v>
      </c>
      <c r="BD224" s="83" t="s">
        <v>2484</v>
      </c>
      <c r="BE224" s="83" t="s">
        <v>2437</v>
      </c>
      <c r="BF224" s="83" t="s">
        <v>1665</v>
      </c>
      <c r="BG224" s="83" t="s">
        <v>3684</v>
      </c>
      <c r="BH224" s="77"/>
      <c r="BI224" s="83" t="s">
        <v>3611</v>
      </c>
      <c r="BJ224" s="83" t="s">
        <v>3611</v>
      </c>
      <c r="BK224" s="83" t="s">
        <v>3608</v>
      </c>
      <c r="BL224" s="83" t="s">
        <v>3612</v>
      </c>
      <c r="BM224" s="83">
        <v>2015</v>
      </c>
      <c r="BN224" s="113">
        <v>10958</v>
      </c>
      <c r="BO224" s="113">
        <v>13267</v>
      </c>
      <c r="BP224" s="77"/>
      <c r="BQ224" s="130">
        <f t="shared" si="102"/>
        <v>2309</v>
      </c>
      <c r="BR224" s="275">
        <v>5</v>
      </c>
      <c r="BS224" s="94">
        <f t="shared" si="105"/>
        <v>11419.8</v>
      </c>
      <c r="BT224" s="113">
        <v>10686</v>
      </c>
      <c r="BU224" s="94">
        <f t="shared" si="88"/>
        <v>-272</v>
      </c>
      <c r="BV224" s="94">
        <f t="shared" si="91"/>
        <v>-0.11779991338241663</v>
      </c>
      <c r="BW224" s="130">
        <f t="shared" si="106"/>
        <v>11881.6</v>
      </c>
      <c r="BX224" s="113">
        <v>11318</v>
      </c>
      <c r="BY224" s="94">
        <f t="shared" si="103"/>
        <v>360</v>
      </c>
      <c r="BZ224" s="180">
        <f t="shared" si="92"/>
        <v>0.15591165006496319</v>
      </c>
      <c r="CA224" s="182">
        <f t="shared" si="93"/>
        <v>12343.4</v>
      </c>
      <c r="CB224" s="130"/>
      <c r="CC224" s="94">
        <f t="shared" si="94"/>
        <v>-10958</v>
      </c>
      <c r="CD224" s="94">
        <f t="shared" si="95"/>
        <v>-4.7457773928107407</v>
      </c>
      <c r="CE224" s="182">
        <f t="shared" si="96"/>
        <v>12805.2</v>
      </c>
      <c r="CF224" s="188"/>
      <c r="CG224" s="182">
        <f t="shared" si="107"/>
        <v>-10958</v>
      </c>
      <c r="CH224" s="94">
        <f t="shared" si="98"/>
        <v>-4.7457773928107407</v>
      </c>
      <c r="CI224" s="94">
        <f t="shared" si="99"/>
        <v>13267</v>
      </c>
      <c r="CJ224" s="94"/>
      <c r="CK224" s="182">
        <f t="shared" si="108"/>
        <v>-10958</v>
      </c>
      <c r="CL224" s="180">
        <f t="shared" si="101"/>
        <v>-4.7457773928107407</v>
      </c>
      <c r="CM224" s="89"/>
      <c r="CN224" s="188"/>
      <c r="CO224" s="188"/>
      <c r="CP224" s="188"/>
      <c r="CQ224" s="188"/>
      <c r="CS224" s="24">
        <v>224</v>
      </c>
    </row>
    <row r="225" spans="1:97" ht="270.75" customHeight="1" x14ac:dyDescent="0.25">
      <c r="A225" s="276">
        <v>24</v>
      </c>
      <c r="B225" s="269" t="s">
        <v>4575</v>
      </c>
      <c r="C225" s="269" t="s">
        <v>1269</v>
      </c>
      <c r="D225" s="189" t="s">
        <v>408</v>
      </c>
      <c r="E225" s="276" t="s">
        <v>470</v>
      </c>
      <c r="F225" s="189" t="s">
        <v>468</v>
      </c>
      <c r="G225" s="172">
        <v>3</v>
      </c>
      <c r="H225" s="276" t="s">
        <v>472</v>
      </c>
      <c r="I225" s="276">
        <v>170</v>
      </c>
      <c r="J225" s="276" t="s">
        <v>473</v>
      </c>
      <c r="K225" s="276" t="s">
        <v>978</v>
      </c>
      <c r="L225" s="189" t="s">
        <v>474</v>
      </c>
      <c r="M225" s="276" t="s">
        <v>439</v>
      </c>
      <c r="N225" s="189" t="s">
        <v>440</v>
      </c>
      <c r="O225" s="189" t="s">
        <v>75</v>
      </c>
      <c r="P225" s="276" t="s">
        <v>189</v>
      </c>
      <c r="Q225" s="276" t="s">
        <v>440</v>
      </c>
      <c r="R225" s="276"/>
      <c r="S225" s="276"/>
      <c r="T225" s="276" t="s">
        <v>65</v>
      </c>
      <c r="U225" s="276"/>
      <c r="V225" s="276"/>
      <c r="W225" s="276" t="s">
        <v>1325</v>
      </c>
      <c r="X225" s="173" t="e">
        <f t="shared" si="109"/>
        <v>#DIV/0!</v>
      </c>
      <c r="Y225" s="276">
        <v>0</v>
      </c>
      <c r="Z225" s="276">
        <v>1</v>
      </c>
      <c r="AA225" s="276" t="s">
        <v>3597</v>
      </c>
      <c r="AB225" s="276"/>
      <c r="AC225" s="275"/>
      <c r="AD225" s="164" t="s">
        <v>1302</v>
      </c>
      <c r="AE225" s="189" t="s">
        <v>3613</v>
      </c>
      <c r="AF225" s="189" t="s">
        <v>3614</v>
      </c>
      <c r="AG225" s="276" t="s">
        <v>1236</v>
      </c>
      <c r="AH225" s="77"/>
      <c r="AI225" s="275">
        <v>11</v>
      </c>
      <c r="AJ225" s="83" t="str">
        <f t="shared" si="110"/>
        <v>060617011</v>
      </c>
      <c r="AK225" s="189" t="s">
        <v>3689</v>
      </c>
      <c r="AL225" s="189" t="s">
        <v>3601</v>
      </c>
      <c r="AM225" s="189" t="s">
        <v>1347</v>
      </c>
      <c r="AN225" s="83" t="s">
        <v>3602</v>
      </c>
      <c r="AO225" s="276" t="s">
        <v>3673</v>
      </c>
      <c r="AP225" s="189" t="s">
        <v>3674</v>
      </c>
      <c r="AQ225" s="83" t="s">
        <v>3902</v>
      </c>
      <c r="AR225" s="83" t="s">
        <v>3675</v>
      </c>
      <c r="AS225" s="83" t="s">
        <v>3606</v>
      </c>
      <c r="AT225" s="83" t="s">
        <v>1395</v>
      </c>
      <c r="AU225" s="83" t="s">
        <v>1395</v>
      </c>
      <c r="AV225" s="83" t="s">
        <v>3607</v>
      </c>
      <c r="AW225" s="83" t="s">
        <v>2437</v>
      </c>
      <c r="AX225" s="275">
        <v>1</v>
      </c>
      <c r="AY225" s="276" t="str">
        <f t="shared" si="87"/>
        <v>0606170111</v>
      </c>
      <c r="AZ225" s="83" t="s">
        <v>3606</v>
      </c>
      <c r="BA225" s="83" t="s">
        <v>3608</v>
      </c>
      <c r="BB225" s="83" t="s">
        <v>3683</v>
      </c>
      <c r="BC225" s="83" t="s">
        <v>11</v>
      </c>
      <c r="BD225" s="83" t="s">
        <v>2484</v>
      </c>
      <c r="BE225" s="83" t="s">
        <v>2437</v>
      </c>
      <c r="BF225" s="83" t="s">
        <v>1665</v>
      </c>
      <c r="BG225" s="83" t="s">
        <v>3684</v>
      </c>
      <c r="BH225" s="77"/>
      <c r="BI225" s="83" t="s">
        <v>3611</v>
      </c>
      <c r="BJ225" s="83" t="s">
        <v>3611</v>
      </c>
      <c r="BK225" s="83" t="s">
        <v>3608</v>
      </c>
      <c r="BL225" s="83" t="s">
        <v>3612</v>
      </c>
      <c r="BM225" s="83">
        <v>2015</v>
      </c>
      <c r="BN225" s="113">
        <v>1406</v>
      </c>
      <c r="BO225" s="113">
        <v>1706</v>
      </c>
      <c r="BP225" s="77"/>
      <c r="BQ225" s="130">
        <f t="shared" si="102"/>
        <v>300</v>
      </c>
      <c r="BR225" s="275">
        <v>5</v>
      </c>
      <c r="BS225" s="94">
        <f t="shared" si="105"/>
        <v>1466</v>
      </c>
      <c r="BT225" s="113">
        <v>1405</v>
      </c>
      <c r="BU225" s="94">
        <f t="shared" si="88"/>
        <v>-1</v>
      </c>
      <c r="BV225" s="94">
        <f t="shared" si="91"/>
        <v>-3.3333333333333335E-3</v>
      </c>
      <c r="BW225" s="130">
        <f t="shared" si="106"/>
        <v>1526</v>
      </c>
      <c r="BX225" s="113">
        <v>1435</v>
      </c>
      <c r="BY225" s="94">
        <f t="shared" si="103"/>
        <v>29</v>
      </c>
      <c r="BZ225" s="89">
        <f t="shared" si="92"/>
        <v>9.6666666666666665E-2</v>
      </c>
      <c r="CA225" s="182">
        <f t="shared" si="93"/>
        <v>1586</v>
      </c>
      <c r="CB225" s="130"/>
      <c r="CC225" s="94">
        <f t="shared" si="94"/>
        <v>-1406</v>
      </c>
      <c r="CD225" s="188">
        <f t="shared" si="95"/>
        <v>-4.6866666666666665</v>
      </c>
      <c r="CE225" s="182">
        <f t="shared" si="96"/>
        <v>1646</v>
      </c>
      <c r="CF225" s="188"/>
      <c r="CG225" s="182">
        <f t="shared" si="107"/>
        <v>-1406</v>
      </c>
      <c r="CH225" s="188">
        <f t="shared" si="98"/>
        <v>-4.6866666666666665</v>
      </c>
      <c r="CI225" s="94">
        <f t="shared" si="99"/>
        <v>1706</v>
      </c>
      <c r="CJ225" s="94"/>
      <c r="CK225" s="182">
        <f t="shared" si="108"/>
        <v>-1406</v>
      </c>
      <c r="CL225" s="89">
        <f t="shared" si="101"/>
        <v>-4.6866666666666665</v>
      </c>
      <c r="CM225" s="89"/>
      <c r="CN225" s="188"/>
      <c r="CO225" s="188"/>
      <c r="CP225" s="188"/>
      <c r="CQ225" s="188"/>
      <c r="CS225" s="2">
        <v>225</v>
      </c>
    </row>
    <row r="226" spans="1:97" ht="299.25" x14ac:dyDescent="0.25">
      <c r="A226" s="276">
        <v>24</v>
      </c>
      <c r="B226" s="269" t="s">
        <v>4575</v>
      </c>
      <c r="C226" s="269" t="s">
        <v>1269</v>
      </c>
      <c r="D226" s="189" t="s">
        <v>408</v>
      </c>
      <c r="E226" s="276" t="s">
        <v>477</v>
      </c>
      <c r="F226" s="189" t="s">
        <v>475</v>
      </c>
      <c r="G226" s="172">
        <v>4</v>
      </c>
      <c r="H226" s="276" t="s">
        <v>480</v>
      </c>
      <c r="I226" s="276">
        <v>174</v>
      </c>
      <c r="J226" s="276" t="s">
        <v>481</v>
      </c>
      <c r="K226" s="276" t="s">
        <v>982</v>
      </c>
      <c r="L226" s="189" t="s">
        <v>482</v>
      </c>
      <c r="M226" s="276" t="s">
        <v>439</v>
      </c>
      <c r="N226" s="189" t="s">
        <v>440</v>
      </c>
      <c r="O226" s="189" t="s">
        <v>62</v>
      </c>
      <c r="P226" s="276" t="s">
        <v>189</v>
      </c>
      <c r="Q226" s="276" t="s">
        <v>440</v>
      </c>
      <c r="R226" s="276"/>
      <c r="S226" s="276">
        <v>1</v>
      </c>
      <c r="T226" s="276" t="s">
        <v>65</v>
      </c>
      <c r="U226" s="276"/>
      <c r="V226" s="276"/>
      <c r="W226" s="276" t="s">
        <v>1325</v>
      </c>
      <c r="X226" s="173" t="e">
        <f t="shared" si="109"/>
        <v>#DIV/0!</v>
      </c>
      <c r="Y226" s="276">
        <f>COUNTIF(T226,"RS")</f>
        <v>1</v>
      </c>
      <c r="Z226" s="276">
        <v>0</v>
      </c>
      <c r="AA226" s="276" t="s">
        <v>1220</v>
      </c>
      <c r="AB226" s="276">
        <v>1</v>
      </c>
      <c r="AC226" s="275"/>
      <c r="AD226" s="164" t="s">
        <v>3690</v>
      </c>
      <c r="AE226" s="189" t="s">
        <v>3691</v>
      </c>
      <c r="AF226" s="79" t="s">
        <v>3614</v>
      </c>
      <c r="AG226" s="276" t="s">
        <v>1364</v>
      </c>
      <c r="AH226" s="77"/>
      <c r="AI226" s="275">
        <v>1</v>
      </c>
      <c r="AJ226" s="83" t="str">
        <f t="shared" si="110"/>
        <v>06071741</v>
      </c>
      <c r="AK226" s="83" t="s">
        <v>3692</v>
      </c>
      <c r="AL226" s="189" t="s">
        <v>3601</v>
      </c>
      <c r="AM226" s="189" t="s">
        <v>1347</v>
      </c>
      <c r="AN226" s="83" t="s">
        <v>3602</v>
      </c>
      <c r="AO226" s="276" t="s">
        <v>3693</v>
      </c>
      <c r="AP226" s="189" t="s">
        <v>3694</v>
      </c>
      <c r="AQ226" s="83" t="s">
        <v>3896</v>
      </c>
      <c r="AR226" s="189" t="s">
        <v>3695</v>
      </c>
      <c r="AS226" s="83" t="s">
        <v>3696</v>
      </c>
      <c r="AT226" s="79" t="s">
        <v>1395</v>
      </c>
      <c r="AU226" s="79" t="s">
        <v>1395</v>
      </c>
      <c r="AV226" s="189" t="s">
        <v>2673</v>
      </c>
      <c r="AW226" s="189" t="s">
        <v>17</v>
      </c>
      <c r="AX226" s="275">
        <v>1</v>
      </c>
      <c r="AY226" s="276" t="str">
        <f t="shared" si="87"/>
        <v>060717411</v>
      </c>
      <c r="AZ226" s="276" t="s">
        <v>442</v>
      </c>
      <c r="BA226" s="83" t="s">
        <v>3697</v>
      </c>
      <c r="BB226" s="83" t="s">
        <v>1229</v>
      </c>
      <c r="BC226" s="83" t="s">
        <v>11</v>
      </c>
      <c r="BD226" s="189" t="s">
        <v>2673</v>
      </c>
      <c r="BE226" s="189" t="s">
        <v>17</v>
      </c>
      <c r="BF226" s="189" t="s">
        <v>17</v>
      </c>
      <c r="BG226" s="83" t="s">
        <v>3698</v>
      </c>
      <c r="BH226" s="83"/>
      <c r="BI226" s="83" t="s">
        <v>3697</v>
      </c>
      <c r="BJ226" s="83" t="s">
        <v>3697</v>
      </c>
      <c r="BK226" s="83" t="s">
        <v>3696</v>
      </c>
      <c r="BL226" s="83" t="s">
        <v>3699</v>
      </c>
      <c r="BM226" s="83">
        <v>2015</v>
      </c>
      <c r="BN226" s="113">
        <v>26315</v>
      </c>
      <c r="BO226" s="130">
        <v>70000</v>
      </c>
      <c r="BP226" s="83"/>
      <c r="BQ226" s="113">
        <f t="shared" si="102"/>
        <v>43685</v>
      </c>
      <c r="BR226" s="275">
        <v>5</v>
      </c>
      <c r="BS226" s="174">
        <f t="shared" si="105"/>
        <v>35052</v>
      </c>
      <c r="BT226" s="174">
        <v>39002</v>
      </c>
      <c r="BU226" s="174">
        <f t="shared" si="88"/>
        <v>12687</v>
      </c>
      <c r="BV226" s="188">
        <f t="shared" si="91"/>
        <v>0.29042005264965093</v>
      </c>
      <c r="BW226" s="174">
        <f t="shared" si="106"/>
        <v>43789</v>
      </c>
      <c r="BX226" s="174">
        <v>45000</v>
      </c>
      <c r="BY226" s="174">
        <f t="shared" si="103"/>
        <v>18685</v>
      </c>
      <c r="BZ226" s="89">
        <f t="shared" si="92"/>
        <v>0.42772118576170309</v>
      </c>
      <c r="CA226" s="174">
        <f t="shared" si="93"/>
        <v>52526</v>
      </c>
      <c r="CB226" s="174"/>
      <c r="CC226" s="174">
        <f t="shared" si="94"/>
        <v>-26315</v>
      </c>
      <c r="CD226" s="188">
        <f t="shared" si="95"/>
        <v>-0.60238067986723132</v>
      </c>
      <c r="CE226" s="174">
        <f t="shared" si="96"/>
        <v>61263</v>
      </c>
      <c r="CF226" s="174"/>
      <c r="CG226" s="174">
        <f t="shared" si="107"/>
        <v>-26315</v>
      </c>
      <c r="CH226" s="188">
        <f t="shared" si="98"/>
        <v>-0.60238067986723132</v>
      </c>
      <c r="CI226" s="174">
        <f t="shared" si="99"/>
        <v>70000</v>
      </c>
      <c r="CJ226" s="174"/>
      <c r="CK226" s="174">
        <f t="shared" si="108"/>
        <v>-26315</v>
      </c>
      <c r="CL226" s="89">
        <f t="shared" si="101"/>
        <v>-0.60238067986723132</v>
      </c>
      <c r="CM226" s="89"/>
      <c r="CN226" s="188"/>
      <c r="CO226" s="188"/>
      <c r="CP226" s="188"/>
      <c r="CQ226" s="188"/>
      <c r="CS226" s="24">
        <v>226</v>
      </c>
    </row>
    <row r="227" spans="1:97" ht="313.5" x14ac:dyDescent="0.25">
      <c r="A227" s="276">
        <v>24</v>
      </c>
      <c r="B227" s="269" t="s">
        <v>4575</v>
      </c>
      <c r="C227" s="269" t="s">
        <v>1269</v>
      </c>
      <c r="D227" s="189" t="s">
        <v>408</v>
      </c>
      <c r="E227" s="276" t="s">
        <v>477</v>
      </c>
      <c r="F227" s="189" t="s">
        <v>475</v>
      </c>
      <c r="G227" s="172">
        <v>5</v>
      </c>
      <c r="H227" s="276" t="s">
        <v>483</v>
      </c>
      <c r="I227" s="276">
        <v>175</v>
      </c>
      <c r="J227" s="276" t="s">
        <v>484</v>
      </c>
      <c r="K227" s="276" t="s">
        <v>983</v>
      </c>
      <c r="L227" s="189" t="s">
        <v>485</v>
      </c>
      <c r="M227" s="276" t="s">
        <v>439</v>
      </c>
      <c r="N227" s="189" t="s">
        <v>440</v>
      </c>
      <c r="O227" s="189" t="s">
        <v>75</v>
      </c>
      <c r="P227" s="276" t="s">
        <v>189</v>
      </c>
      <c r="Q227" s="276" t="s">
        <v>440</v>
      </c>
      <c r="R227" s="276"/>
      <c r="S227" s="276">
        <v>1</v>
      </c>
      <c r="T227" s="276" t="s">
        <v>79</v>
      </c>
      <c r="U227" s="276"/>
      <c r="V227" s="276"/>
      <c r="W227" s="276" t="s">
        <v>1325</v>
      </c>
      <c r="X227" s="173" t="e">
        <f>100/COUNTIFS(($B$4:$B$164),C227,($D$4:$D$164),E227)</f>
        <v>#DIV/0!</v>
      </c>
      <c r="Y227" s="276">
        <f>COUNTIF(T227,"RS")</f>
        <v>0</v>
      </c>
      <c r="Z227" s="276">
        <v>1</v>
      </c>
      <c r="AA227" s="276" t="s">
        <v>3597</v>
      </c>
      <c r="AB227" s="276"/>
      <c r="AC227" s="275">
        <v>7</v>
      </c>
      <c r="AD227" s="164" t="s">
        <v>3700</v>
      </c>
      <c r="AE227" s="189" t="s">
        <v>3701</v>
      </c>
      <c r="AF227" s="189" t="s">
        <v>3702</v>
      </c>
      <c r="AG227" s="276" t="s">
        <v>1364</v>
      </c>
      <c r="AH227" s="77"/>
      <c r="AI227" s="275">
        <v>1</v>
      </c>
      <c r="AJ227" s="83" t="str">
        <f t="shared" si="110"/>
        <v>06071751</v>
      </c>
      <c r="AK227" s="83" t="s">
        <v>3703</v>
      </c>
      <c r="AL227" s="189" t="s">
        <v>3601</v>
      </c>
      <c r="AM227" s="189" t="s">
        <v>1347</v>
      </c>
      <c r="AN227" s="83" t="s">
        <v>3602</v>
      </c>
      <c r="AO227" s="276" t="s">
        <v>10</v>
      </c>
      <c r="AP227" s="189" t="s">
        <v>3704</v>
      </c>
      <c r="AQ227" s="83" t="s">
        <v>3705</v>
      </c>
      <c r="AR227" s="189" t="s">
        <v>3706</v>
      </c>
      <c r="AS227" s="79" t="s">
        <v>3707</v>
      </c>
      <c r="AT227" s="189" t="s">
        <v>3708</v>
      </c>
      <c r="AU227" s="83" t="s">
        <v>3709</v>
      </c>
      <c r="AV227" s="83" t="s">
        <v>2484</v>
      </c>
      <c r="AW227" s="83" t="s">
        <v>2437</v>
      </c>
      <c r="AX227" s="275">
        <v>1</v>
      </c>
      <c r="AY227" s="276" t="str">
        <f t="shared" si="87"/>
        <v>060717511</v>
      </c>
      <c r="AZ227" s="83" t="s">
        <v>3707</v>
      </c>
      <c r="BA227" s="83" t="s">
        <v>3710</v>
      </c>
      <c r="BB227" s="83" t="s">
        <v>1229</v>
      </c>
      <c r="BC227" s="83" t="s">
        <v>11</v>
      </c>
      <c r="BD227" s="83" t="s">
        <v>2484</v>
      </c>
      <c r="BE227" s="83" t="s">
        <v>2437</v>
      </c>
      <c r="BF227" s="83" t="s">
        <v>2437</v>
      </c>
      <c r="BG227" s="83" t="s">
        <v>3711</v>
      </c>
      <c r="BH227" s="77"/>
      <c r="BI227" s="83" t="s">
        <v>3712</v>
      </c>
      <c r="BJ227" s="83" t="s">
        <v>3713</v>
      </c>
      <c r="BK227" s="83" t="s">
        <v>3714</v>
      </c>
      <c r="BL227" s="83">
        <v>2148288</v>
      </c>
      <c r="BM227" s="78">
        <v>2015</v>
      </c>
      <c r="BN227" s="241">
        <v>21.28</v>
      </c>
      <c r="BO227" s="241">
        <v>50</v>
      </c>
      <c r="BP227" s="77"/>
      <c r="BQ227" s="134">
        <f t="shared" si="102"/>
        <v>28.72</v>
      </c>
      <c r="BR227" s="275">
        <v>5</v>
      </c>
      <c r="BS227" s="174">
        <f t="shared" si="105"/>
        <v>27.024000000000001</v>
      </c>
      <c r="BT227" s="175">
        <v>19.66</v>
      </c>
      <c r="BU227" s="182">
        <f t="shared" si="88"/>
        <v>-1.620000000000001</v>
      </c>
      <c r="BV227" s="188">
        <f t="shared" si="91"/>
        <v>-5.6406685236768839E-2</v>
      </c>
      <c r="BW227" s="174">
        <f t="shared" si="106"/>
        <v>32.768000000000001</v>
      </c>
      <c r="BX227" s="177">
        <v>24.5</v>
      </c>
      <c r="BY227" s="174">
        <f t="shared" si="103"/>
        <v>3.2199999999999989</v>
      </c>
      <c r="BZ227" s="89">
        <f t="shared" si="92"/>
        <v>0.112116991643454</v>
      </c>
      <c r="CA227" s="174">
        <f t="shared" si="93"/>
        <v>38.512</v>
      </c>
      <c r="CB227" s="188"/>
      <c r="CC227" s="174">
        <f t="shared" si="94"/>
        <v>-21.28</v>
      </c>
      <c r="CD227" s="188">
        <f t="shared" si="95"/>
        <v>-0.74094707520891367</v>
      </c>
      <c r="CE227" s="174">
        <f t="shared" si="96"/>
        <v>44.256</v>
      </c>
      <c r="CF227" s="188"/>
      <c r="CG227" s="174">
        <f t="shared" si="107"/>
        <v>-21.28</v>
      </c>
      <c r="CH227" s="188">
        <f t="shared" si="98"/>
        <v>-0.74094707520891367</v>
      </c>
      <c r="CI227" s="174">
        <f t="shared" si="99"/>
        <v>50</v>
      </c>
      <c r="CJ227" s="188"/>
      <c r="CK227" s="174">
        <f t="shared" si="108"/>
        <v>-21.28</v>
      </c>
      <c r="CL227" s="89">
        <f t="shared" si="101"/>
        <v>-0.74094707520891367</v>
      </c>
      <c r="CM227" s="89"/>
      <c r="CN227" s="188"/>
      <c r="CO227" s="188"/>
      <c r="CP227" s="188"/>
      <c r="CQ227" s="188"/>
      <c r="CS227" s="24">
        <v>227</v>
      </c>
    </row>
    <row r="228" spans="1:97" ht="270.75" customHeight="1" x14ac:dyDescent="0.25">
      <c r="A228" s="276">
        <v>24</v>
      </c>
      <c r="B228" s="269" t="s">
        <v>4575</v>
      </c>
      <c r="C228" s="269" t="s">
        <v>1269</v>
      </c>
      <c r="D228" s="189" t="s">
        <v>408</v>
      </c>
      <c r="E228" s="276" t="s">
        <v>490</v>
      </c>
      <c r="F228" s="189" t="s">
        <v>486</v>
      </c>
      <c r="G228" s="172">
        <v>1</v>
      </c>
      <c r="H228" s="276" t="s">
        <v>487</v>
      </c>
      <c r="I228" s="276">
        <v>176</v>
      </c>
      <c r="J228" s="276" t="s">
        <v>488</v>
      </c>
      <c r="K228" s="276" t="s">
        <v>984</v>
      </c>
      <c r="L228" s="189" t="s">
        <v>489</v>
      </c>
      <c r="M228" s="276" t="s">
        <v>439</v>
      </c>
      <c r="N228" s="189" t="s">
        <v>440</v>
      </c>
      <c r="O228" s="189" t="s">
        <v>75</v>
      </c>
      <c r="P228" s="276" t="s">
        <v>189</v>
      </c>
      <c r="Q228" s="276" t="s">
        <v>440</v>
      </c>
      <c r="R228" s="276"/>
      <c r="S228" s="276">
        <v>1</v>
      </c>
      <c r="T228" s="276" t="s">
        <v>65</v>
      </c>
      <c r="U228" s="276"/>
      <c r="V228" s="276"/>
      <c r="W228" s="276" t="s">
        <v>1325</v>
      </c>
      <c r="X228" s="173" t="e">
        <f>100/COUNTIFS(($B$4:$B$51),C228,($D$4:$D$51),E228)</f>
        <v>#DIV/0!</v>
      </c>
      <c r="Y228" s="276">
        <f>COUNTIF(T228,"RS")</f>
        <v>1</v>
      </c>
      <c r="Z228" s="276">
        <v>0</v>
      </c>
      <c r="AA228" s="276" t="s">
        <v>3597</v>
      </c>
      <c r="AB228" s="276"/>
      <c r="AC228" s="275" t="s">
        <v>3716</v>
      </c>
      <c r="AD228" s="164" t="s">
        <v>1303</v>
      </c>
      <c r="AE228" s="189" t="s">
        <v>3717</v>
      </c>
      <c r="AF228" s="79" t="s">
        <v>3718</v>
      </c>
      <c r="AG228" s="276" t="s">
        <v>1364</v>
      </c>
      <c r="AH228" s="77"/>
      <c r="AI228" s="275">
        <v>1</v>
      </c>
      <c r="AJ228" s="83" t="str">
        <f t="shared" si="110"/>
        <v>06081761</v>
      </c>
      <c r="AK228" s="83" t="s">
        <v>3719</v>
      </c>
      <c r="AL228" s="83" t="s">
        <v>78</v>
      </c>
      <c r="AM228" s="189" t="s">
        <v>1347</v>
      </c>
      <c r="AN228" s="83" t="s">
        <v>3602</v>
      </c>
      <c r="AO228" s="83" t="s">
        <v>3720</v>
      </c>
      <c r="AP228" s="83" t="s">
        <v>3721</v>
      </c>
      <c r="AQ228" s="83" t="s">
        <v>3903</v>
      </c>
      <c r="AR228" s="83" t="s">
        <v>3722</v>
      </c>
      <c r="AS228" s="276" t="s">
        <v>3715</v>
      </c>
      <c r="AT228" s="83" t="s">
        <v>1395</v>
      </c>
      <c r="AU228" s="276"/>
      <c r="AV228" s="276" t="s">
        <v>3723</v>
      </c>
      <c r="AW228" s="276" t="s">
        <v>3724</v>
      </c>
      <c r="AX228" s="275">
        <v>1</v>
      </c>
      <c r="AY228" s="276" t="str">
        <f t="shared" si="87"/>
        <v>060817611</v>
      </c>
      <c r="AZ228" s="276" t="s">
        <v>3715</v>
      </c>
      <c r="BA228" s="189" t="s">
        <v>3725</v>
      </c>
      <c r="BB228" s="276" t="s">
        <v>1229</v>
      </c>
      <c r="BC228" s="276" t="s">
        <v>1358</v>
      </c>
      <c r="BD228" s="276" t="s">
        <v>3723</v>
      </c>
      <c r="BE228" s="189" t="s">
        <v>17</v>
      </c>
      <c r="BF228" s="189" t="s">
        <v>2437</v>
      </c>
      <c r="BG228" s="189" t="s">
        <v>3726</v>
      </c>
      <c r="BH228" s="276"/>
      <c r="BI228" s="189" t="s">
        <v>3630</v>
      </c>
      <c r="BJ228" s="189" t="s">
        <v>3725</v>
      </c>
      <c r="BK228" s="189" t="s">
        <v>3727</v>
      </c>
      <c r="BL228" s="189" t="s">
        <v>3728</v>
      </c>
      <c r="BM228" s="189">
        <v>2015</v>
      </c>
      <c r="BN228" s="276">
        <v>76.64</v>
      </c>
      <c r="BO228" s="276">
        <f>+BN228+22.9</f>
        <v>99.539999999999992</v>
      </c>
      <c r="BP228" s="77"/>
      <c r="BQ228" s="113">
        <f t="shared" si="102"/>
        <v>22.899999999999991</v>
      </c>
      <c r="BR228" s="275">
        <v>5</v>
      </c>
      <c r="BS228" s="174">
        <f t="shared" si="105"/>
        <v>81.22</v>
      </c>
      <c r="BT228" s="182">
        <f>+BN228+5.01</f>
        <v>81.650000000000006</v>
      </c>
      <c r="BU228" s="174">
        <f t="shared" si="88"/>
        <v>5.0100000000000051</v>
      </c>
      <c r="BV228" s="89">
        <f t="shared" si="91"/>
        <v>0.21877729257641951</v>
      </c>
      <c r="BW228" s="182">
        <f t="shared" si="106"/>
        <v>85.8</v>
      </c>
      <c r="BX228" s="182">
        <f>+BT228+3.8</f>
        <v>85.45</v>
      </c>
      <c r="BY228" s="182">
        <f t="shared" si="103"/>
        <v>8.8100000000000023</v>
      </c>
      <c r="BZ228" s="89">
        <f t="shared" si="92"/>
        <v>0.38471615720524044</v>
      </c>
      <c r="CA228" s="174">
        <f t="shared" si="93"/>
        <v>90.38</v>
      </c>
      <c r="CB228" s="188"/>
      <c r="CC228" s="188">
        <f t="shared" si="94"/>
        <v>-76.64</v>
      </c>
      <c r="CD228" s="89">
        <f t="shared" si="95"/>
        <v>-3.3467248908296954</v>
      </c>
      <c r="CE228" s="174">
        <f t="shared" si="96"/>
        <v>94.96</v>
      </c>
      <c r="CF228" s="188"/>
      <c r="CG228" s="188">
        <f t="shared" si="107"/>
        <v>-76.64</v>
      </c>
      <c r="CH228" s="89">
        <f t="shared" si="98"/>
        <v>-3.3467248908296954</v>
      </c>
      <c r="CI228" s="174">
        <f t="shared" si="99"/>
        <v>99.539999999999992</v>
      </c>
      <c r="CJ228" s="188"/>
      <c r="CK228" s="188">
        <f t="shared" si="108"/>
        <v>-76.64</v>
      </c>
      <c r="CL228" s="188">
        <f t="shared" si="101"/>
        <v>-3.3467248908296954</v>
      </c>
      <c r="CM228" s="89"/>
      <c r="CN228" s="188"/>
      <c r="CO228" s="188"/>
      <c r="CP228" s="188"/>
      <c r="CQ228" s="188"/>
      <c r="CS228" s="2">
        <v>228</v>
      </c>
    </row>
    <row r="229" spans="1:97" ht="285" x14ac:dyDescent="0.25">
      <c r="A229" s="276">
        <v>24</v>
      </c>
      <c r="B229" s="269" t="s">
        <v>4575</v>
      </c>
      <c r="C229" s="269" t="s">
        <v>1269</v>
      </c>
      <c r="D229" s="189" t="s">
        <v>408</v>
      </c>
      <c r="E229" s="276" t="s">
        <v>490</v>
      </c>
      <c r="F229" s="189" t="s">
        <v>486</v>
      </c>
      <c r="G229" s="172">
        <v>1</v>
      </c>
      <c r="H229" s="276" t="s">
        <v>487</v>
      </c>
      <c r="I229" s="276">
        <v>176</v>
      </c>
      <c r="J229" s="276" t="s">
        <v>488</v>
      </c>
      <c r="K229" s="276" t="s">
        <v>984</v>
      </c>
      <c r="L229" s="189" t="s">
        <v>489</v>
      </c>
      <c r="M229" s="276" t="s">
        <v>439</v>
      </c>
      <c r="N229" s="189" t="s">
        <v>440</v>
      </c>
      <c r="O229" s="189" t="s">
        <v>75</v>
      </c>
      <c r="P229" s="276" t="s">
        <v>189</v>
      </c>
      <c r="Q229" s="276" t="s">
        <v>440</v>
      </c>
      <c r="R229" s="276"/>
      <c r="S229" s="276">
        <v>1</v>
      </c>
      <c r="T229" s="276" t="s">
        <v>65</v>
      </c>
      <c r="U229" s="276"/>
      <c r="V229" s="276"/>
      <c r="W229" s="276" t="s">
        <v>1325</v>
      </c>
      <c r="X229" s="173" t="e">
        <f>100/COUNTIFS(($B$4:$B$51),C229,($D$4:$D$51),E229)</f>
        <v>#DIV/0!</v>
      </c>
      <c r="Y229" s="276">
        <f>COUNTIF(T229,"RS")</f>
        <v>1</v>
      </c>
      <c r="Z229" s="276">
        <v>0</v>
      </c>
      <c r="AA229" s="276" t="s">
        <v>3597</v>
      </c>
      <c r="AB229" s="276"/>
      <c r="AC229" s="275" t="s">
        <v>3716</v>
      </c>
      <c r="AD229" s="164" t="s">
        <v>1303</v>
      </c>
      <c r="AE229" s="189" t="s">
        <v>3729</v>
      </c>
      <c r="AF229" s="79" t="s">
        <v>3718</v>
      </c>
      <c r="AG229" s="276" t="s">
        <v>1364</v>
      </c>
      <c r="AH229" s="77"/>
      <c r="AI229" s="275">
        <v>2</v>
      </c>
      <c r="AJ229" s="83" t="str">
        <f t="shared" si="110"/>
        <v>06081762</v>
      </c>
      <c r="AK229" s="83" t="s">
        <v>3730</v>
      </c>
      <c r="AL229" s="83" t="s">
        <v>78</v>
      </c>
      <c r="AM229" s="189" t="s">
        <v>1347</v>
      </c>
      <c r="AN229" s="83" t="s">
        <v>3602</v>
      </c>
      <c r="AO229" s="276" t="s">
        <v>3731</v>
      </c>
      <c r="AP229" s="83" t="s">
        <v>3732</v>
      </c>
      <c r="AQ229" s="83"/>
      <c r="AR229" s="83" t="s">
        <v>3733</v>
      </c>
      <c r="AS229" s="276"/>
      <c r="AT229" s="83" t="s">
        <v>3734</v>
      </c>
      <c r="AU229" s="276" t="s">
        <v>3715</v>
      </c>
      <c r="AV229" s="276" t="s">
        <v>3723</v>
      </c>
      <c r="AW229" s="276" t="s">
        <v>3724</v>
      </c>
      <c r="AX229" s="275"/>
      <c r="AY229" s="276"/>
      <c r="AZ229" s="276" t="s">
        <v>3715</v>
      </c>
      <c r="BA229" s="189" t="s">
        <v>3725</v>
      </c>
      <c r="BB229" s="276" t="s">
        <v>1229</v>
      </c>
      <c r="BC229" s="276" t="s">
        <v>1358</v>
      </c>
      <c r="BD229" s="276" t="s">
        <v>3723</v>
      </c>
      <c r="BE229" s="189" t="s">
        <v>17</v>
      </c>
      <c r="BF229" s="189" t="s">
        <v>2437</v>
      </c>
      <c r="BG229" s="189" t="s">
        <v>3735</v>
      </c>
      <c r="BH229" s="276"/>
      <c r="BI229" s="189" t="s">
        <v>3630</v>
      </c>
      <c r="BJ229" s="189" t="s">
        <v>3725</v>
      </c>
      <c r="BK229" s="189" t="s">
        <v>3727</v>
      </c>
      <c r="BL229" s="189" t="s">
        <v>3728</v>
      </c>
      <c r="BM229" s="189">
        <v>2015</v>
      </c>
      <c r="BN229" s="81">
        <v>0.45</v>
      </c>
      <c r="BO229" s="81">
        <v>0.5</v>
      </c>
      <c r="BP229" s="77"/>
      <c r="BQ229" s="81">
        <f t="shared" si="102"/>
        <v>4.9999999999999989E-2</v>
      </c>
      <c r="BR229" s="275">
        <v>5</v>
      </c>
      <c r="BS229" s="182">
        <f t="shared" si="105"/>
        <v>0.46</v>
      </c>
      <c r="BT229" s="139">
        <v>0.46</v>
      </c>
      <c r="BU229" s="182">
        <f t="shared" si="88"/>
        <v>1.0000000000000009E-2</v>
      </c>
      <c r="BV229" s="89">
        <f t="shared" si="91"/>
        <v>0.20000000000000023</v>
      </c>
      <c r="BW229" s="182">
        <f t="shared" si="106"/>
        <v>0.47000000000000003</v>
      </c>
      <c r="BX229" s="139">
        <v>0.47</v>
      </c>
      <c r="BY229" s="182">
        <f t="shared" si="103"/>
        <v>1.9999999999999962E-2</v>
      </c>
      <c r="BZ229" s="89">
        <f t="shared" si="92"/>
        <v>0.39999999999999936</v>
      </c>
      <c r="CA229" s="174">
        <f t="shared" si="93"/>
        <v>0.48</v>
      </c>
      <c r="CB229" s="188"/>
      <c r="CC229" s="188">
        <f t="shared" si="94"/>
        <v>-0.45</v>
      </c>
      <c r="CD229" s="89">
        <f t="shared" si="95"/>
        <v>-9.0000000000000018</v>
      </c>
      <c r="CE229" s="174">
        <f t="shared" si="96"/>
        <v>0.49</v>
      </c>
      <c r="CF229" s="188"/>
      <c r="CG229" s="188">
        <f t="shared" si="107"/>
        <v>-0.45</v>
      </c>
      <c r="CH229" s="89">
        <f t="shared" si="98"/>
        <v>-9.0000000000000018</v>
      </c>
      <c r="CI229" s="174">
        <f t="shared" si="99"/>
        <v>0.5</v>
      </c>
      <c r="CJ229" s="188"/>
      <c r="CK229" s="188">
        <f t="shared" si="108"/>
        <v>-0.45</v>
      </c>
      <c r="CL229" s="188">
        <f t="shared" si="101"/>
        <v>-9.0000000000000018</v>
      </c>
      <c r="CM229" s="89"/>
      <c r="CN229" s="188"/>
      <c r="CO229" s="188"/>
      <c r="CP229" s="188"/>
      <c r="CQ229" s="188"/>
      <c r="CS229" s="24">
        <v>229</v>
      </c>
    </row>
    <row r="230" spans="1:97" ht="156.75" customHeight="1" x14ac:dyDescent="0.25">
      <c r="A230" s="276">
        <v>24</v>
      </c>
      <c r="B230" s="269" t="s">
        <v>4575</v>
      </c>
      <c r="C230" s="269" t="s">
        <v>1269</v>
      </c>
      <c r="D230" s="189" t="s">
        <v>408</v>
      </c>
      <c r="E230" s="276" t="s">
        <v>490</v>
      </c>
      <c r="F230" s="189" t="s">
        <v>486</v>
      </c>
      <c r="G230" s="172">
        <v>2</v>
      </c>
      <c r="H230" s="276" t="s">
        <v>491</v>
      </c>
      <c r="I230" s="276">
        <v>177</v>
      </c>
      <c r="J230" s="276" t="s">
        <v>492</v>
      </c>
      <c r="K230" s="276" t="s">
        <v>985</v>
      </c>
      <c r="L230" s="189" t="s">
        <v>493</v>
      </c>
      <c r="M230" s="276" t="s">
        <v>439</v>
      </c>
      <c r="N230" s="189" t="s">
        <v>440</v>
      </c>
      <c r="O230" s="189" t="s">
        <v>62</v>
      </c>
      <c r="P230" s="276" t="s">
        <v>189</v>
      </c>
      <c r="Q230" s="276" t="s">
        <v>440</v>
      </c>
      <c r="R230" s="276"/>
      <c r="S230" s="276"/>
      <c r="T230" s="276" t="s">
        <v>65</v>
      </c>
      <c r="U230" s="276"/>
      <c r="V230" s="276"/>
      <c r="W230" s="276" t="s">
        <v>1325</v>
      </c>
      <c r="X230" s="173" t="e">
        <f>100/COUNTIFS(($B$4:$B$51),C230,($D$4:$D$51),E230)</f>
        <v>#DIV/0!</v>
      </c>
      <c r="Y230" s="276">
        <f>COUNTIF(T230,"RS")</f>
        <v>1</v>
      </c>
      <c r="Z230" s="276">
        <v>0</v>
      </c>
      <c r="AA230" s="276" t="s">
        <v>3597</v>
      </c>
      <c r="AB230" s="276"/>
      <c r="AC230" s="275">
        <v>11</v>
      </c>
      <c r="AD230" s="164" t="s">
        <v>1303</v>
      </c>
      <c r="AE230" s="189" t="s">
        <v>3736</v>
      </c>
      <c r="AF230" s="79" t="s">
        <v>3718</v>
      </c>
      <c r="AG230" s="276" t="s">
        <v>1364</v>
      </c>
      <c r="AH230" s="77"/>
      <c r="AI230" s="275">
        <v>1</v>
      </c>
      <c r="AJ230" s="83" t="str">
        <f t="shared" si="110"/>
        <v>06081771</v>
      </c>
      <c r="AK230" s="83" t="s">
        <v>3737</v>
      </c>
      <c r="AL230" s="83" t="s">
        <v>78</v>
      </c>
      <c r="AM230" s="189" t="s">
        <v>1347</v>
      </c>
      <c r="AN230" s="83" t="s">
        <v>3602</v>
      </c>
      <c r="AO230" s="83" t="s">
        <v>3738</v>
      </c>
      <c r="AP230" s="83" t="s">
        <v>3739</v>
      </c>
      <c r="AQ230" s="83" t="s">
        <v>3842</v>
      </c>
      <c r="AR230" s="83" t="s">
        <v>3740</v>
      </c>
      <c r="AS230" s="276" t="s">
        <v>3715</v>
      </c>
      <c r="AT230" s="83" t="s">
        <v>1395</v>
      </c>
      <c r="AU230" s="276" t="s">
        <v>3715</v>
      </c>
      <c r="AV230" s="276" t="s">
        <v>3723</v>
      </c>
      <c r="AW230" s="276" t="s">
        <v>3724</v>
      </c>
      <c r="AX230" s="275">
        <v>1</v>
      </c>
      <c r="AY230" s="276" t="str">
        <f t="shared" ref="AY230:AY258" si="111">CONCATENATE(AJ230,AX230)</f>
        <v>060817711</v>
      </c>
      <c r="AZ230" s="189" t="s">
        <v>3741</v>
      </c>
      <c r="BA230" s="276" t="s">
        <v>3715</v>
      </c>
      <c r="BB230" s="189" t="s">
        <v>3725</v>
      </c>
      <c r="BC230" s="276" t="s">
        <v>1229</v>
      </c>
      <c r="BD230" s="276" t="s">
        <v>1358</v>
      </c>
      <c r="BE230" s="276" t="s">
        <v>3723</v>
      </c>
      <c r="BF230" s="189" t="s">
        <v>17</v>
      </c>
      <c r="BG230" s="189" t="s">
        <v>3742</v>
      </c>
      <c r="BH230" s="189"/>
      <c r="BI230" s="189" t="s">
        <v>3630</v>
      </c>
      <c r="BJ230" s="189" t="s">
        <v>3725</v>
      </c>
      <c r="BK230" s="189" t="s">
        <v>3727</v>
      </c>
      <c r="BL230" s="189" t="s">
        <v>3728</v>
      </c>
      <c r="BM230" s="83">
        <v>2015</v>
      </c>
      <c r="BN230" s="242">
        <v>2575066</v>
      </c>
      <c r="BO230" s="175">
        <f>+BN230+610000</f>
        <v>3185066</v>
      </c>
      <c r="BP230" s="77"/>
      <c r="BQ230" s="113">
        <f t="shared" si="102"/>
        <v>610000</v>
      </c>
      <c r="BR230" s="275">
        <v>5</v>
      </c>
      <c r="BS230" s="174">
        <f t="shared" si="105"/>
        <v>2697066</v>
      </c>
      <c r="BT230" s="174">
        <f>+BN230+330762</f>
        <v>2905828</v>
      </c>
      <c r="BU230" s="174">
        <f t="shared" si="88"/>
        <v>330762</v>
      </c>
      <c r="BV230" s="89">
        <f t="shared" si="91"/>
        <v>0.5422327868852459</v>
      </c>
      <c r="BW230" s="174">
        <f t="shared" si="106"/>
        <v>2819066</v>
      </c>
      <c r="BX230" s="174">
        <f>+BT230+300157</f>
        <v>3205985</v>
      </c>
      <c r="BY230" s="174">
        <f t="shared" si="103"/>
        <v>630919</v>
      </c>
      <c r="BZ230" s="89">
        <f t="shared" si="92"/>
        <v>1.0342934426229509</v>
      </c>
      <c r="CA230" s="174">
        <f t="shared" si="93"/>
        <v>2941066</v>
      </c>
      <c r="CB230" s="188"/>
      <c r="CC230" s="174">
        <f t="shared" si="94"/>
        <v>-2575066</v>
      </c>
      <c r="CD230" s="89">
        <f t="shared" si="95"/>
        <v>-4.2214196721311472</v>
      </c>
      <c r="CE230" s="174">
        <f t="shared" si="96"/>
        <v>3063066</v>
      </c>
      <c r="CF230" s="188"/>
      <c r="CG230" s="174">
        <f t="shared" si="107"/>
        <v>-2575066</v>
      </c>
      <c r="CH230" s="89">
        <f t="shared" si="98"/>
        <v>-4.2214196721311472</v>
      </c>
      <c r="CI230" s="174">
        <f t="shared" si="99"/>
        <v>3185066</v>
      </c>
      <c r="CJ230" s="188"/>
      <c r="CK230" s="174">
        <f t="shared" si="108"/>
        <v>-2575066</v>
      </c>
      <c r="CL230" s="188">
        <f t="shared" si="101"/>
        <v>-4.2214196721311472</v>
      </c>
      <c r="CM230" s="89"/>
      <c r="CN230" s="188"/>
      <c r="CO230" s="188"/>
      <c r="CP230" s="188"/>
      <c r="CQ230" s="188"/>
      <c r="CS230" s="24">
        <v>230</v>
      </c>
    </row>
    <row r="231" spans="1:97" ht="409.5" x14ac:dyDescent="0.25">
      <c r="A231" s="276">
        <v>12</v>
      </c>
      <c r="B231" s="269" t="s">
        <v>1843</v>
      </c>
      <c r="C231" s="269" t="s">
        <v>1269</v>
      </c>
      <c r="D231" s="189" t="s">
        <v>408</v>
      </c>
      <c r="E231" s="276" t="s">
        <v>499</v>
      </c>
      <c r="F231" s="189" t="s">
        <v>495</v>
      </c>
      <c r="G231" s="172">
        <v>1</v>
      </c>
      <c r="H231" s="276" t="s">
        <v>496</v>
      </c>
      <c r="I231" s="276">
        <v>179</v>
      </c>
      <c r="J231" s="276" t="s">
        <v>497</v>
      </c>
      <c r="K231" s="276" t="s">
        <v>987</v>
      </c>
      <c r="L231" s="189" t="s">
        <v>498</v>
      </c>
      <c r="M231" s="189"/>
      <c r="N231" s="189"/>
      <c r="O231" s="276" t="s">
        <v>137</v>
      </c>
      <c r="P231" s="276"/>
      <c r="Q231" s="276"/>
      <c r="R231" s="276"/>
      <c r="S231" s="276"/>
      <c r="T231" s="276"/>
      <c r="U231" s="276"/>
      <c r="V231" s="276"/>
      <c r="W231" s="276"/>
      <c r="X231" s="276"/>
      <c r="Y231" s="276">
        <v>1</v>
      </c>
      <c r="Z231" s="276">
        <v>0</v>
      </c>
      <c r="AA231" s="276" t="s">
        <v>1220</v>
      </c>
      <c r="AB231" s="180"/>
      <c r="AC231" s="269" t="s">
        <v>1844</v>
      </c>
      <c r="AD231" s="189" t="s">
        <v>1845</v>
      </c>
      <c r="AE231" s="269" t="s">
        <v>637</v>
      </c>
      <c r="AF231" s="189" t="s">
        <v>1846</v>
      </c>
      <c r="AG231" s="276" t="s">
        <v>1236</v>
      </c>
      <c r="AH231" s="276"/>
      <c r="AI231" s="276">
        <v>1</v>
      </c>
      <c r="AJ231" s="276" t="str">
        <f t="shared" si="110"/>
        <v>06091791</v>
      </c>
      <c r="AK231" s="189" t="s">
        <v>1869</v>
      </c>
      <c r="AL231" s="189" t="s">
        <v>137</v>
      </c>
      <c r="AM231" s="83"/>
      <c r="AN231" s="189" t="s">
        <v>1848</v>
      </c>
      <c r="AO231" s="83" t="s">
        <v>1849</v>
      </c>
      <c r="AP231" s="90" t="s">
        <v>1870</v>
      </c>
      <c r="AQ231" s="90" t="s">
        <v>1871</v>
      </c>
      <c r="AR231" s="90" t="s">
        <v>1872</v>
      </c>
      <c r="AS231" s="189" t="s">
        <v>1856</v>
      </c>
      <c r="AT231" s="189" t="s">
        <v>1873</v>
      </c>
      <c r="AU231" s="189" t="s">
        <v>1856</v>
      </c>
      <c r="AV231" s="276" t="s">
        <v>1868</v>
      </c>
      <c r="AW231" s="189" t="s">
        <v>1854</v>
      </c>
      <c r="AX231" s="83">
        <v>1</v>
      </c>
      <c r="AY231" s="83" t="str">
        <f t="shared" si="111"/>
        <v>060917911</v>
      </c>
      <c r="AZ231" s="276" t="s">
        <v>1855</v>
      </c>
      <c r="BA231" s="276" t="s">
        <v>1856</v>
      </c>
      <c r="BB231" s="276" t="s">
        <v>1857</v>
      </c>
      <c r="BC231" s="276" t="s">
        <v>11</v>
      </c>
      <c r="BD231" s="276" t="s">
        <v>1858</v>
      </c>
      <c r="BE231" s="276" t="s">
        <v>9</v>
      </c>
      <c r="BF231" s="276" t="s">
        <v>17</v>
      </c>
      <c r="BG231" s="276" t="s">
        <v>1859</v>
      </c>
      <c r="BH231" s="276" t="s">
        <v>1874</v>
      </c>
      <c r="BI231" s="276" t="s">
        <v>1860</v>
      </c>
      <c r="BJ231" s="276" t="s">
        <v>1861</v>
      </c>
      <c r="BK231" s="276" t="s">
        <v>1862</v>
      </c>
      <c r="BL231" s="276" t="s">
        <v>1863</v>
      </c>
      <c r="BM231" s="86">
        <v>2015</v>
      </c>
      <c r="BN231" s="87">
        <v>2473</v>
      </c>
      <c r="BO231" s="87">
        <v>3644</v>
      </c>
      <c r="BP231" s="187"/>
      <c r="BQ231" s="87">
        <f t="shared" si="102"/>
        <v>1171</v>
      </c>
      <c r="BR231" s="276">
        <v>5</v>
      </c>
      <c r="BS231" s="88">
        <f t="shared" si="105"/>
        <v>2707.2</v>
      </c>
      <c r="BT231" s="88">
        <v>2713</v>
      </c>
      <c r="BU231" s="88">
        <f t="shared" si="88"/>
        <v>240</v>
      </c>
      <c r="BV231" s="188">
        <f t="shared" si="91"/>
        <v>0.20495303159692571</v>
      </c>
      <c r="BW231" s="88">
        <f t="shared" si="106"/>
        <v>2941.4</v>
      </c>
      <c r="BX231" s="88"/>
      <c r="BY231" s="88">
        <f t="shared" si="103"/>
        <v>-2473</v>
      </c>
      <c r="BZ231" s="89">
        <f t="shared" si="92"/>
        <v>-2.1118701964133217</v>
      </c>
      <c r="CA231" s="88">
        <f t="shared" si="93"/>
        <v>3175.6</v>
      </c>
      <c r="CB231" s="88"/>
      <c r="CC231" s="88">
        <f t="shared" si="94"/>
        <v>-2473</v>
      </c>
      <c r="CD231" s="188">
        <f t="shared" si="95"/>
        <v>-2.1118701964133217</v>
      </c>
      <c r="CE231" s="88">
        <f t="shared" si="96"/>
        <v>3409.8</v>
      </c>
      <c r="CF231" s="88"/>
      <c r="CG231" s="88">
        <f t="shared" si="107"/>
        <v>-2473</v>
      </c>
      <c r="CH231" s="188">
        <f t="shared" si="98"/>
        <v>-2.1118701964133217</v>
      </c>
      <c r="CI231" s="88">
        <f t="shared" si="99"/>
        <v>3644</v>
      </c>
      <c r="CJ231" s="88"/>
      <c r="CK231" s="88">
        <f t="shared" si="108"/>
        <v>-2473</v>
      </c>
      <c r="CL231" s="89">
        <f t="shared" si="101"/>
        <v>-2.1118701964133217</v>
      </c>
      <c r="CM231" s="89"/>
      <c r="CN231" s="188"/>
      <c r="CO231" s="188"/>
      <c r="CP231" s="188"/>
      <c r="CQ231" s="188"/>
      <c r="CS231" s="2">
        <v>231</v>
      </c>
    </row>
    <row r="232" spans="1:97" ht="199.5" x14ac:dyDescent="0.25">
      <c r="A232" s="276">
        <v>12</v>
      </c>
      <c r="B232" s="269" t="s">
        <v>1843</v>
      </c>
      <c r="C232" s="269" t="s">
        <v>1269</v>
      </c>
      <c r="D232" s="189" t="s">
        <v>408</v>
      </c>
      <c r="E232" s="276" t="s">
        <v>499</v>
      </c>
      <c r="F232" s="189" t="s">
        <v>495</v>
      </c>
      <c r="G232" s="172">
        <v>5</v>
      </c>
      <c r="H232" s="276" t="s">
        <v>503</v>
      </c>
      <c r="I232" s="276">
        <v>183</v>
      </c>
      <c r="J232" s="276" t="s">
        <v>504</v>
      </c>
      <c r="K232" s="276" t="s">
        <v>991</v>
      </c>
      <c r="L232" s="189" t="s">
        <v>505</v>
      </c>
      <c r="M232" s="189"/>
      <c r="N232" s="189"/>
      <c r="O232" s="276" t="s">
        <v>137</v>
      </c>
      <c r="P232" s="276"/>
      <c r="Q232" s="276"/>
      <c r="R232" s="276"/>
      <c r="S232" s="276"/>
      <c r="T232" s="276"/>
      <c r="U232" s="276"/>
      <c r="V232" s="276"/>
      <c r="W232" s="276"/>
      <c r="X232" s="276"/>
      <c r="Y232" s="276">
        <v>1</v>
      </c>
      <c r="Z232" s="276">
        <v>0</v>
      </c>
      <c r="AA232" s="276" t="s">
        <v>1220</v>
      </c>
      <c r="AB232" s="180"/>
      <c r="AC232" s="269" t="s">
        <v>1875</v>
      </c>
      <c r="AD232" s="189" t="s">
        <v>1876</v>
      </c>
      <c r="AE232" s="269" t="s">
        <v>641</v>
      </c>
      <c r="AF232" s="189" t="s">
        <v>1300</v>
      </c>
      <c r="AG232" s="276" t="s">
        <v>1235</v>
      </c>
      <c r="AH232" s="276"/>
      <c r="AI232" s="276">
        <v>1</v>
      </c>
      <c r="AJ232" s="276" t="str">
        <f t="shared" si="110"/>
        <v>06091831</v>
      </c>
      <c r="AK232" s="189" t="s">
        <v>1877</v>
      </c>
      <c r="AL232" s="189" t="s">
        <v>137</v>
      </c>
      <c r="AM232" s="84" t="s">
        <v>3084</v>
      </c>
      <c r="AN232" s="189" t="s">
        <v>1848</v>
      </c>
      <c r="AO232" s="83" t="s">
        <v>10</v>
      </c>
      <c r="AP232" s="83" t="s">
        <v>1878</v>
      </c>
      <c r="AQ232" s="83" t="s">
        <v>3567</v>
      </c>
      <c r="AR232" s="83" t="s">
        <v>1879</v>
      </c>
      <c r="AS232" s="276" t="s">
        <v>1880</v>
      </c>
      <c r="AT232" s="83" t="s">
        <v>1881</v>
      </c>
      <c r="AU232" s="276" t="s">
        <v>1880</v>
      </c>
      <c r="AV232" s="276" t="s">
        <v>1802</v>
      </c>
      <c r="AW232" s="83" t="s">
        <v>1882</v>
      </c>
      <c r="AX232" s="83">
        <v>1</v>
      </c>
      <c r="AY232" s="83" t="str">
        <f t="shared" si="111"/>
        <v>060918311</v>
      </c>
      <c r="AZ232" s="276"/>
      <c r="BA232" s="276" t="s">
        <v>1883</v>
      </c>
      <c r="BB232" s="276" t="s">
        <v>1229</v>
      </c>
      <c r="BC232" s="276" t="s">
        <v>1884</v>
      </c>
      <c r="BD232" s="172" t="s">
        <v>1802</v>
      </c>
      <c r="BE232" s="276" t="s">
        <v>9</v>
      </c>
      <c r="BF232" s="276" t="s">
        <v>17</v>
      </c>
      <c r="BG232" s="276" t="s">
        <v>1885</v>
      </c>
      <c r="BH232" s="276"/>
      <c r="BI232" s="276"/>
      <c r="BJ232" s="276"/>
      <c r="BK232" s="276"/>
      <c r="BL232" s="276"/>
      <c r="BM232" s="86">
        <v>2015</v>
      </c>
      <c r="BN232" s="188">
        <v>0.22470000000000001</v>
      </c>
      <c r="BO232" s="187">
        <v>0.3</v>
      </c>
      <c r="BP232" s="187"/>
      <c r="BQ232" s="187">
        <f t="shared" si="102"/>
        <v>7.5299999999999978E-2</v>
      </c>
      <c r="BR232" s="276">
        <v>5</v>
      </c>
      <c r="BS232" s="188">
        <f t="shared" si="105"/>
        <v>0.23976</v>
      </c>
      <c r="BT232" s="89">
        <v>0.15540000000000001</v>
      </c>
      <c r="BU232" s="188">
        <f t="shared" si="88"/>
        <v>-6.93E-2</v>
      </c>
      <c r="BV232" s="188">
        <f t="shared" si="91"/>
        <v>-0.92031872509960189</v>
      </c>
      <c r="BW232" s="188">
        <f t="shared" si="106"/>
        <v>0.25481999999999999</v>
      </c>
      <c r="BX232" s="188">
        <v>0.26319999999999999</v>
      </c>
      <c r="BY232" s="188">
        <f t="shared" si="103"/>
        <v>3.8499999999999979E-2</v>
      </c>
      <c r="BZ232" s="89">
        <f t="shared" si="92"/>
        <v>0.51128818061088965</v>
      </c>
      <c r="CA232" s="188">
        <f t="shared" si="93"/>
        <v>0.26988000000000001</v>
      </c>
      <c r="CB232" s="188"/>
      <c r="CC232" s="188">
        <f t="shared" si="94"/>
        <v>-0.22470000000000001</v>
      </c>
      <c r="CD232" s="188">
        <f t="shared" si="95"/>
        <v>-2.9840637450199212</v>
      </c>
      <c r="CE232" s="188">
        <f t="shared" si="96"/>
        <v>0.28493999999999997</v>
      </c>
      <c r="CF232" s="188"/>
      <c r="CG232" s="188">
        <f t="shared" si="107"/>
        <v>-0.22470000000000001</v>
      </c>
      <c r="CH232" s="188">
        <f t="shared" si="98"/>
        <v>-2.9840637450199212</v>
      </c>
      <c r="CI232" s="188">
        <f t="shared" si="99"/>
        <v>0.3</v>
      </c>
      <c r="CJ232" s="188"/>
      <c r="CK232" s="188">
        <f t="shared" si="108"/>
        <v>-0.22470000000000001</v>
      </c>
      <c r="CL232" s="89">
        <f t="shared" si="101"/>
        <v>-2.9840637450199212</v>
      </c>
      <c r="CM232" s="89"/>
      <c r="CN232" s="188"/>
      <c r="CO232" s="188"/>
      <c r="CP232" s="188"/>
      <c r="CQ232" s="188"/>
      <c r="CS232" s="24">
        <v>232</v>
      </c>
    </row>
    <row r="233" spans="1:97" ht="199.5" x14ac:dyDescent="0.25">
      <c r="A233" s="276">
        <v>12</v>
      </c>
      <c r="B233" s="269" t="s">
        <v>1843</v>
      </c>
      <c r="C233" s="269" t="s">
        <v>1269</v>
      </c>
      <c r="D233" s="189" t="s">
        <v>408</v>
      </c>
      <c r="E233" s="276" t="s">
        <v>499</v>
      </c>
      <c r="F233" s="189" t="s">
        <v>495</v>
      </c>
      <c r="G233" s="172">
        <v>6</v>
      </c>
      <c r="H233" s="276" t="s">
        <v>506</v>
      </c>
      <c r="I233" s="276">
        <v>184</v>
      </c>
      <c r="J233" s="276" t="s">
        <v>507</v>
      </c>
      <c r="K233" s="276" t="s">
        <v>992</v>
      </c>
      <c r="L233" s="189" t="s">
        <v>508</v>
      </c>
      <c r="M233" s="189"/>
      <c r="N233" s="189"/>
      <c r="O233" s="276" t="s">
        <v>137</v>
      </c>
      <c r="P233" s="276"/>
      <c r="Q233" s="276"/>
      <c r="R233" s="276"/>
      <c r="S233" s="276"/>
      <c r="T233" s="276"/>
      <c r="U233" s="276"/>
      <c r="V233" s="276"/>
      <c r="W233" s="276"/>
      <c r="X233" s="276"/>
      <c r="Y233" s="276">
        <v>1</v>
      </c>
      <c r="Z233" s="276">
        <v>0</v>
      </c>
      <c r="AA233" s="276" t="s">
        <v>1220</v>
      </c>
      <c r="AB233" s="180"/>
      <c r="AC233" s="269" t="s">
        <v>1875</v>
      </c>
      <c r="AD233" s="189" t="s">
        <v>1876</v>
      </c>
      <c r="AE233" s="269" t="s">
        <v>641</v>
      </c>
      <c r="AF233" s="189" t="s">
        <v>1300</v>
      </c>
      <c r="AG233" s="276" t="s">
        <v>1235</v>
      </c>
      <c r="AH233" s="276"/>
      <c r="AI233" s="276">
        <v>1</v>
      </c>
      <c r="AJ233" s="276" t="str">
        <f t="shared" si="110"/>
        <v>06091841</v>
      </c>
      <c r="AK233" s="189" t="s">
        <v>1886</v>
      </c>
      <c r="AL233" s="189" t="s">
        <v>137</v>
      </c>
      <c r="AM233" s="84" t="s">
        <v>3084</v>
      </c>
      <c r="AN233" s="189" t="s">
        <v>1848</v>
      </c>
      <c r="AO233" s="83" t="s">
        <v>10</v>
      </c>
      <c r="AP233" s="83" t="s">
        <v>1887</v>
      </c>
      <c r="AQ233" s="83" t="s">
        <v>3568</v>
      </c>
      <c r="AR233" s="83" t="s">
        <v>1888</v>
      </c>
      <c r="AS233" s="276" t="s">
        <v>1880</v>
      </c>
      <c r="AT233" s="83" t="s">
        <v>1889</v>
      </c>
      <c r="AU233" s="276" t="s">
        <v>1880</v>
      </c>
      <c r="AV233" s="276" t="s">
        <v>1802</v>
      </c>
      <c r="AW233" s="83" t="s">
        <v>1890</v>
      </c>
      <c r="AX233" s="83">
        <v>1</v>
      </c>
      <c r="AY233" s="83" t="str">
        <f t="shared" si="111"/>
        <v>060918411</v>
      </c>
      <c r="AZ233" s="276"/>
      <c r="BA233" s="276" t="s">
        <v>1883</v>
      </c>
      <c r="BB233" s="276" t="s">
        <v>1229</v>
      </c>
      <c r="BC233" s="276" t="s">
        <v>1884</v>
      </c>
      <c r="BD233" s="172" t="s">
        <v>1802</v>
      </c>
      <c r="BE233" s="276" t="s">
        <v>9</v>
      </c>
      <c r="BF233" s="276" t="s">
        <v>17</v>
      </c>
      <c r="BG233" s="276" t="s">
        <v>1885</v>
      </c>
      <c r="BH233" s="276"/>
      <c r="BI233" s="276"/>
      <c r="BJ233" s="276"/>
      <c r="BK233" s="276"/>
      <c r="BL233" s="276"/>
      <c r="BM233" s="86">
        <v>2015</v>
      </c>
      <c r="BN233" s="188">
        <v>9.35E-2</v>
      </c>
      <c r="BO233" s="187">
        <v>0.35</v>
      </c>
      <c r="BP233" s="187"/>
      <c r="BQ233" s="187">
        <f t="shared" si="102"/>
        <v>0.25649999999999995</v>
      </c>
      <c r="BR233" s="276">
        <v>5</v>
      </c>
      <c r="BS233" s="188">
        <f t="shared" si="105"/>
        <v>0.14479999999999998</v>
      </c>
      <c r="BT233" s="89">
        <v>0.16839999999999999</v>
      </c>
      <c r="BU233" s="188">
        <f t="shared" si="88"/>
        <v>7.4899999999999994E-2</v>
      </c>
      <c r="BV233" s="188">
        <f t="shared" si="91"/>
        <v>0.29200779727095522</v>
      </c>
      <c r="BW233" s="188">
        <f t="shared" si="106"/>
        <v>0.1961</v>
      </c>
      <c r="BX233" s="188">
        <v>0.25519999999999998</v>
      </c>
      <c r="BY233" s="188">
        <f t="shared" si="103"/>
        <v>0.16169999999999998</v>
      </c>
      <c r="BZ233" s="89">
        <f t="shared" si="92"/>
        <v>0.63040935672514631</v>
      </c>
      <c r="CA233" s="188">
        <f t="shared" si="93"/>
        <v>0.24739999999999998</v>
      </c>
      <c r="CB233" s="188"/>
      <c r="CC233" s="188">
        <f t="shared" si="94"/>
        <v>-9.35E-2</v>
      </c>
      <c r="CD233" s="188">
        <f t="shared" si="95"/>
        <v>-0.36452241715399619</v>
      </c>
      <c r="CE233" s="188">
        <f t="shared" si="96"/>
        <v>0.29869999999999997</v>
      </c>
      <c r="CF233" s="188"/>
      <c r="CG233" s="188">
        <f t="shared" si="107"/>
        <v>-9.35E-2</v>
      </c>
      <c r="CH233" s="188">
        <f t="shared" si="98"/>
        <v>-0.36452241715399619</v>
      </c>
      <c r="CI233" s="188">
        <f t="shared" si="99"/>
        <v>0.35</v>
      </c>
      <c r="CJ233" s="188"/>
      <c r="CK233" s="188">
        <f t="shared" si="108"/>
        <v>-9.35E-2</v>
      </c>
      <c r="CL233" s="89">
        <f t="shared" si="101"/>
        <v>-0.36452241715399619</v>
      </c>
      <c r="CM233" s="89"/>
      <c r="CN233" s="188"/>
      <c r="CO233" s="188"/>
      <c r="CP233" s="188"/>
      <c r="CQ233" s="188"/>
      <c r="CS233" s="24">
        <v>233</v>
      </c>
    </row>
    <row r="234" spans="1:97" ht="409.5" x14ac:dyDescent="0.25">
      <c r="A234" s="276">
        <v>5</v>
      </c>
      <c r="B234" s="269" t="s">
        <v>4575</v>
      </c>
      <c r="C234" s="269" t="s">
        <v>1269</v>
      </c>
      <c r="D234" s="189" t="s">
        <v>2488</v>
      </c>
      <c r="E234" s="269" t="s">
        <v>513</v>
      </c>
      <c r="F234" s="189" t="s">
        <v>509</v>
      </c>
      <c r="G234" s="172">
        <v>186</v>
      </c>
      <c r="H234" s="276"/>
      <c r="I234" s="276"/>
      <c r="J234" s="276"/>
      <c r="K234" s="269" t="s">
        <v>2489</v>
      </c>
      <c r="L234" s="83" t="s">
        <v>516</v>
      </c>
      <c r="M234" s="276"/>
      <c r="N234" s="189"/>
      <c r="O234" s="189" t="s">
        <v>137</v>
      </c>
      <c r="P234" s="276"/>
      <c r="Q234" s="276"/>
      <c r="R234" s="276"/>
      <c r="S234" s="276"/>
      <c r="T234" s="276"/>
      <c r="U234" s="276"/>
      <c r="V234" s="276"/>
      <c r="W234" s="276"/>
      <c r="X234" s="173"/>
      <c r="Y234" s="276">
        <v>0</v>
      </c>
      <c r="Z234" s="276">
        <v>1</v>
      </c>
      <c r="AA234" s="276" t="s">
        <v>1225</v>
      </c>
      <c r="AB234" s="276"/>
      <c r="AC234" s="275" t="s">
        <v>2170</v>
      </c>
      <c r="AD234" s="189" t="s">
        <v>2462</v>
      </c>
      <c r="AE234" s="189" t="s">
        <v>2171</v>
      </c>
      <c r="AF234" s="79"/>
      <c r="AG234" s="276" t="s">
        <v>1236</v>
      </c>
      <c r="AH234" s="77"/>
      <c r="AI234" s="275">
        <v>1</v>
      </c>
      <c r="AJ234" s="83" t="str">
        <f t="shared" si="110"/>
        <v>06101861</v>
      </c>
      <c r="AK234" s="276" t="s">
        <v>2490</v>
      </c>
      <c r="AL234" s="275" t="s">
        <v>78</v>
      </c>
      <c r="AM234" s="276" t="s">
        <v>2491</v>
      </c>
      <c r="AN234" s="83" t="s">
        <v>2491</v>
      </c>
      <c r="AO234" s="78" t="s">
        <v>10</v>
      </c>
      <c r="AP234" s="276" t="s">
        <v>2492</v>
      </c>
      <c r="AQ234" s="276"/>
      <c r="AR234" s="276" t="s">
        <v>2493</v>
      </c>
      <c r="AS234" s="276" t="s">
        <v>2494</v>
      </c>
      <c r="AT234" s="276" t="s">
        <v>2494</v>
      </c>
      <c r="AU234" s="276" t="s">
        <v>2495</v>
      </c>
      <c r="AV234" s="276" t="s">
        <v>1707</v>
      </c>
      <c r="AW234" s="189" t="s">
        <v>2496</v>
      </c>
      <c r="AX234" s="275">
        <v>1</v>
      </c>
      <c r="AY234" s="276" t="str">
        <f t="shared" si="111"/>
        <v>061018611</v>
      </c>
      <c r="AZ234" s="276" t="s">
        <v>2497</v>
      </c>
      <c r="BA234" s="83" t="s">
        <v>2498</v>
      </c>
      <c r="BB234" s="83" t="s">
        <v>1392</v>
      </c>
      <c r="BC234" s="78" t="s">
        <v>11</v>
      </c>
      <c r="BD234" s="78" t="s">
        <v>1707</v>
      </c>
      <c r="BE234" s="83" t="s">
        <v>2491</v>
      </c>
      <c r="BF234" s="78" t="s">
        <v>9</v>
      </c>
      <c r="BG234" s="83" t="s">
        <v>2499</v>
      </c>
      <c r="BH234" s="78"/>
      <c r="BI234" s="276" t="s">
        <v>2500</v>
      </c>
      <c r="BJ234" s="276" t="s">
        <v>2500</v>
      </c>
      <c r="BK234" s="276" t="s">
        <v>2500</v>
      </c>
      <c r="BL234" s="275"/>
      <c r="BM234" s="275"/>
      <c r="BN234" s="275"/>
      <c r="BO234" s="275"/>
      <c r="BP234" s="275"/>
      <c r="BQ234" s="275"/>
      <c r="BR234" s="275"/>
      <c r="BS234" s="275"/>
      <c r="BT234" s="275"/>
      <c r="BU234" s="275"/>
      <c r="BV234" s="275"/>
      <c r="BW234" s="275"/>
      <c r="BX234" s="275"/>
      <c r="BY234" s="275"/>
      <c r="BZ234" s="188"/>
      <c r="CA234" s="89"/>
      <c r="CB234" s="275"/>
      <c r="CC234" s="275"/>
      <c r="CD234" s="188"/>
      <c r="CE234" s="188"/>
      <c r="CF234" s="275"/>
      <c r="CG234" s="275"/>
      <c r="CH234" s="188"/>
      <c r="CI234" s="188"/>
      <c r="CJ234" s="275"/>
      <c r="CK234" s="275"/>
      <c r="CL234" s="188"/>
      <c r="CM234" s="89"/>
      <c r="CN234" s="89"/>
      <c r="CO234" s="188"/>
      <c r="CP234" s="188"/>
      <c r="CQ234" s="188"/>
      <c r="CS234" s="2">
        <v>234</v>
      </c>
    </row>
    <row r="235" spans="1:97" ht="409.5" x14ac:dyDescent="0.25">
      <c r="A235" s="276">
        <v>5</v>
      </c>
      <c r="B235" s="269" t="s">
        <v>4575</v>
      </c>
      <c r="C235" s="269" t="s">
        <v>1269</v>
      </c>
      <c r="D235" s="189" t="s">
        <v>2488</v>
      </c>
      <c r="E235" s="269" t="s">
        <v>513</v>
      </c>
      <c r="F235" s="189" t="s">
        <v>509</v>
      </c>
      <c r="G235" s="172">
        <v>186</v>
      </c>
      <c r="H235" s="276"/>
      <c r="I235" s="276"/>
      <c r="J235" s="276"/>
      <c r="K235" s="269" t="s">
        <v>2489</v>
      </c>
      <c r="L235" s="83" t="s">
        <v>516</v>
      </c>
      <c r="M235" s="276"/>
      <c r="N235" s="189"/>
      <c r="O235" s="189" t="s">
        <v>137</v>
      </c>
      <c r="P235" s="276"/>
      <c r="Q235" s="276"/>
      <c r="R235" s="276"/>
      <c r="S235" s="276"/>
      <c r="T235" s="276"/>
      <c r="U235" s="276"/>
      <c r="V235" s="276"/>
      <c r="W235" s="276"/>
      <c r="X235" s="173"/>
      <c r="Y235" s="276">
        <v>0</v>
      </c>
      <c r="Z235" s="276">
        <v>1</v>
      </c>
      <c r="AA235" s="276" t="s">
        <v>1225</v>
      </c>
      <c r="AB235" s="276"/>
      <c r="AC235" s="275" t="s">
        <v>2170</v>
      </c>
      <c r="AD235" s="189" t="s">
        <v>2462</v>
      </c>
      <c r="AE235" s="189" t="s">
        <v>2171</v>
      </c>
      <c r="AF235" s="79"/>
      <c r="AG235" s="276" t="s">
        <v>1236</v>
      </c>
      <c r="AH235" s="77"/>
      <c r="AI235" s="275">
        <v>1</v>
      </c>
      <c r="AJ235" s="83" t="str">
        <f t="shared" si="110"/>
        <v>06101861</v>
      </c>
      <c r="AK235" s="276" t="s">
        <v>2490</v>
      </c>
      <c r="AL235" s="275" t="s">
        <v>78</v>
      </c>
      <c r="AM235" s="276" t="s">
        <v>2491</v>
      </c>
      <c r="AN235" s="83" t="s">
        <v>2491</v>
      </c>
      <c r="AO235" s="78" t="s">
        <v>10</v>
      </c>
      <c r="AP235" s="276" t="s">
        <v>2492</v>
      </c>
      <c r="AQ235" s="276"/>
      <c r="AR235" s="276" t="s">
        <v>2493</v>
      </c>
      <c r="AS235" s="276" t="s">
        <v>2494</v>
      </c>
      <c r="AT235" s="276" t="s">
        <v>2494</v>
      </c>
      <c r="AU235" s="276" t="s">
        <v>2495</v>
      </c>
      <c r="AV235" s="276" t="s">
        <v>1707</v>
      </c>
      <c r="AW235" s="189" t="s">
        <v>2496</v>
      </c>
      <c r="AX235" s="275">
        <v>2</v>
      </c>
      <c r="AY235" s="276" t="str">
        <f t="shared" si="111"/>
        <v>061018612</v>
      </c>
      <c r="AZ235" s="276" t="s">
        <v>2501</v>
      </c>
      <c r="BA235" s="83" t="s">
        <v>2502</v>
      </c>
      <c r="BB235" s="83" t="s">
        <v>1514</v>
      </c>
      <c r="BC235" s="78" t="s">
        <v>11</v>
      </c>
      <c r="BD235" s="78" t="s">
        <v>1707</v>
      </c>
      <c r="BE235" s="83" t="s">
        <v>2491</v>
      </c>
      <c r="BF235" s="78" t="s">
        <v>1767</v>
      </c>
      <c r="BG235" s="83" t="s">
        <v>2503</v>
      </c>
      <c r="BH235" s="78"/>
      <c r="BI235" s="276" t="s">
        <v>12</v>
      </c>
      <c r="BJ235" s="83" t="s">
        <v>2321</v>
      </c>
      <c r="BK235" s="83" t="s">
        <v>2322</v>
      </c>
      <c r="BL235" s="275">
        <v>2222333</v>
      </c>
      <c r="BM235" s="275"/>
      <c r="BN235" s="275"/>
      <c r="BO235" s="275"/>
      <c r="BP235" s="275"/>
      <c r="BQ235" s="275"/>
      <c r="BR235" s="275"/>
      <c r="BS235" s="275"/>
      <c r="BT235" s="275"/>
      <c r="BU235" s="275"/>
      <c r="BV235" s="275"/>
      <c r="BW235" s="275"/>
      <c r="BX235" s="275"/>
      <c r="BY235" s="275"/>
      <c r="BZ235" s="188"/>
      <c r="CA235" s="89"/>
      <c r="CB235" s="275"/>
      <c r="CC235" s="275"/>
      <c r="CD235" s="188"/>
      <c r="CE235" s="188"/>
      <c r="CF235" s="275"/>
      <c r="CG235" s="275"/>
      <c r="CH235" s="188"/>
      <c r="CI235" s="188"/>
      <c r="CJ235" s="275"/>
      <c r="CK235" s="275"/>
      <c r="CL235" s="188"/>
      <c r="CM235" s="89"/>
      <c r="CN235" s="89"/>
      <c r="CO235" s="188"/>
      <c r="CP235" s="188"/>
      <c r="CQ235" s="188"/>
      <c r="CS235" s="24">
        <v>235</v>
      </c>
    </row>
    <row r="236" spans="1:97" ht="409.5" x14ac:dyDescent="0.25">
      <c r="A236" s="276">
        <v>2</v>
      </c>
      <c r="B236" s="269" t="s">
        <v>4575</v>
      </c>
      <c r="C236" s="269" t="s">
        <v>1269</v>
      </c>
      <c r="D236" s="189" t="s">
        <v>408</v>
      </c>
      <c r="E236" s="276" t="s">
        <v>3467</v>
      </c>
      <c r="F236" s="189" t="s">
        <v>509</v>
      </c>
      <c r="G236" s="172">
        <v>2</v>
      </c>
      <c r="H236" s="276" t="s">
        <v>514</v>
      </c>
      <c r="I236" s="276">
        <v>186</v>
      </c>
      <c r="J236" s="276" t="s">
        <v>515</v>
      </c>
      <c r="K236" s="276">
        <v>6010186</v>
      </c>
      <c r="L236" s="189" t="s">
        <v>3593</v>
      </c>
      <c r="M236" s="276" t="s">
        <v>375</v>
      </c>
      <c r="N236" s="189" t="s">
        <v>415</v>
      </c>
      <c r="O236" s="189" t="s">
        <v>62</v>
      </c>
      <c r="P236" s="276" t="s">
        <v>63</v>
      </c>
      <c r="Q236" s="276" t="s">
        <v>512</v>
      </c>
      <c r="R236" s="276"/>
      <c r="S236" s="276">
        <v>1</v>
      </c>
      <c r="T236" s="276" t="s">
        <v>65</v>
      </c>
      <c r="U236" s="276"/>
      <c r="V236" s="276">
        <v>1</v>
      </c>
      <c r="W236" s="276"/>
      <c r="X236" s="173" t="e">
        <f>100/COUNTIFS(($B$4:$B$316),C236,($D$4:$D$316),E236)</f>
        <v>#DIV/0!</v>
      </c>
      <c r="Y236" s="276">
        <f>COUNTIF(T236,"RS")</f>
        <v>1</v>
      </c>
      <c r="Z236" s="276">
        <v>0</v>
      </c>
      <c r="AA236" s="276" t="s">
        <v>1220</v>
      </c>
      <c r="AB236" s="276">
        <v>1</v>
      </c>
      <c r="AC236" s="275">
        <v>8</v>
      </c>
      <c r="AD236" s="189" t="s">
        <v>3594</v>
      </c>
      <c r="AE236" s="189" t="s">
        <v>3595</v>
      </c>
      <c r="AF236" s="189" t="s">
        <v>1326</v>
      </c>
      <c r="AG236" s="83" t="s">
        <v>3547</v>
      </c>
      <c r="AH236" s="83" t="s">
        <v>3468</v>
      </c>
      <c r="AI236" s="275">
        <v>1</v>
      </c>
      <c r="AJ236" s="83" t="str">
        <f t="shared" si="110"/>
        <v>60101861</v>
      </c>
      <c r="AK236" s="83" t="s">
        <v>3548</v>
      </c>
      <c r="AL236" s="276" t="s">
        <v>1259</v>
      </c>
      <c r="AM236" s="189"/>
      <c r="AN236" s="83" t="s">
        <v>3469</v>
      </c>
      <c r="AO236" s="83" t="s">
        <v>3470</v>
      </c>
      <c r="AP236" s="276" t="s">
        <v>3471</v>
      </c>
      <c r="AQ236" s="189" t="s">
        <v>3472</v>
      </c>
      <c r="AR236" s="189" t="s">
        <v>3473</v>
      </c>
      <c r="AS236" s="275" t="s">
        <v>3474</v>
      </c>
      <c r="AT236" s="275" t="s">
        <v>1323</v>
      </c>
      <c r="AU236" s="275" t="s">
        <v>1323</v>
      </c>
      <c r="AV236" s="79" t="s">
        <v>3158</v>
      </c>
      <c r="AW236" s="189" t="s">
        <v>3181</v>
      </c>
      <c r="AX236" s="275">
        <v>1</v>
      </c>
      <c r="AY236" s="276" t="str">
        <f t="shared" si="111"/>
        <v>601018611</v>
      </c>
      <c r="AZ236" s="276" t="s">
        <v>3474</v>
      </c>
      <c r="BA236" s="276" t="s">
        <v>3475</v>
      </c>
      <c r="BB236" s="276" t="s">
        <v>1229</v>
      </c>
      <c r="BC236" s="275" t="s">
        <v>1983</v>
      </c>
      <c r="BD236" s="275" t="s">
        <v>3158</v>
      </c>
      <c r="BE236" s="275" t="s">
        <v>9</v>
      </c>
      <c r="BF236" s="275" t="s">
        <v>9</v>
      </c>
      <c r="BG236" s="83" t="s">
        <v>3476</v>
      </c>
      <c r="BH236" s="116" t="s">
        <v>3477</v>
      </c>
      <c r="BI236" s="83" t="s">
        <v>3478</v>
      </c>
      <c r="BJ236" s="83" t="s">
        <v>3479</v>
      </c>
      <c r="BK236" s="83" t="s">
        <v>3479</v>
      </c>
      <c r="BL236" s="83" t="s">
        <v>3480</v>
      </c>
      <c r="BM236" s="275">
        <v>2015</v>
      </c>
      <c r="BN236" s="175">
        <v>1938282</v>
      </c>
      <c r="BO236" s="77"/>
      <c r="BP236" s="77"/>
      <c r="BQ236" s="113">
        <f>+BO236-BN236</f>
        <v>-1938282</v>
      </c>
      <c r="BR236" s="275">
        <v>5</v>
      </c>
      <c r="BS236" s="166">
        <f>+BN236-(((BQ236)/5)*(-1))</f>
        <v>1550625.6</v>
      </c>
      <c r="BT236" s="166">
        <v>2077563</v>
      </c>
      <c r="BU236" s="221">
        <f>+BT236-BN236</f>
        <v>139281</v>
      </c>
      <c r="BV236" s="188">
        <f>+BU236/BQ236</f>
        <v>-7.1857964940086116E-2</v>
      </c>
      <c r="BW236" s="222">
        <f>+BN236-(((BQ236)/5)*(-2))</f>
        <v>1162969.2</v>
      </c>
      <c r="BX236" s="222"/>
      <c r="BY236" s="222">
        <f>+BX236-BN236</f>
        <v>-1938282</v>
      </c>
      <c r="BZ236" s="89">
        <f>+BY236/BQ236</f>
        <v>1</v>
      </c>
      <c r="CA236" s="188">
        <f>+BN236-(((BQ236)/5)*(-3))</f>
        <v>775312.79999999981</v>
      </c>
      <c r="CB236" s="188"/>
      <c r="CC236" s="188">
        <f>+CB236-BN236</f>
        <v>-1938282</v>
      </c>
      <c r="CD236" s="188">
        <f>+CC236/BQ236</f>
        <v>1</v>
      </c>
      <c r="CE236" s="188">
        <f>+BN236-(((BQ236)/5)*(-4))</f>
        <v>387656.39999999991</v>
      </c>
      <c r="CF236" s="188"/>
      <c r="CG236" s="188">
        <f>+CF236-BN236</f>
        <v>-1938282</v>
      </c>
      <c r="CH236" s="188">
        <f>+CG236/BQ236</f>
        <v>1</v>
      </c>
      <c r="CI236" s="188">
        <f>+BN236-(((BQ236)/5)*(-5))</f>
        <v>0</v>
      </c>
      <c r="CJ236" s="188"/>
      <c r="CK236" s="188">
        <f>+CJ236-BN236</f>
        <v>-1938282</v>
      </c>
      <c r="CL236" s="89">
        <f>+CK236/BQ236</f>
        <v>1</v>
      </c>
      <c r="CM236" s="89"/>
      <c r="CN236" s="188"/>
      <c r="CO236" s="188"/>
      <c r="CP236" s="188"/>
      <c r="CQ236" s="188"/>
      <c r="CS236" s="24">
        <v>236</v>
      </c>
    </row>
    <row r="237" spans="1:97" s="244" customFormat="1" ht="285" customHeight="1" x14ac:dyDescent="0.25">
      <c r="A237" s="276">
        <v>2</v>
      </c>
      <c r="B237" s="269" t="s">
        <v>4575</v>
      </c>
      <c r="C237" s="269" t="s">
        <v>1269</v>
      </c>
      <c r="D237" s="189" t="s">
        <v>408</v>
      </c>
      <c r="E237" s="276" t="s">
        <v>3467</v>
      </c>
      <c r="F237" s="189" t="s">
        <v>509</v>
      </c>
      <c r="G237" s="172">
        <v>2</v>
      </c>
      <c r="H237" s="276" t="s">
        <v>514</v>
      </c>
      <c r="I237" s="276">
        <v>186</v>
      </c>
      <c r="J237" s="276" t="s">
        <v>515</v>
      </c>
      <c r="K237" s="276">
        <v>6010186</v>
      </c>
      <c r="L237" s="189" t="s">
        <v>3593</v>
      </c>
      <c r="M237" s="276" t="s">
        <v>375</v>
      </c>
      <c r="N237" s="189" t="s">
        <v>415</v>
      </c>
      <c r="O237" s="189" t="s">
        <v>62</v>
      </c>
      <c r="P237" s="276" t="s">
        <v>63</v>
      </c>
      <c r="Q237" s="276" t="s">
        <v>512</v>
      </c>
      <c r="R237" s="276"/>
      <c r="S237" s="276">
        <v>1</v>
      </c>
      <c r="T237" s="276" t="s">
        <v>65</v>
      </c>
      <c r="U237" s="276"/>
      <c r="V237" s="276">
        <v>1</v>
      </c>
      <c r="W237" s="276"/>
      <c r="X237" s="173"/>
      <c r="Y237" s="276">
        <f>COUNTIF(T237,"RS")</f>
        <v>1</v>
      </c>
      <c r="Z237" s="276">
        <v>0</v>
      </c>
      <c r="AA237" s="276" t="s">
        <v>1220</v>
      </c>
      <c r="AB237" s="276">
        <v>1</v>
      </c>
      <c r="AC237" s="275">
        <v>8</v>
      </c>
      <c r="AD237" s="189" t="s">
        <v>3596</v>
      </c>
      <c r="AE237" s="189" t="s">
        <v>3481</v>
      </c>
      <c r="AF237" s="189" t="s">
        <v>3482</v>
      </c>
      <c r="AG237" s="83" t="s">
        <v>3166</v>
      </c>
      <c r="AH237" s="83"/>
      <c r="AI237" s="275">
        <v>1</v>
      </c>
      <c r="AJ237" s="83" t="str">
        <f t="shared" si="110"/>
        <v>60101861</v>
      </c>
      <c r="AK237" s="83" t="s">
        <v>3483</v>
      </c>
      <c r="AL237" s="276" t="s">
        <v>1259</v>
      </c>
      <c r="AM237" s="189"/>
      <c r="AN237" s="83" t="s">
        <v>1375</v>
      </c>
      <c r="AO237" s="83" t="s">
        <v>10</v>
      </c>
      <c r="AP237" s="276" t="s">
        <v>3484</v>
      </c>
      <c r="AQ237" s="189"/>
      <c r="AR237" s="189" t="s">
        <v>3485</v>
      </c>
      <c r="AS237" s="276" t="s">
        <v>3486</v>
      </c>
      <c r="AT237" s="189" t="s">
        <v>3487</v>
      </c>
      <c r="AU237" s="276" t="s">
        <v>3486</v>
      </c>
      <c r="AV237" s="79" t="s">
        <v>3488</v>
      </c>
      <c r="AW237" s="189" t="s">
        <v>3489</v>
      </c>
      <c r="AX237" s="275">
        <v>1</v>
      </c>
      <c r="AY237" s="276" t="str">
        <f t="shared" si="111"/>
        <v>601018611</v>
      </c>
      <c r="AZ237" s="276" t="s">
        <v>3486</v>
      </c>
      <c r="BA237" s="276" t="s">
        <v>3490</v>
      </c>
      <c r="BB237" s="276" t="s">
        <v>3491</v>
      </c>
      <c r="BC237" s="275" t="s">
        <v>1983</v>
      </c>
      <c r="BD237" s="275" t="s">
        <v>3488</v>
      </c>
      <c r="BE237" s="275" t="s">
        <v>9</v>
      </c>
      <c r="BF237" s="275" t="s">
        <v>9</v>
      </c>
      <c r="BG237" s="83" t="s">
        <v>3492</v>
      </c>
      <c r="BH237" s="83" t="s">
        <v>3493</v>
      </c>
      <c r="BI237" s="83" t="s">
        <v>3494</v>
      </c>
      <c r="BJ237" s="83" t="s">
        <v>3494</v>
      </c>
      <c r="BK237" s="83" t="s">
        <v>3494</v>
      </c>
      <c r="BL237" s="223" t="s">
        <v>3495</v>
      </c>
      <c r="BM237" s="275">
        <v>2015</v>
      </c>
      <c r="BN237" s="175">
        <v>10.3</v>
      </c>
      <c r="BO237" s="77"/>
      <c r="BP237" s="77"/>
      <c r="BQ237" s="113"/>
      <c r="BR237" s="275"/>
      <c r="BS237" s="166"/>
      <c r="BT237" s="166">
        <v>1.7</v>
      </c>
      <c r="BU237" s="221"/>
      <c r="BV237" s="188"/>
      <c r="BW237" s="222"/>
      <c r="BX237" s="222">
        <v>-0.3</v>
      </c>
      <c r="BY237" s="222"/>
      <c r="BZ237" s="89"/>
      <c r="CA237" s="188"/>
      <c r="CB237" s="188"/>
      <c r="CC237" s="188"/>
      <c r="CD237" s="188"/>
      <c r="CE237" s="188"/>
      <c r="CF237" s="188"/>
      <c r="CG237" s="188"/>
      <c r="CH237" s="188"/>
      <c r="CI237" s="188"/>
      <c r="CJ237" s="188"/>
      <c r="CK237" s="188"/>
      <c r="CL237" s="89"/>
      <c r="CM237" s="89"/>
      <c r="CN237" s="188"/>
      <c r="CO237" s="188"/>
      <c r="CP237" s="188"/>
      <c r="CQ237" s="188"/>
      <c r="CS237" s="2">
        <v>237</v>
      </c>
    </row>
    <row r="238" spans="1:97" s="244" customFormat="1" ht="285" customHeight="1" x14ac:dyDescent="0.25">
      <c r="A238" s="276">
        <v>12</v>
      </c>
      <c r="B238" s="269" t="s">
        <v>1843</v>
      </c>
      <c r="C238" s="269" t="s">
        <v>1269</v>
      </c>
      <c r="D238" s="189" t="s">
        <v>408</v>
      </c>
      <c r="E238" s="276" t="s">
        <v>1891</v>
      </c>
      <c r="F238" s="189" t="s">
        <v>519</v>
      </c>
      <c r="G238" s="172">
        <v>1</v>
      </c>
      <c r="H238" s="276" t="s">
        <v>520</v>
      </c>
      <c r="I238" s="276">
        <v>189</v>
      </c>
      <c r="J238" s="276" t="s">
        <v>521</v>
      </c>
      <c r="K238" s="276" t="s">
        <v>997</v>
      </c>
      <c r="L238" s="189" t="s">
        <v>522</v>
      </c>
      <c r="M238" s="189"/>
      <c r="N238" s="189"/>
      <c r="O238" s="276" t="s">
        <v>137</v>
      </c>
      <c r="P238" s="276"/>
      <c r="Q238" s="276"/>
      <c r="R238" s="276"/>
      <c r="S238" s="276"/>
      <c r="T238" s="276"/>
      <c r="U238" s="276"/>
      <c r="V238" s="276"/>
      <c r="W238" s="276"/>
      <c r="X238" s="276"/>
      <c r="Y238" s="276">
        <v>1</v>
      </c>
      <c r="Z238" s="276">
        <v>0</v>
      </c>
      <c r="AA238" s="276" t="s">
        <v>1221</v>
      </c>
      <c r="AB238" s="180"/>
      <c r="AC238" s="269" t="s">
        <v>1892</v>
      </c>
      <c r="AD238" s="189" t="s">
        <v>1893</v>
      </c>
      <c r="AE238" s="269" t="s">
        <v>1894</v>
      </c>
      <c r="AF238" s="189" t="s">
        <v>1895</v>
      </c>
      <c r="AG238" s="276" t="s">
        <v>1236</v>
      </c>
      <c r="AH238" s="276"/>
      <c r="AI238" s="276">
        <v>1</v>
      </c>
      <c r="AJ238" s="276" t="str">
        <f t="shared" si="110"/>
        <v>060121891</v>
      </c>
      <c r="AK238" s="189" t="s">
        <v>1896</v>
      </c>
      <c r="AL238" s="189" t="s">
        <v>137</v>
      </c>
      <c r="AM238" s="84"/>
      <c r="AN238" s="189" t="s">
        <v>1897</v>
      </c>
      <c r="AO238" s="276" t="s">
        <v>10</v>
      </c>
      <c r="AP238" s="83" t="s">
        <v>1898</v>
      </c>
      <c r="AQ238" s="83" t="s">
        <v>3569</v>
      </c>
      <c r="AR238" s="189" t="s">
        <v>1899</v>
      </c>
      <c r="AS238" s="189" t="s">
        <v>1900</v>
      </c>
      <c r="AT238" s="189" t="s">
        <v>1901</v>
      </c>
      <c r="AU238" s="189" t="s">
        <v>1900</v>
      </c>
      <c r="AV238" s="276" t="s">
        <v>1902</v>
      </c>
      <c r="AW238" s="83" t="s">
        <v>1903</v>
      </c>
      <c r="AX238" s="83">
        <v>1</v>
      </c>
      <c r="AY238" s="83" t="str">
        <f t="shared" si="111"/>
        <v>0601218911</v>
      </c>
      <c r="AZ238" s="276" t="s">
        <v>1904</v>
      </c>
      <c r="BA238" s="189" t="s">
        <v>1905</v>
      </c>
      <c r="BB238" s="276" t="s">
        <v>1591</v>
      </c>
      <c r="BC238" s="276" t="s">
        <v>1358</v>
      </c>
      <c r="BD238" s="276" t="s">
        <v>1906</v>
      </c>
      <c r="BE238" s="275" t="s">
        <v>9</v>
      </c>
      <c r="BF238" s="276" t="s">
        <v>1907</v>
      </c>
      <c r="BG238" s="189" t="s">
        <v>1908</v>
      </c>
      <c r="BH238" s="276" t="s">
        <v>1909</v>
      </c>
      <c r="BI238" s="276" t="s">
        <v>1910</v>
      </c>
      <c r="BJ238" s="276" t="s">
        <v>1911</v>
      </c>
      <c r="BK238" s="276" t="s">
        <v>1912</v>
      </c>
      <c r="BL238" s="276" t="s">
        <v>1913</v>
      </c>
      <c r="BM238" s="172">
        <v>2015</v>
      </c>
      <c r="BN238" s="188">
        <v>0.157</v>
      </c>
      <c r="BO238" s="91">
        <v>0.28000000000000003</v>
      </c>
      <c r="BP238" s="187"/>
      <c r="BQ238" s="187">
        <f t="shared" ref="BQ238:BQ258" si="112">+BO238-BN238</f>
        <v>0.12300000000000003</v>
      </c>
      <c r="BR238" s="276">
        <v>5</v>
      </c>
      <c r="BS238" s="188">
        <f t="shared" ref="BS238:BS258" si="113">+BN238-(((BQ238)/5)*(-1))</f>
        <v>0.18160000000000001</v>
      </c>
      <c r="BT238" s="89">
        <v>0.19500000000000001</v>
      </c>
      <c r="BU238" s="188">
        <f t="shared" ref="BU238:BU263" si="114">+BT238-BN238</f>
        <v>3.8000000000000006E-2</v>
      </c>
      <c r="BV238" s="188">
        <f t="shared" ref="BV238:BV258" si="115">+BU238/BQ238</f>
        <v>0.30894308943089427</v>
      </c>
      <c r="BW238" s="188">
        <f t="shared" ref="BW238:BW258" si="116">+BN238-(((BQ238)/5)*(-2))</f>
        <v>0.20619999999999999</v>
      </c>
      <c r="BX238" s="188">
        <v>0.13239999999999999</v>
      </c>
      <c r="BY238" s="188">
        <f t="shared" ref="BY238:BY258" si="117">+BX238-BN238</f>
        <v>-2.4600000000000011E-2</v>
      </c>
      <c r="BZ238" s="89">
        <f t="shared" ref="BZ238:BZ258" si="118">+BY238/BQ238</f>
        <v>-0.20000000000000004</v>
      </c>
      <c r="CA238" s="188">
        <f t="shared" ref="CA238:CA258" si="119">+BN238-(((BQ238)/5)*(-3))</f>
        <v>0.23080000000000001</v>
      </c>
      <c r="CB238" s="188"/>
      <c r="CC238" s="188">
        <f t="shared" ref="CC238:CC258" si="120">+CB238-BN238</f>
        <v>-0.157</v>
      </c>
      <c r="CD238" s="188">
        <f t="shared" ref="CD238:CD258" si="121">+CC238/BQ238</f>
        <v>-1.276422764227642</v>
      </c>
      <c r="CE238" s="188">
        <f t="shared" ref="CE238:CE258" si="122">+BN238-(((BQ238)/5)*(-4))</f>
        <v>0.25540000000000002</v>
      </c>
      <c r="CF238" s="188"/>
      <c r="CG238" s="188">
        <f t="shared" ref="CG238:CG258" si="123">+CF238-BN238</f>
        <v>-0.157</v>
      </c>
      <c r="CH238" s="188">
        <f t="shared" ref="CH238:CH258" si="124">+CG238/BQ238</f>
        <v>-1.276422764227642</v>
      </c>
      <c r="CI238" s="188">
        <f t="shared" ref="CI238:CI258" si="125">+BN238-(((BQ238)/5)*(-5))</f>
        <v>0.28000000000000003</v>
      </c>
      <c r="CJ238" s="188"/>
      <c r="CK238" s="188">
        <f t="shared" ref="CK238:CK263" si="126">+CJ238-BN238</f>
        <v>-0.157</v>
      </c>
      <c r="CL238" s="89">
        <f t="shared" ref="CL238:CL259" si="127">+CK238/BQ238</f>
        <v>-1.276422764227642</v>
      </c>
      <c r="CM238" s="89"/>
      <c r="CN238" s="188"/>
      <c r="CO238" s="188"/>
      <c r="CP238" s="188"/>
      <c r="CQ238" s="188"/>
      <c r="CS238" s="24">
        <v>238</v>
      </c>
    </row>
    <row r="239" spans="1:97" s="244" customFormat="1" ht="213.75" x14ac:dyDescent="0.25">
      <c r="A239" s="276">
        <v>12</v>
      </c>
      <c r="B239" s="269" t="s">
        <v>1843</v>
      </c>
      <c r="C239" s="269" t="s">
        <v>1269</v>
      </c>
      <c r="D239" s="189" t="s">
        <v>408</v>
      </c>
      <c r="E239" s="276" t="s">
        <v>1891</v>
      </c>
      <c r="F239" s="189" t="s">
        <v>519</v>
      </c>
      <c r="G239" s="172">
        <v>3</v>
      </c>
      <c r="H239" s="276" t="s">
        <v>524</v>
      </c>
      <c r="I239" s="276">
        <v>191</v>
      </c>
      <c r="J239" s="276" t="s">
        <v>525</v>
      </c>
      <c r="K239" s="276" t="s">
        <v>999</v>
      </c>
      <c r="L239" s="189" t="s">
        <v>526</v>
      </c>
      <c r="M239" s="189"/>
      <c r="N239" s="189"/>
      <c r="O239" s="276" t="s">
        <v>137</v>
      </c>
      <c r="P239" s="276"/>
      <c r="Q239" s="276"/>
      <c r="R239" s="276"/>
      <c r="S239" s="276"/>
      <c r="T239" s="276"/>
      <c r="U239" s="276"/>
      <c r="V239" s="276"/>
      <c r="W239" s="276"/>
      <c r="X239" s="276"/>
      <c r="Y239" s="276">
        <v>1</v>
      </c>
      <c r="Z239" s="276">
        <v>0</v>
      </c>
      <c r="AA239" s="276" t="s">
        <v>1221</v>
      </c>
      <c r="AB239" s="180"/>
      <c r="AC239" s="269" t="s">
        <v>1892</v>
      </c>
      <c r="AD239" s="189" t="s">
        <v>1893</v>
      </c>
      <c r="AE239" s="269" t="s">
        <v>1894</v>
      </c>
      <c r="AF239" s="189" t="s">
        <v>1895</v>
      </c>
      <c r="AG239" s="276" t="s">
        <v>1236</v>
      </c>
      <c r="AH239" s="276"/>
      <c r="AI239" s="276">
        <v>1</v>
      </c>
      <c r="AJ239" s="276" t="str">
        <f t="shared" si="110"/>
        <v>060121911</v>
      </c>
      <c r="AK239" s="189" t="s">
        <v>1914</v>
      </c>
      <c r="AL239" s="276" t="s">
        <v>137</v>
      </c>
      <c r="AM239" s="276" t="s">
        <v>1915</v>
      </c>
      <c r="AN239" s="189" t="s">
        <v>1897</v>
      </c>
      <c r="AO239" s="276" t="s">
        <v>1916</v>
      </c>
      <c r="AP239" s="276" t="s">
        <v>1917</v>
      </c>
      <c r="AQ239" s="276" t="s">
        <v>1918</v>
      </c>
      <c r="AR239" s="276" t="s">
        <v>1918</v>
      </c>
      <c r="AS239" s="189" t="s">
        <v>1900</v>
      </c>
      <c r="AT239" s="76"/>
      <c r="AU239" s="275"/>
      <c r="AV239" s="276" t="s">
        <v>1902</v>
      </c>
      <c r="AW239" s="83" t="s">
        <v>1903</v>
      </c>
      <c r="AX239" s="83">
        <v>1</v>
      </c>
      <c r="AY239" s="83" t="str">
        <f t="shared" si="111"/>
        <v>0601219111</v>
      </c>
      <c r="AZ239" s="276" t="s">
        <v>1904</v>
      </c>
      <c r="BA239" s="189" t="s">
        <v>1905</v>
      </c>
      <c r="BB239" s="276" t="s">
        <v>1591</v>
      </c>
      <c r="BC239" s="276" t="s">
        <v>1358</v>
      </c>
      <c r="BD239" s="276" t="s">
        <v>1906</v>
      </c>
      <c r="BE239" s="275" t="s">
        <v>9</v>
      </c>
      <c r="BF239" s="276" t="s">
        <v>1907</v>
      </c>
      <c r="BG239" s="189" t="s">
        <v>1908</v>
      </c>
      <c r="BH239" s="276" t="s">
        <v>1909</v>
      </c>
      <c r="BI239" s="276" t="s">
        <v>1910</v>
      </c>
      <c r="BJ239" s="276" t="s">
        <v>1911</v>
      </c>
      <c r="BK239" s="276" t="s">
        <v>1912</v>
      </c>
      <c r="BL239" s="276" t="s">
        <v>1913</v>
      </c>
      <c r="BM239" s="172">
        <v>2015</v>
      </c>
      <c r="BN239" s="87">
        <v>387</v>
      </c>
      <c r="BO239" s="87">
        <v>800</v>
      </c>
      <c r="BP239" s="187"/>
      <c r="BQ239" s="87">
        <f t="shared" si="112"/>
        <v>413</v>
      </c>
      <c r="BR239" s="276">
        <v>5</v>
      </c>
      <c r="BS239" s="88">
        <f t="shared" si="113"/>
        <v>469.6</v>
      </c>
      <c r="BT239" s="88">
        <v>381</v>
      </c>
      <c r="BU239" s="88">
        <f t="shared" si="114"/>
        <v>-6</v>
      </c>
      <c r="BV239" s="188">
        <f t="shared" si="115"/>
        <v>-1.4527845036319613E-2</v>
      </c>
      <c r="BW239" s="88">
        <f t="shared" si="116"/>
        <v>552.20000000000005</v>
      </c>
      <c r="BX239" s="88">
        <v>235</v>
      </c>
      <c r="BY239" s="88">
        <f t="shared" si="117"/>
        <v>-152</v>
      </c>
      <c r="BZ239" s="89">
        <f t="shared" si="118"/>
        <v>-0.36803874092009686</v>
      </c>
      <c r="CA239" s="88">
        <f t="shared" si="119"/>
        <v>634.79999999999995</v>
      </c>
      <c r="CB239" s="88"/>
      <c r="CC239" s="88">
        <f t="shared" si="120"/>
        <v>-387</v>
      </c>
      <c r="CD239" s="188">
        <f t="shared" si="121"/>
        <v>-0.93704600484261502</v>
      </c>
      <c r="CE239" s="88">
        <f t="shared" si="122"/>
        <v>717.4</v>
      </c>
      <c r="CF239" s="88"/>
      <c r="CG239" s="88">
        <f t="shared" si="123"/>
        <v>-387</v>
      </c>
      <c r="CH239" s="188">
        <f t="shared" si="124"/>
        <v>-0.93704600484261502</v>
      </c>
      <c r="CI239" s="88">
        <f t="shared" si="125"/>
        <v>800</v>
      </c>
      <c r="CJ239" s="88"/>
      <c r="CK239" s="88">
        <f t="shared" si="126"/>
        <v>-387</v>
      </c>
      <c r="CL239" s="89">
        <f t="shared" si="127"/>
        <v>-0.93704600484261502</v>
      </c>
      <c r="CM239" s="89"/>
      <c r="CN239" s="188"/>
      <c r="CO239" s="188"/>
      <c r="CP239" s="188"/>
      <c r="CQ239" s="188"/>
      <c r="CS239" s="24">
        <v>239</v>
      </c>
    </row>
    <row r="240" spans="1:97" s="244" customFormat="1" ht="370.5" customHeight="1" x14ac:dyDescent="0.25">
      <c r="A240" s="276">
        <v>15</v>
      </c>
      <c r="B240" s="269" t="s">
        <v>1642</v>
      </c>
      <c r="C240" s="269" t="s">
        <v>1270</v>
      </c>
      <c r="D240" s="189" t="s">
        <v>527</v>
      </c>
      <c r="E240" s="276" t="s">
        <v>536</v>
      </c>
      <c r="F240" s="189" t="s">
        <v>533</v>
      </c>
      <c r="G240" s="172">
        <v>20</v>
      </c>
      <c r="H240" s="276" t="s">
        <v>570</v>
      </c>
      <c r="I240" s="276">
        <v>215</v>
      </c>
      <c r="J240" s="276" t="s">
        <v>571</v>
      </c>
      <c r="K240" s="276" t="s">
        <v>1023</v>
      </c>
      <c r="L240" s="83" t="s">
        <v>572</v>
      </c>
      <c r="M240" s="276" t="s">
        <v>529</v>
      </c>
      <c r="N240" s="189" t="s">
        <v>573</v>
      </c>
      <c r="O240" s="83" t="s">
        <v>62</v>
      </c>
      <c r="P240" s="276" t="s">
        <v>189</v>
      </c>
      <c r="Q240" s="276" t="s">
        <v>573</v>
      </c>
      <c r="R240" s="276">
        <v>1</v>
      </c>
      <c r="S240" s="276"/>
      <c r="T240" s="276" t="s">
        <v>65</v>
      </c>
      <c r="U240" s="276"/>
      <c r="V240" s="276"/>
      <c r="W240" s="78" t="s">
        <v>538</v>
      </c>
      <c r="X240" s="173" t="e">
        <f>100/COUNTIFS(($B$4:$B$12),C240,($D$4:$D$12),E240)</f>
        <v>#DIV/0!</v>
      </c>
      <c r="Y240" s="83">
        <f t="shared" ref="Y240:Y250" si="128">COUNTIF(T240,"RS")</f>
        <v>1</v>
      </c>
      <c r="Z240" s="83">
        <v>0</v>
      </c>
      <c r="AA240" s="276" t="s">
        <v>1220</v>
      </c>
      <c r="AB240" s="276"/>
      <c r="AC240" s="78">
        <v>7</v>
      </c>
      <c r="AD240" s="83" t="s">
        <v>1306</v>
      </c>
      <c r="AE240" s="83"/>
      <c r="AF240" s="83"/>
      <c r="AG240" s="275" t="s">
        <v>1235</v>
      </c>
      <c r="AH240" s="77"/>
      <c r="AI240" s="275">
        <v>1</v>
      </c>
      <c r="AJ240" s="83" t="str">
        <f t="shared" si="110"/>
        <v>07022151</v>
      </c>
      <c r="AK240" s="276" t="s">
        <v>1656</v>
      </c>
      <c r="AL240" s="189" t="s">
        <v>78</v>
      </c>
      <c r="AM240" s="189"/>
      <c r="AN240" s="83" t="s">
        <v>1657</v>
      </c>
      <c r="AO240" s="83" t="s">
        <v>10</v>
      </c>
      <c r="AP240" s="189" t="s">
        <v>1658</v>
      </c>
      <c r="AQ240" s="83" t="s">
        <v>1659</v>
      </c>
      <c r="AR240" s="189" t="s">
        <v>1660</v>
      </c>
      <c r="AS240" s="189" t="s">
        <v>1661</v>
      </c>
      <c r="AT240" s="189" t="s">
        <v>1662</v>
      </c>
      <c r="AU240" s="189" t="s">
        <v>1661</v>
      </c>
      <c r="AV240" s="83" t="s">
        <v>1663</v>
      </c>
      <c r="AW240" s="276" t="s">
        <v>1664</v>
      </c>
      <c r="AX240" s="276">
        <v>1</v>
      </c>
      <c r="AY240" s="276" t="str">
        <f t="shared" si="111"/>
        <v>070221511</v>
      </c>
      <c r="AZ240" s="276" t="s">
        <v>1631</v>
      </c>
      <c r="BA240" s="276" t="s">
        <v>1632</v>
      </c>
      <c r="BB240" s="83" t="s">
        <v>1229</v>
      </c>
      <c r="BC240" s="83" t="s">
        <v>1358</v>
      </c>
      <c r="BD240" s="83" t="s">
        <v>1663</v>
      </c>
      <c r="BE240" s="83" t="s">
        <v>1665</v>
      </c>
      <c r="BF240" s="83" t="s">
        <v>1665</v>
      </c>
      <c r="BG240" s="276" t="s">
        <v>1666</v>
      </c>
      <c r="BH240" s="276" t="s">
        <v>1667</v>
      </c>
      <c r="BI240" s="276" t="s">
        <v>1638</v>
      </c>
      <c r="BJ240" s="276" t="s">
        <v>1639</v>
      </c>
      <c r="BK240" s="276" t="s">
        <v>1668</v>
      </c>
      <c r="BL240" s="276" t="s">
        <v>1641</v>
      </c>
      <c r="BM240" s="83">
        <v>2015</v>
      </c>
      <c r="BN240" s="82">
        <f>1924/4878</f>
        <v>0.39442394423944238</v>
      </c>
      <c r="BO240" s="82">
        <f>(1924+2954)/(1924+2954)</f>
        <v>1</v>
      </c>
      <c r="BP240" s="81">
        <f>(4878+2816.44)/(4878+2816.44)</f>
        <v>1</v>
      </c>
      <c r="BQ240" s="81">
        <f t="shared" si="112"/>
        <v>0.60557605576055762</v>
      </c>
      <c r="BR240" s="276">
        <v>5</v>
      </c>
      <c r="BS240" s="188">
        <f t="shared" si="113"/>
        <v>0.51553915539155393</v>
      </c>
      <c r="BT240" s="81">
        <f>+(1924+34)/4878</f>
        <v>0.4013940139401394</v>
      </c>
      <c r="BU240" s="81">
        <f t="shared" si="114"/>
        <v>6.9700697006970236E-3</v>
      </c>
      <c r="BV240" s="81">
        <f t="shared" si="115"/>
        <v>1.1509817197021016E-2</v>
      </c>
      <c r="BW240" s="188">
        <f t="shared" si="116"/>
        <v>0.63665436654366547</v>
      </c>
      <c r="BX240" s="81">
        <f>(120+34+1924)/4878</f>
        <v>0.42599425994259943</v>
      </c>
      <c r="BY240" s="188">
        <f t="shared" si="117"/>
        <v>3.1570315703157048E-2</v>
      </c>
      <c r="BZ240" s="150">
        <f t="shared" si="118"/>
        <v>5.2132701421800973E-2</v>
      </c>
      <c r="CA240" s="188">
        <f t="shared" si="119"/>
        <v>0.75776957769577691</v>
      </c>
      <c r="CB240" s="81"/>
      <c r="CC240" s="188">
        <f t="shared" si="120"/>
        <v>-0.39442394423944238</v>
      </c>
      <c r="CD240" s="81">
        <f t="shared" si="121"/>
        <v>-0.65132024373730535</v>
      </c>
      <c r="CE240" s="188">
        <f t="shared" si="122"/>
        <v>0.87888478884788845</v>
      </c>
      <c r="CF240" s="81"/>
      <c r="CG240" s="188">
        <f t="shared" si="123"/>
        <v>-0.39442394423944238</v>
      </c>
      <c r="CH240" s="81">
        <f t="shared" si="124"/>
        <v>-0.65132024373730535</v>
      </c>
      <c r="CI240" s="188">
        <f t="shared" si="125"/>
        <v>1</v>
      </c>
      <c r="CJ240" s="81"/>
      <c r="CK240" s="188">
        <f t="shared" si="126"/>
        <v>-0.39442394423944238</v>
      </c>
      <c r="CL240" s="81">
        <f t="shared" si="127"/>
        <v>-0.65132024373730535</v>
      </c>
      <c r="CM240" s="187" t="s">
        <v>11</v>
      </c>
      <c r="CN240" s="140"/>
      <c r="CO240" s="140"/>
      <c r="CP240" s="140"/>
      <c r="CQ240" s="140"/>
      <c r="CS240" s="2">
        <v>240</v>
      </c>
    </row>
    <row r="241" spans="1:97" s="244" customFormat="1" ht="370.5" customHeight="1" x14ac:dyDescent="0.25">
      <c r="A241" s="276">
        <v>15</v>
      </c>
      <c r="B241" s="269" t="s">
        <v>1642</v>
      </c>
      <c r="C241" s="269" t="s">
        <v>1270</v>
      </c>
      <c r="D241" s="189" t="s">
        <v>527</v>
      </c>
      <c r="E241" s="276" t="s">
        <v>536</v>
      </c>
      <c r="F241" s="189" t="s">
        <v>533</v>
      </c>
      <c r="G241" s="172">
        <v>20</v>
      </c>
      <c r="H241" s="276"/>
      <c r="I241" s="276"/>
      <c r="J241" s="276"/>
      <c r="K241" s="276" t="s">
        <v>1023</v>
      </c>
      <c r="L241" s="83" t="s">
        <v>572</v>
      </c>
      <c r="M241" s="276"/>
      <c r="N241" s="189"/>
      <c r="O241" s="83" t="s">
        <v>62</v>
      </c>
      <c r="P241" s="276"/>
      <c r="Q241" s="276"/>
      <c r="R241" s="276"/>
      <c r="S241" s="276"/>
      <c r="T241" s="276"/>
      <c r="U241" s="276"/>
      <c r="V241" s="276"/>
      <c r="W241" s="78"/>
      <c r="X241" s="173"/>
      <c r="Y241" s="83">
        <f t="shared" si="128"/>
        <v>0</v>
      </c>
      <c r="Z241" s="83">
        <v>0</v>
      </c>
      <c r="AA241" s="276" t="s">
        <v>1220</v>
      </c>
      <c r="AB241" s="276"/>
      <c r="AC241" s="78">
        <v>7</v>
      </c>
      <c r="AD241" s="83" t="s">
        <v>1669</v>
      </c>
      <c r="AE241" s="83"/>
      <c r="AF241" s="83"/>
      <c r="AG241" s="275" t="s">
        <v>1235</v>
      </c>
      <c r="AH241" s="77"/>
      <c r="AI241" s="275"/>
      <c r="AJ241" s="83" t="str">
        <f t="shared" si="110"/>
        <v>0702215</v>
      </c>
      <c r="AK241" s="276" t="s">
        <v>1670</v>
      </c>
      <c r="AL241" s="189" t="s">
        <v>78</v>
      </c>
      <c r="AM241" s="189"/>
      <c r="AN241" s="83" t="s">
        <v>1657</v>
      </c>
      <c r="AO241" s="83" t="s">
        <v>10</v>
      </c>
      <c r="AP241" s="189" t="s">
        <v>1671</v>
      </c>
      <c r="AQ241" s="83" t="s">
        <v>1672</v>
      </c>
      <c r="AR241" s="189" t="s">
        <v>1673</v>
      </c>
      <c r="AS241" s="189" t="s">
        <v>1661</v>
      </c>
      <c r="AT241" s="189" t="s">
        <v>1674</v>
      </c>
      <c r="AU241" s="189" t="s">
        <v>1661</v>
      </c>
      <c r="AV241" s="83" t="s">
        <v>1663</v>
      </c>
      <c r="AW241" s="276" t="s">
        <v>1675</v>
      </c>
      <c r="AX241" s="276">
        <v>1</v>
      </c>
      <c r="AY241" s="276" t="str">
        <f t="shared" si="111"/>
        <v>07022151</v>
      </c>
      <c r="AZ241" s="276" t="s">
        <v>1631</v>
      </c>
      <c r="BA241" s="276" t="s">
        <v>1632</v>
      </c>
      <c r="BB241" s="83" t="s">
        <v>1229</v>
      </c>
      <c r="BC241" s="83" t="s">
        <v>1358</v>
      </c>
      <c r="BD241" s="83" t="s">
        <v>1663</v>
      </c>
      <c r="BE241" s="83" t="s">
        <v>1665</v>
      </c>
      <c r="BF241" s="83" t="s">
        <v>1665</v>
      </c>
      <c r="BG241" s="276" t="s">
        <v>1666</v>
      </c>
      <c r="BH241" s="276" t="s">
        <v>1667</v>
      </c>
      <c r="BI241" s="276" t="s">
        <v>1638</v>
      </c>
      <c r="BJ241" s="276" t="s">
        <v>1639</v>
      </c>
      <c r="BK241" s="276" t="s">
        <v>1668</v>
      </c>
      <c r="BL241" s="276" t="s">
        <v>1641</v>
      </c>
      <c r="BM241" s="83">
        <v>2015</v>
      </c>
      <c r="BN241" s="82">
        <f>479.1/1924</f>
        <v>0.24901247401247403</v>
      </c>
      <c r="BO241" s="151">
        <f>(1926.1/4878)</f>
        <v>0.39485444854448543</v>
      </c>
      <c r="BP241" s="81">
        <f>4412.5/7694.4</f>
        <v>0.57346901642753179</v>
      </c>
      <c r="BQ241" s="81">
        <f t="shared" si="112"/>
        <v>0.14584197453201139</v>
      </c>
      <c r="BR241" s="276">
        <v>5</v>
      </c>
      <c r="BS241" s="188">
        <f t="shared" si="113"/>
        <v>0.27818086891887633</v>
      </c>
      <c r="BT241" s="81">
        <f>(479.14/1958)</f>
        <v>0.24470888661899898</v>
      </c>
      <c r="BU241" s="81">
        <f t="shared" si="114"/>
        <v>-4.3035873934750557E-3</v>
      </c>
      <c r="BV241" s="81">
        <f t="shared" si="115"/>
        <v>-2.9508565056697345E-2</v>
      </c>
      <c r="BW241" s="188">
        <f t="shared" si="116"/>
        <v>0.30734926382527861</v>
      </c>
      <c r="BX241" s="81">
        <f>(479.14+120)/2078</f>
        <v>0.28832531280076995</v>
      </c>
      <c r="BY241" s="150">
        <f t="shared" si="117"/>
        <v>3.9312838788295917E-2</v>
      </c>
      <c r="BZ241" s="150">
        <f t="shared" si="118"/>
        <v>0.26955777933236219</v>
      </c>
      <c r="CA241" s="188">
        <f t="shared" si="119"/>
        <v>0.33651765873168088</v>
      </c>
      <c r="CB241" s="81"/>
      <c r="CC241" s="188">
        <f t="shared" si="120"/>
        <v>-0.24901247401247403</v>
      </c>
      <c r="CD241" s="81">
        <f t="shared" si="121"/>
        <v>-1.7074129365810071</v>
      </c>
      <c r="CE241" s="188">
        <f t="shared" si="122"/>
        <v>0.36568605363808315</v>
      </c>
      <c r="CF241" s="81"/>
      <c r="CG241" s="188">
        <f t="shared" si="123"/>
        <v>-0.24901247401247403</v>
      </c>
      <c r="CH241" s="81">
        <f t="shared" si="124"/>
        <v>-1.7074129365810071</v>
      </c>
      <c r="CI241" s="126">
        <f t="shared" si="125"/>
        <v>0.39485444854448543</v>
      </c>
      <c r="CJ241" s="81"/>
      <c r="CK241" s="188">
        <f t="shared" si="126"/>
        <v>-0.24901247401247403</v>
      </c>
      <c r="CL241" s="81">
        <f t="shared" si="127"/>
        <v>-1.7074129365810071</v>
      </c>
      <c r="CM241" s="187" t="s">
        <v>11</v>
      </c>
      <c r="CN241" s="140"/>
      <c r="CO241" s="140"/>
      <c r="CP241" s="140"/>
      <c r="CQ241" s="140"/>
      <c r="CS241" s="24">
        <v>241</v>
      </c>
    </row>
    <row r="242" spans="1:97" s="244" customFormat="1" ht="370.5" customHeight="1" x14ac:dyDescent="0.25">
      <c r="A242" s="276">
        <v>15</v>
      </c>
      <c r="B242" s="269" t="s">
        <v>1642</v>
      </c>
      <c r="C242" s="269" t="s">
        <v>1270</v>
      </c>
      <c r="D242" s="189" t="s">
        <v>527</v>
      </c>
      <c r="E242" s="276" t="s">
        <v>536</v>
      </c>
      <c r="F242" s="189" t="s">
        <v>533</v>
      </c>
      <c r="G242" s="172">
        <v>20</v>
      </c>
      <c r="H242" s="276"/>
      <c r="I242" s="276"/>
      <c r="J242" s="276"/>
      <c r="K242" s="276" t="s">
        <v>1023</v>
      </c>
      <c r="L242" s="83" t="s">
        <v>572</v>
      </c>
      <c r="M242" s="276"/>
      <c r="N242" s="189"/>
      <c r="O242" s="83" t="s">
        <v>62</v>
      </c>
      <c r="P242" s="276"/>
      <c r="Q242" s="276"/>
      <c r="R242" s="276"/>
      <c r="S242" s="276"/>
      <c r="T242" s="276"/>
      <c r="U242" s="276"/>
      <c r="V242" s="276"/>
      <c r="W242" s="78"/>
      <c r="X242" s="173"/>
      <c r="Y242" s="83">
        <f t="shared" si="128"/>
        <v>0</v>
      </c>
      <c r="Z242" s="83">
        <v>0</v>
      </c>
      <c r="AA242" s="276" t="s">
        <v>1220</v>
      </c>
      <c r="AB242" s="276"/>
      <c r="AC242" s="78">
        <v>7</v>
      </c>
      <c r="AD242" s="83" t="s">
        <v>1306</v>
      </c>
      <c r="AE242" s="83"/>
      <c r="AF242" s="83"/>
      <c r="AG242" s="275" t="s">
        <v>1235</v>
      </c>
      <c r="AH242" s="77"/>
      <c r="AI242" s="275"/>
      <c r="AJ242" s="83" t="str">
        <f t="shared" si="110"/>
        <v>0702215</v>
      </c>
      <c r="AK242" s="276" t="s">
        <v>1676</v>
      </c>
      <c r="AL242" s="189" t="s">
        <v>78</v>
      </c>
      <c r="AM242" s="189"/>
      <c r="AN242" s="83" t="s">
        <v>1657</v>
      </c>
      <c r="AO242" s="83" t="s">
        <v>10</v>
      </c>
      <c r="AP242" s="189" t="s">
        <v>1677</v>
      </c>
      <c r="AQ242" s="83" t="s">
        <v>1678</v>
      </c>
      <c r="AR242" s="189" t="s">
        <v>1679</v>
      </c>
      <c r="AS242" s="189" t="s">
        <v>1661</v>
      </c>
      <c r="AT242" s="189" t="s">
        <v>1680</v>
      </c>
      <c r="AU242" s="189" t="s">
        <v>1661</v>
      </c>
      <c r="AV242" s="83" t="s">
        <v>1663</v>
      </c>
      <c r="AW242" s="276" t="s">
        <v>1675</v>
      </c>
      <c r="AX242" s="276">
        <v>1</v>
      </c>
      <c r="AY242" s="276" t="str">
        <f t="shared" si="111"/>
        <v>07022151</v>
      </c>
      <c r="AZ242" s="276" t="s">
        <v>1631</v>
      </c>
      <c r="BA242" s="276" t="s">
        <v>1632</v>
      </c>
      <c r="BB242" s="83" t="s">
        <v>1229</v>
      </c>
      <c r="BC242" s="83" t="s">
        <v>1358</v>
      </c>
      <c r="BD242" s="83" t="s">
        <v>1663</v>
      </c>
      <c r="BE242" s="83" t="s">
        <v>1665</v>
      </c>
      <c r="BF242" s="83" t="s">
        <v>1665</v>
      </c>
      <c r="BG242" s="276" t="s">
        <v>1666</v>
      </c>
      <c r="BH242" s="276"/>
      <c r="BI242" s="276" t="s">
        <v>1638</v>
      </c>
      <c r="BJ242" s="276" t="s">
        <v>1639</v>
      </c>
      <c r="BK242" s="276" t="s">
        <v>1668</v>
      </c>
      <c r="BL242" s="276" t="s">
        <v>1641</v>
      </c>
      <c r="BM242" s="83">
        <v>2015</v>
      </c>
      <c r="BN242" s="82">
        <f>1415.08/1924</f>
        <v>0.73548856548856545</v>
      </c>
      <c r="BO242" s="82">
        <f>(2511.1/4878)</f>
        <v>0.51478064780647803</v>
      </c>
      <c r="BP242" s="81">
        <f>2650.1/7694.4</f>
        <v>0.34441931794551883</v>
      </c>
      <c r="BQ242" s="81">
        <f t="shared" si="112"/>
        <v>-0.22070791768208742</v>
      </c>
      <c r="BR242" s="276">
        <v>5</v>
      </c>
      <c r="BS242" s="188">
        <f t="shared" si="113"/>
        <v>0.69134698195214794</v>
      </c>
      <c r="BT242" s="81">
        <f>(1415.1/1958)</f>
        <v>0.72272727272727266</v>
      </c>
      <c r="BU242" s="81">
        <f t="shared" si="114"/>
        <v>-1.2761292761292786E-2</v>
      </c>
      <c r="BV242" s="81">
        <f t="shared" si="115"/>
        <v>5.7819823118781068E-2</v>
      </c>
      <c r="BW242" s="188">
        <f t="shared" si="116"/>
        <v>0.64720539841573044</v>
      </c>
      <c r="BX242" s="81">
        <f>(1415.1+0+0)/2078</f>
        <v>0.68099133782483157</v>
      </c>
      <c r="BY242" s="150">
        <f t="shared" si="117"/>
        <v>-5.4497227663733883E-2</v>
      </c>
      <c r="BZ242" s="150">
        <f t="shared" si="118"/>
        <v>0.24692012971747077</v>
      </c>
      <c r="CA242" s="188">
        <f t="shared" si="119"/>
        <v>0.60306381487931304</v>
      </c>
      <c r="CB242" s="81"/>
      <c r="CC242" s="188">
        <f t="shared" si="120"/>
        <v>-0.73548856548856545</v>
      </c>
      <c r="CD242" s="81">
        <f t="shared" si="121"/>
        <v>3.3324067990527619</v>
      </c>
      <c r="CE242" s="188">
        <f t="shared" si="122"/>
        <v>0.55892223134289554</v>
      </c>
      <c r="CF242" s="81"/>
      <c r="CG242" s="188">
        <f t="shared" si="123"/>
        <v>-0.73548856548856545</v>
      </c>
      <c r="CH242" s="81">
        <f t="shared" si="124"/>
        <v>3.3324067990527619</v>
      </c>
      <c r="CI242" s="126">
        <f t="shared" si="125"/>
        <v>0.51478064780647803</v>
      </c>
      <c r="CJ242" s="81"/>
      <c r="CK242" s="139">
        <f t="shared" si="126"/>
        <v>-0.73548856548856545</v>
      </c>
      <c r="CL242" s="81">
        <f t="shared" si="127"/>
        <v>3.3324067990527619</v>
      </c>
      <c r="CM242" s="187" t="s">
        <v>11</v>
      </c>
      <c r="CN242" s="140"/>
      <c r="CO242" s="140"/>
      <c r="CP242" s="140"/>
      <c r="CQ242" s="140"/>
      <c r="CS242" s="24">
        <v>242</v>
      </c>
    </row>
    <row r="243" spans="1:97" s="244" customFormat="1" ht="370.5" customHeight="1" x14ac:dyDescent="0.25">
      <c r="A243" s="276">
        <v>15</v>
      </c>
      <c r="B243" s="269" t="s">
        <v>1642</v>
      </c>
      <c r="C243" s="269" t="s">
        <v>1270</v>
      </c>
      <c r="D243" s="189" t="s">
        <v>527</v>
      </c>
      <c r="E243" s="276" t="s">
        <v>536</v>
      </c>
      <c r="F243" s="189" t="s">
        <v>533</v>
      </c>
      <c r="G243" s="172">
        <v>20</v>
      </c>
      <c r="H243" s="276"/>
      <c r="I243" s="276"/>
      <c r="J243" s="276"/>
      <c r="K243" s="276" t="s">
        <v>1023</v>
      </c>
      <c r="L243" s="83" t="s">
        <v>572</v>
      </c>
      <c r="M243" s="276"/>
      <c r="N243" s="189"/>
      <c r="O243" s="83" t="s">
        <v>62</v>
      </c>
      <c r="P243" s="276"/>
      <c r="Q243" s="276"/>
      <c r="R243" s="276"/>
      <c r="S243" s="276"/>
      <c r="T243" s="276"/>
      <c r="U243" s="276"/>
      <c r="V243" s="276"/>
      <c r="W243" s="78"/>
      <c r="X243" s="173"/>
      <c r="Y243" s="83">
        <f t="shared" si="128"/>
        <v>0</v>
      </c>
      <c r="Z243" s="83">
        <v>0</v>
      </c>
      <c r="AA243" s="276" t="s">
        <v>1220</v>
      </c>
      <c r="AB243" s="276"/>
      <c r="AC243" s="78">
        <v>7</v>
      </c>
      <c r="AD243" s="83" t="s">
        <v>1669</v>
      </c>
      <c r="AE243" s="83"/>
      <c r="AF243" s="83"/>
      <c r="AG243" s="275" t="s">
        <v>1235</v>
      </c>
      <c r="AH243" s="77"/>
      <c r="AI243" s="275"/>
      <c r="AJ243" s="83" t="str">
        <f t="shared" si="110"/>
        <v>0702215</v>
      </c>
      <c r="AK243" s="276" t="s">
        <v>1681</v>
      </c>
      <c r="AL243" s="189" t="s">
        <v>78</v>
      </c>
      <c r="AM243" s="189"/>
      <c r="AN243" s="83" t="s">
        <v>1657</v>
      </c>
      <c r="AO243" s="83" t="s">
        <v>10</v>
      </c>
      <c r="AP243" s="189" t="s">
        <v>1682</v>
      </c>
      <c r="AQ243" s="83" t="s">
        <v>1683</v>
      </c>
      <c r="AR243" s="189" t="s">
        <v>1684</v>
      </c>
      <c r="AS243" s="189" t="s">
        <v>1661</v>
      </c>
      <c r="AT243" s="189" t="s">
        <v>1685</v>
      </c>
      <c r="AU243" s="189" t="s">
        <v>1661</v>
      </c>
      <c r="AV243" s="83" t="s">
        <v>1663</v>
      </c>
      <c r="AW243" s="276" t="s">
        <v>1675</v>
      </c>
      <c r="AX243" s="276">
        <v>1</v>
      </c>
      <c r="AY243" s="276" t="str">
        <f t="shared" si="111"/>
        <v>07022151</v>
      </c>
      <c r="AZ243" s="276" t="s">
        <v>1631</v>
      </c>
      <c r="BA243" s="276" t="s">
        <v>1632</v>
      </c>
      <c r="BB243" s="83" t="s">
        <v>1229</v>
      </c>
      <c r="BC243" s="83" t="s">
        <v>1358</v>
      </c>
      <c r="BD243" s="83" t="s">
        <v>1663</v>
      </c>
      <c r="BE243" s="83" t="s">
        <v>1665</v>
      </c>
      <c r="BF243" s="83" t="s">
        <v>1665</v>
      </c>
      <c r="BG243" s="276" t="s">
        <v>1666</v>
      </c>
      <c r="BH243" s="276"/>
      <c r="BI243" s="276" t="s">
        <v>1638</v>
      </c>
      <c r="BJ243" s="276" t="s">
        <v>1639</v>
      </c>
      <c r="BK243" s="276" t="s">
        <v>1668</v>
      </c>
      <c r="BL243" s="276" t="s">
        <v>1641</v>
      </c>
      <c r="BM243" s="83">
        <v>2015</v>
      </c>
      <c r="BN243" s="82">
        <f>29.8/1924</f>
        <v>1.5488565488565489E-2</v>
      </c>
      <c r="BO243" s="82">
        <f>(440.8/4878)</f>
        <v>9.0364903649036488E-2</v>
      </c>
      <c r="BP243" s="81">
        <f>631.8/7694.4</f>
        <v>8.2111665626949465E-2</v>
      </c>
      <c r="BQ243" s="81">
        <f t="shared" si="112"/>
        <v>7.4876338160470998E-2</v>
      </c>
      <c r="BR243" s="276">
        <v>5</v>
      </c>
      <c r="BS243" s="188">
        <f t="shared" si="113"/>
        <v>3.046383312065969E-2</v>
      </c>
      <c r="BT243" s="81">
        <f>(29.8+34)/1958</f>
        <v>3.2584269662921349E-2</v>
      </c>
      <c r="BU243" s="81">
        <f t="shared" si="114"/>
        <v>1.7095704174355859E-2</v>
      </c>
      <c r="BV243" s="81">
        <f t="shared" si="115"/>
        <v>0.2283191805896978</v>
      </c>
      <c r="BW243" s="188">
        <f t="shared" si="116"/>
        <v>4.543910075275389E-2</v>
      </c>
      <c r="BX243" s="81">
        <f>(29.8+34)/2078</f>
        <v>3.0702598652550529E-2</v>
      </c>
      <c r="BY243" s="150">
        <f t="shared" si="117"/>
        <v>1.5214033163985039E-2</v>
      </c>
      <c r="BZ243" s="150">
        <f t="shared" si="118"/>
        <v>0.20318879819388511</v>
      </c>
      <c r="CA243" s="188">
        <f t="shared" si="119"/>
        <v>6.0414368384848094E-2</v>
      </c>
      <c r="CB243" s="81"/>
      <c r="CC243" s="188">
        <f t="shared" si="120"/>
        <v>-1.5488565488565489E-2</v>
      </c>
      <c r="CD243" s="81">
        <f t="shared" si="121"/>
        <v>-0.20685527456445876</v>
      </c>
      <c r="CE243" s="188">
        <f t="shared" si="122"/>
        <v>7.5389636016942291E-2</v>
      </c>
      <c r="CF243" s="81"/>
      <c r="CG243" s="188">
        <f t="shared" si="123"/>
        <v>-1.5488565488565489E-2</v>
      </c>
      <c r="CH243" s="81">
        <f t="shared" si="124"/>
        <v>-0.20685527456445876</v>
      </c>
      <c r="CI243" s="126">
        <f t="shared" si="125"/>
        <v>9.0364903649036488E-2</v>
      </c>
      <c r="CJ243" s="81"/>
      <c r="CK243" s="188">
        <f t="shared" si="126"/>
        <v>-1.5488565488565489E-2</v>
      </c>
      <c r="CL243" s="81">
        <f t="shared" si="127"/>
        <v>-0.20685527456445876</v>
      </c>
      <c r="CM243" s="187" t="s">
        <v>11</v>
      </c>
      <c r="CN243" s="140"/>
      <c r="CO243" s="140"/>
      <c r="CP243" s="140"/>
      <c r="CQ243" s="140"/>
      <c r="CS243" s="2">
        <v>243</v>
      </c>
    </row>
    <row r="244" spans="1:97" s="244" customFormat="1" ht="370.5" customHeight="1" x14ac:dyDescent="0.25">
      <c r="A244" s="276">
        <v>15</v>
      </c>
      <c r="B244" s="269" t="s">
        <v>1642</v>
      </c>
      <c r="C244" s="269" t="s">
        <v>1270</v>
      </c>
      <c r="D244" s="189" t="s">
        <v>527</v>
      </c>
      <c r="E244" s="276" t="s">
        <v>536</v>
      </c>
      <c r="F244" s="189" t="s">
        <v>533</v>
      </c>
      <c r="G244" s="172">
        <v>21</v>
      </c>
      <c r="H244" s="276" t="s">
        <v>574</v>
      </c>
      <c r="I244" s="276">
        <v>216</v>
      </c>
      <c r="J244" s="276" t="s">
        <v>575</v>
      </c>
      <c r="K244" s="276" t="s">
        <v>1024</v>
      </c>
      <c r="L244" s="189" t="s">
        <v>576</v>
      </c>
      <c r="M244" s="276" t="s">
        <v>529</v>
      </c>
      <c r="N244" s="189" t="s">
        <v>573</v>
      </c>
      <c r="O244" s="189" t="s">
        <v>62</v>
      </c>
      <c r="P244" s="276" t="s">
        <v>189</v>
      </c>
      <c r="Q244" s="276" t="s">
        <v>573</v>
      </c>
      <c r="R244" s="276"/>
      <c r="S244" s="276"/>
      <c r="T244" s="276" t="s">
        <v>65</v>
      </c>
      <c r="U244" s="276"/>
      <c r="V244" s="276"/>
      <c r="W244" s="78" t="s">
        <v>538</v>
      </c>
      <c r="X244" s="173" t="e">
        <f>100/COUNTIFS(($B$4:$B$12),C244,($D$4:$D$12),E244)</f>
        <v>#DIV/0!</v>
      </c>
      <c r="Y244" s="276">
        <f t="shared" si="128"/>
        <v>1</v>
      </c>
      <c r="Z244" s="276">
        <v>0</v>
      </c>
      <c r="AA244" s="276" t="s">
        <v>1220</v>
      </c>
      <c r="AB244" s="276"/>
      <c r="AC244" s="275">
        <v>7</v>
      </c>
      <c r="AD244" s="189"/>
      <c r="AE244" s="189"/>
      <c r="AF244" s="189" t="s">
        <v>1328</v>
      </c>
      <c r="AG244" s="276" t="s">
        <v>1235</v>
      </c>
      <c r="AH244" s="77"/>
      <c r="AI244" s="275">
        <v>1</v>
      </c>
      <c r="AJ244" s="83" t="str">
        <f t="shared" si="110"/>
        <v>07022161</v>
      </c>
      <c r="AK244" s="83" t="s">
        <v>1686</v>
      </c>
      <c r="AL244" s="189" t="s">
        <v>78</v>
      </c>
      <c r="AM244" s="189"/>
      <c r="AN244" s="83" t="s">
        <v>1657</v>
      </c>
      <c r="AO244" s="83" t="s">
        <v>10</v>
      </c>
      <c r="AP244" s="189" t="s">
        <v>1687</v>
      </c>
      <c r="AQ244" s="83" t="s">
        <v>1688</v>
      </c>
      <c r="AR244" s="189" t="s">
        <v>1689</v>
      </c>
      <c r="AS244" s="189" t="s">
        <v>1661</v>
      </c>
      <c r="AT244" s="189" t="s">
        <v>1690</v>
      </c>
      <c r="AU244" s="189" t="s">
        <v>1661</v>
      </c>
      <c r="AV244" s="83" t="s">
        <v>1663</v>
      </c>
      <c r="AW244" s="189" t="s">
        <v>1691</v>
      </c>
      <c r="AX244" s="276">
        <v>1</v>
      </c>
      <c r="AY244" s="276" t="str">
        <f t="shared" si="111"/>
        <v>070221611</v>
      </c>
      <c r="AZ244" s="276" t="s">
        <v>1631</v>
      </c>
      <c r="BA244" s="276" t="s">
        <v>1632</v>
      </c>
      <c r="BB244" s="83" t="s">
        <v>1229</v>
      </c>
      <c r="BC244" s="83" t="s">
        <v>1358</v>
      </c>
      <c r="BD244" s="83" t="s">
        <v>1663</v>
      </c>
      <c r="BE244" s="83" t="s">
        <v>1665</v>
      </c>
      <c r="BF244" s="83" t="s">
        <v>1665</v>
      </c>
      <c r="BG244" s="276" t="s">
        <v>1666</v>
      </c>
      <c r="BH244" s="83" t="s">
        <v>1323</v>
      </c>
      <c r="BI244" s="276" t="s">
        <v>1638</v>
      </c>
      <c r="BJ244" s="276" t="s">
        <v>1639</v>
      </c>
      <c r="BK244" s="276" t="s">
        <v>1668</v>
      </c>
      <c r="BL244" s="276" t="s">
        <v>1641</v>
      </c>
      <c r="BM244" s="83">
        <v>2015</v>
      </c>
      <c r="BN244" s="82">
        <v>0</v>
      </c>
      <c r="BO244" s="82">
        <f>2592/2592</f>
        <v>1</v>
      </c>
      <c r="BP244" s="82">
        <f>(2592+8469)/(2592+8469)</f>
        <v>1</v>
      </c>
      <c r="BQ244" s="81">
        <f t="shared" si="112"/>
        <v>1</v>
      </c>
      <c r="BR244" s="276">
        <v>5</v>
      </c>
      <c r="BS244" s="188">
        <f t="shared" si="113"/>
        <v>0.2</v>
      </c>
      <c r="BT244" s="81">
        <f>0/2592</f>
        <v>0</v>
      </c>
      <c r="BU244" s="81">
        <f t="shared" si="114"/>
        <v>0</v>
      </c>
      <c r="BV244" s="140">
        <f t="shared" si="115"/>
        <v>0</v>
      </c>
      <c r="BW244" s="188">
        <f t="shared" si="116"/>
        <v>0.4</v>
      </c>
      <c r="BX244" s="81">
        <f>0/2592</f>
        <v>0</v>
      </c>
      <c r="BY244" s="150">
        <f t="shared" si="117"/>
        <v>0</v>
      </c>
      <c r="BZ244" s="150">
        <f t="shared" si="118"/>
        <v>0</v>
      </c>
      <c r="CA244" s="188">
        <f t="shared" si="119"/>
        <v>0.60000000000000009</v>
      </c>
      <c r="CB244" s="81">
        <v>0</v>
      </c>
      <c r="CC244" s="188">
        <f t="shared" si="120"/>
        <v>0</v>
      </c>
      <c r="CD244" s="81">
        <f t="shared" si="121"/>
        <v>0</v>
      </c>
      <c r="CE244" s="188">
        <f t="shared" si="122"/>
        <v>0.8</v>
      </c>
      <c r="CF244" s="81">
        <v>0.42</v>
      </c>
      <c r="CG244" s="188">
        <f t="shared" si="123"/>
        <v>0.42</v>
      </c>
      <c r="CH244" s="81">
        <f t="shared" si="124"/>
        <v>0.42</v>
      </c>
      <c r="CI244" s="126">
        <f t="shared" si="125"/>
        <v>1</v>
      </c>
      <c r="CJ244" s="81">
        <v>0.42</v>
      </c>
      <c r="CK244" s="188">
        <f t="shared" si="126"/>
        <v>0.42</v>
      </c>
      <c r="CL244" s="81">
        <f t="shared" si="127"/>
        <v>0.42</v>
      </c>
      <c r="CM244" s="187" t="s">
        <v>11</v>
      </c>
      <c r="CN244" s="140"/>
      <c r="CO244" s="140"/>
      <c r="CP244" s="140"/>
      <c r="CQ244" s="140"/>
      <c r="CS244" s="24">
        <v>244</v>
      </c>
    </row>
    <row r="245" spans="1:97" s="244" customFormat="1" ht="285" customHeight="1" x14ac:dyDescent="0.25">
      <c r="A245" s="276">
        <v>15</v>
      </c>
      <c r="B245" s="269" t="s">
        <v>1642</v>
      </c>
      <c r="C245" s="269" t="s">
        <v>1270</v>
      </c>
      <c r="D245" s="189" t="s">
        <v>527</v>
      </c>
      <c r="E245" s="276" t="s">
        <v>536</v>
      </c>
      <c r="F245" s="189" t="s">
        <v>533</v>
      </c>
      <c r="G245" s="172">
        <v>22</v>
      </c>
      <c r="H245" s="276" t="s">
        <v>577</v>
      </c>
      <c r="I245" s="276">
        <v>217</v>
      </c>
      <c r="J245" s="276" t="s">
        <v>578</v>
      </c>
      <c r="K245" s="276" t="s">
        <v>1025</v>
      </c>
      <c r="L245" s="189" t="s">
        <v>579</v>
      </c>
      <c r="M245" s="276" t="s">
        <v>529</v>
      </c>
      <c r="N245" s="189" t="s">
        <v>573</v>
      </c>
      <c r="O245" s="189" t="s">
        <v>62</v>
      </c>
      <c r="P245" s="276" t="s">
        <v>189</v>
      </c>
      <c r="Q245" s="276" t="s">
        <v>573</v>
      </c>
      <c r="R245" s="276"/>
      <c r="S245" s="276"/>
      <c r="T245" s="276" t="s">
        <v>65</v>
      </c>
      <c r="U245" s="276"/>
      <c r="V245" s="276"/>
      <c r="W245" s="78" t="s">
        <v>538</v>
      </c>
      <c r="X245" s="173" t="e">
        <f>100/COUNTIFS(($B$4:$B$12),C245,($D$4:$D$12),E245)</f>
        <v>#DIV/0!</v>
      </c>
      <c r="Y245" s="276">
        <f t="shared" si="128"/>
        <v>1</v>
      </c>
      <c r="Z245" s="276">
        <v>0</v>
      </c>
      <c r="AA245" s="276" t="s">
        <v>1220</v>
      </c>
      <c r="AB245" s="276"/>
      <c r="AC245" s="275">
        <v>7</v>
      </c>
      <c r="AD245" s="189" t="s">
        <v>1306</v>
      </c>
      <c r="AE245" s="189"/>
      <c r="AF245" s="276"/>
      <c r="AG245" s="276" t="s">
        <v>1235</v>
      </c>
      <c r="AH245" s="77"/>
      <c r="AI245" s="275">
        <v>1</v>
      </c>
      <c r="AJ245" s="83" t="str">
        <f t="shared" si="110"/>
        <v>07022171</v>
      </c>
      <c r="AK245" s="83" t="s">
        <v>1692</v>
      </c>
      <c r="AL245" s="189" t="s">
        <v>78</v>
      </c>
      <c r="AM245" s="189"/>
      <c r="AN245" s="83" t="s">
        <v>1657</v>
      </c>
      <c r="AO245" s="83" t="s">
        <v>10</v>
      </c>
      <c r="AP245" s="189" t="s">
        <v>1693</v>
      </c>
      <c r="AQ245" s="189" t="s">
        <v>1694</v>
      </c>
      <c r="AR245" s="189" t="s">
        <v>1695</v>
      </c>
      <c r="AS245" s="189" t="s">
        <v>1661</v>
      </c>
      <c r="AT245" s="189" t="s">
        <v>1696</v>
      </c>
      <c r="AU245" s="189" t="s">
        <v>1661</v>
      </c>
      <c r="AV245" s="83" t="s">
        <v>1697</v>
      </c>
      <c r="AW245" s="189" t="s">
        <v>1698</v>
      </c>
      <c r="AX245" s="276">
        <v>1</v>
      </c>
      <c r="AY245" s="276" t="str">
        <f t="shared" si="111"/>
        <v>070221711</v>
      </c>
      <c r="AZ245" s="276" t="s">
        <v>1631</v>
      </c>
      <c r="BA245" s="276" t="s">
        <v>1632</v>
      </c>
      <c r="BB245" s="83" t="s">
        <v>1229</v>
      </c>
      <c r="BC245" s="83" t="s">
        <v>1358</v>
      </c>
      <c r="BD245" s="83" t="s">
        <v>1663</v>
      </c>
      <c r="BE245" s="83" t="s">
        <v>1665</v>
      </c>
      <c r="BF245" s="83" t="s">
        <v>1665</v>
      </c>
      <c r="BG245" s="83" t="s">
        <v>1699</v>
      </c>
      <c r="BH245" s="83" t="s">
        <v>1323</v>
      </c>
      <c r="BI245" s="276" t="s">
        <v>1638</v>
      </c>
      <c r="BJ245" s="276" t="s">
        <v>1639</v>
      </c>
      <c r="BK245" s="276" t="s">
        <v>1668</v>
      </c>
      <c r="BL245" s="276" t="s">
        <v>1641</v>
      </c>
      <c r="BM245" s="83">
        <v>2014</v>
      </c>
      <c r="BN245" s="82">
        <f>3440/7483</f>
        <v>0.45970867299211549</v>
      </c>
      <c r="BO245" s="82">
        <f>7483/7483</f>
        <v>1</v>
      </c>
      <c r="BP245" s="82">
        <f>(7483+3633.7)/(7483+3633.7)</f>
        <v>1</v>
      </c>
      <c r="BQ245" s="81">
        <f t="shared" si="112"/>
        <v>0.54029132700788451</v>
      </c>
      <c r="BR245" s="276">
        <v>5</v>
      </c>
      <c r="BS245" s="188">
        <f t="shared" si="113"/>
        <v>0.56776693839369241</v>
      </c>
      <c r="BT245" s="81">
        <f>(3440+229.35)/7483</f>
        <v>0.49035814512895898</v>
      </c>
      <c r="BU245" s="81">
        <f t="shared" si="114"/>
        <v>3.0649472136843492E-2</v>
      </c>
      <c r="BV245" s="81">
        <f t="shared" si="115"/>
        <v>5.6727677467227275E-2</v>
      </c>
      <c r="BW245" s="188">
        <f t="shared" si="116"/>
        <v>0.67582520379526922</v>
      </c>
      <c r="BX245" s="81">
        <f>(3440+229.35+272.89)/7483</f>
        <v>0.52682613924896426</v>
      </c>
      <c r="BY245" s="150">
        <f t="shared" si="117"/>
        <v>6.7117466256848779E-2</v>
      </c>
      <c r="BZ245" s="150">
        <f t="shared" si="118"/>
        <v>0.12422458570368525</v>
      </c>
      <c r="CA245" s="188">
        <f t="shared" si="119"/>
        <v>0.78388346919684615</v>
      </c>
      <c r="CB245" s="81"/>
      <c r="CC245" s="188">
        <f t="shared" si="120"/>
        <v>-0.45970867299211549</v>
      </c>
      <c r="CD245" s="81">
        <f t="shared" si="121"/>
        <v>-0.85085332673757119</v>
      </c>
      <c r="CE245" s="188">
        <f t="shared" si="122"/>
        <v>0.89194173459842307</v>
      </c>
      <c r="CF245" s="81"/>
      <c r="CG245" s="188">
        <f t="shared" si="123"/>
        <v>-0.45970867299211549</v>
      </c>
      <c r="CH245" s="81">
        <f t="shared" si="124"/>
        <v>-0.85085332673757119</v>
      </c>
      <c r="CI245" s="126">
        <f t="shared" si="125"/>
        <v>1</v>
      </c>
      <c r="CJ245" s="81"/>
      <c r="CK245" s="188">
        <f t="shared" si="126"/>
        <v>-0.45970867299211549</v>
      </c>
      <c r="CL245" s="81">
        <f t="shared" si="127"/>
        <v>-0.85085332673757119</v>
      </c>
      <c r="CM245" s="187" t="s">
        <v>11</v>
      </c>
      <c r="CN245" s="140"/>
      <c r="CO245" s="140"/>
      <c r="CP245" s="140"/>
      <c r="CQ245" s="140"/>
      <c r="CS245" s="24">
        <v>245</v>
      </c>
    </row>
    <row r="246" spans="1:97" s="244" customFormat="1" ht="285" customHeight="1" x14ac:dyDescent="0.25">
      <c r="A246" s="276">
        <v>17</v>
      </c>
      <c r="B246" s="269" t="s">
        <v>4575</v>
      </c>
      <c r="C246" s="269" t="s">
        <v>1270</v>
      </c>
      <c r="D246" s="189" t="s">
        <v>527</v>
      </c>
      <c r="E246" s="276" t="s">
        <v>536</v>
      </c>
      <c r="F246" s="189" t="s">
        <v>533</v>
      </c>
      <c r="G246" s="172">
        <v>17</v>
      </c>
      <c r="H246" s="276" t="s">
        <v>563</v>
      </c>
      <c r="I246" s="276">
        <v>212</v>
      </c>
      <c r="J246" s="276" t="s">
        <v>564</v>
      </c>
      <c r="K246" s="276" t="s">
        <v>1020</v>
      </c>
      <c r="L246" s="189" t="s">
        <v>565</v>
      </c>
      <c r="M246" s="276" t="s">
        <v>529</v>
      </c>
      <c r="N246" s="189" t="s">
        <v>560</v>
      </c>
      <c r="O246" s="189" t="s">
        <v>62</v>
      </c>
      <c r="P246" s="276" t="s">
        <v>189</v>
      </c>
      <c r="Q246" s="276" t="s">
        <v>560</v>
      </c>
      <c r="R246" s="276">
        <v>1</v>
      </c>
      <c r="S246" s="276"/>
      <c r="T246" s="276" t="s">
        <v>65</v>
      </c>
      <c r="U246" s="276"/>
      <c r="V246" s="276"/>
      <c r="W246" s="78" t="s">
        <v>561</v>
      </c>
      <c r="X246" s="173" t="e">
        <f>100/COUNTIFS(($B$4:$B$11),C246,($D$4:$D$11),E246)</f>
        <v>#DIV/0!</v>
      </c>
      <c r="Y246" s="276">
        <f t="shared" si="128"/>
        <v>1</v>
      </c>
      <c r="Z246" s="276">
        <v>0</v>
      </c>
      <c r="AA246" s="276" t="s">
        <v>1220</v>
      </c>
      <c r="AB246" s="276"/>
      <c r="AC246" s="275"/>
      <c r="AD246" s="189"/>
      <c r="AE246" s="189"/>
      <c r="AF246" s="79"/>
      <c r="AG246" s="276" t="s">
        <v>1364</v>
      </c>
      <c r="AH246" s="77"/>
      <c r="AI246" s="275">
        <v>1</v>
      </c>
      <c r="AJ246" s="83" t="str">
        <f t="shared" si="110"/>
        <v>07022121</v>
      </c>
      <c r="AK246" s="83" t="s">
        <v>1700</v>
      </c>
      <c r="AL246" s="189" t="s">
        <v>137</v>
      </c>
      <c r="AM246" s="189"/>
      <c r="AN246" s="83" t="s">
        <v>1701</v>
      </c>
      <c r="AO246" s="78" t="s">
        <v>10</v>
      </c>
      <c r="AP246" s="189" t="s">
        <v>1702</v>
      </c>
      <c r="AQ246" s="92" t="s">
        <v>1703</v>
      </c>
      <c r="AR246" s="189" t="s">
        <v>1704</v>
      </c>
      <c r="AS246" s="189" t="s">
        <v>1705</v>
      </c>
      <c r="AT246" s="189" t="s">
        <v>1706</v>
      </c>
      <c r="AU246" s="189" t="str">
        <f>+AS246</f>
        <v>SENARECOM y ADUANA</v>
      </c>
      <c r="AV246" s="275" t="s">
        <v>1707</v>
      </c>
      <c r="AW246" s="189" t="s">
        <v>1708</v>
      </c>
      <c r="AX246" s="275">
        <v>1</v>
      </c>
      <c r="AY246" s="276" t="str">
        <f t="shared" si="111"/>
        <v>070221211</v>
      </c>
      <c r="AZ246" s="276" t="s">
        <v>1709</v>
      </c>
      <c r="BA246" s="189" t="s">
        <v>1710</v>
      </c>
      <c r="BB246" s="83" t="s">
        <v>1229</v>
      </c>
      <c r="BC246" s="83" t="s">
        <v>1711</v>
      </c>
      <c r="BD246" s="275" t="s">
        <v>1707</v>
      </c>
      <c r="BE246" s="78" t="s">
        <v>1712</v>
      </c>
      <c r="BF246" s="78" t="s">
        <v>1712</v>
      </c>
      <c r="BG246" s="83" t="s">
        <v>1713</v>
      </c>
      <c r="BH246" s="83" t="s">
        <v>1714</v>
      </c>
      <c r="BI246" s="83" t="s">
        <v>1715</v>
      </c>
      <c r="BJ246" s="83" t="s">
        <v>1716</v>
      </c>
      <c r="BK246" s="83" t="s">
        <v>1717</v>
      </c>
      <c r="BL246" s="83" t="s">
        <v>1718</v>
      </c>
      <c r="BM246" s="127">
        <v>42339</v>
      </c>
      <c r="BN246" s="152">
        <v>0.22770000000000001</v>
      </c>
      <c r="BO246" s="152">
        <v>0.8</v>
      </c>
      <c r="BP246" s="77"/>
      <c r="BQ246" s="187">
        <f t="shared" si="112"/>
        <v>0.57230000000000003</v>
      </c>
      <c r="BR246" s="275">
        <v>5</v>
      </c>
      <c r="BS246" s="188">
        <f t="shared" si="113"/>
        <v>0.34216000000000002</v>
      </c>
      <c r="BT246" s="188">
        <v>0.24399999999999999</v>
      </c>
      <c r="BU246" s="188">
        <f t="shared" si="114"/>
        <v>1.6299999999999981E-2</v>
      </c>
      <c r="BV246" s="188">
        <f t="shared" si="115"/>
        <v>2.8481565612440994E-2</v>
      </c>
      <c r="BW246" s="188">
        <f t="shared" si="116"/>
        <v>0.45662000000000003</v>
      </c>
      <c r="BX246" s="188">
        <v>0.23400000000000001</v>
      </c>
      <c r="BY246" s="188">
        <f t="shared" si="117"/>
        <v>6.3E-3</v>
      </c>
      <c r="BZ246" s="89">
        <f t="shared" si="118"/>
        <v>1.1008212475974138E-2</v>
      </c>
      <c r="CA246" s="188">
        <f t="shared" si="119"/>
        <v>0.57108000000000003</v>
      </c>
      <c r="CB246" s="188"/>
      <c r="CC246" s="188">
        <f t="shared" si="120"/>
        <v>-0.22770000000000001</v>
      </c>
      <c r="CD246" s="188">
        <f t="shared" si="121"/>
        <v>-0.39786825091735106</v>
      </c>
      <c r="CE246" s="188">
        <f t="shared" si="122"/>
        <v>0.68554000000000004</v>
      </c>
      <c r="CF246" s="188"/>
      <c r="CG246" s="188">
        <f t="shared" si="123"/>
        <v>-0.22770000000000001</v>
      </c>
      <c r="CH246" s="188">
        <f t="shared" si="124"/>
        <v>-0.39786825091735106</v>
      </c>
      <c r="CI246" s="188">
        <f t="shared" si="125"/>
        <v>0.8</v>
      </c>
      <c r="CJ246" s="188">
        <v>0.25</v>
      </c>
      <c r="CK246" s="188">
        <f t="shared" si="126"/>
        <v>2.2299999999999986E-2</v>
      </c>
      <c r="CL246" s="89">
        <f t="shared" si="127"/>
        <v>3.8965577494321134E-2</v>
      </c>
      <c r="CM246" s="89"/>
      <c r="CN246" s="188"/>
      <c r="CO246" s="188"/>
      <c r="CP246" s="188"/>
      <c r="CQ246" s="188"/>
      <c r="CS246" s="2">
        <v>246</v>
      </c>
    </row>
    <row r="247" spans="1:97" s="244" customFormat="1" ht="285" customHeight="1" x14ac:dyDescent="0.25">
      <c r="A247" s="276">
        <v>17</v>
      </c>
      <c r="B247" s="269" t="s">
        <v>4575</v>
      </c>
      <c r="C247" s="153" t="s">
        <v>1270</v>
      </c>
      <c r="D247" s="83" t="s">
        <v>527</v>
      </c>
      <c r="E247" s="83" t="s">
        <v>536</v>
      </c>
      <c r="F247" s="83" t="s">
        <v>533</v>
      </c>
      <c r="G247" s="154">
        <v>19</v>
      </c>
      <c r="H247" s="276" t="s">
        <v>567</v>
      </c>
      <c r="I247" s="276">
        <v>214</v>
      </c>
      <c r="J247" s="276" t="s">
        <v>568</v>
      </c>
      <c r="K247" s="83" t="s">
        <v>1022</v>
      </c>
      <c r="L247" s="83" t="s">
        <v>569</v>
      </c>
      <c r="M247" s="276" t="s">
        <v>529</v>
      </c>
      <c r="N247" s="189" t="s">
        <v>560</v>
      </c>
      <c r="O247" s="83" t="s">
        <v>62</v>
      </c>
      <c r="P247" s="276" t="s">
        <v>189</v>
      </c>
      <c r="Q247" s="276" t="s">
        <v>560</v>
      </c>
      <c r="R247" s="276"/>
      <c r="S247" s="276"/>
      <c r="T247" s="276" t="s">
        <v>65</v>
      </c>
      <c r="U247" s="276"/>
      <c r="V247" s="276"/>
      <c r="W247" s="78" t="s">
        <v>561</v>
      </c>
      <c r="X247" s="173" t="e">
        <f>100/COUNTIFS(($B$4:$B$11),C247,($D$4:$D$11),E247)</f>
        <v>#DIV/0!</v>
      </c>
      <c r="Y247" s="276">
        <f t="shared" si="128"/>
        <v>1</v>
      </c>
      <c r="Z247" s="83">
        <v>0</v>
      </c>
      <c r="AA247" s="276" t="s">
        <v>1220</v>
      </c>
      <c r="AB247" s="276"/>
      <c r="AC247" s="78"/>
      <c r="AD247" s="83"/>
      <c r="AE247" s="83"/>
      <c r="AF247" s="78"/>
      <c r="AG247" s="276" t="s">
        <v>1364</v>
      </c>
      <c r="AH247" s="77"/>
      <c r="AI247" s="78">
        <v>1</v>
      </c>
      <c r="AJ247" s="83" t="str">
        <f t="shared" si="110"/>
        <v>07022141</v>
      </c>
      <c r="AK247" s="83" t="s">
        <v>1719</v>
      </c>
      <c r="AL247" s="83" t="s">
        <v>137</v>
      </c>
      <c r="AM247" s="189"/>
      <c r="AN247" s="78" t="s">
        <v>1720</v>
      </c>
      <c r="AO247" s="78" t="s">
        <v>10</v>
      </c>
      <c r="AP247" s="83" t="s">
        <v>1721</v>
      </c>
      <c r="AQ247" s="83" t="s">
        <v>3086</v>
      </c>
      <c r="AR247" s="83" t="s">
        <v>1722</v>
      </c>
      <c r="AS247" s="83" t="s">
        <v>1723</v>
      </c>
      <c r="AT247" s="83" t="s">
        <v>1724</v>
      </c>
      <c r="AU247" s="83" t="s">
        <v>1725</v>
      </c>
      <c r="AV247" s="78" t="s">
        <v>1529</v>
      </c>
      <c r="AW247" s="83" t="s">
        <v>1726</v>
      </c>
      <c r="AX247" s="78">
        <v>1</v>
      </c>
      <c r="AY247" s="83" t="str">
        <f t="shared" si="111"/>
        <v>070221411</v>
      </c>
      <c r="AZ247" s="276" t="s">
        <v>1727</v>
      </c>
      <c r="BA247" s="83" t="s">
        <v>1728</v>
      </c>
      <c r="BB247" s="83" t="s">
        <v>1229</v>
      </c>
      <c r="BC247" s="83" t="s">
        <v>1729</v>
      </c>
      <c r="BD247" s="275" t="s">
        <v>1529</v>
      </c>
      <c r="BE247" s="83" t="s">
        <v>1730</v>
      </c>
      <c r="BF247" s="83" t="str">
        <f>+BE247</f>
        <v>Empresa Minera Huanuni-EMH</v>
      </c>
      <c r="BG247" s="83" t="s">
        <v>1731</v>
      </c>
      <c r="BH247" s="78"/>
      <c r="BI247" s="83" t="s">
        <v>1715</v>
      </c>
      <c r="BJ247" s="83"/>
      <c r="BK247" s="83" t="s">
        <v>1732</v>
      </c>
      <c r="BL247" s="83">
        <v>2312784</v>
      </c>
      <c r="BM247" s="127">
        <v>42339</v>
      </c>
      <c r="BN247" s="155">
        <v>0.14000000000000001</v>
      </c>
      <c r="BO247" s="155">
        <v>1</v>
      </c>
      <c r="BP247" s="78"/>
      <c r="BQ247" s="106">
        <f t="shared" si="112"/>
        <v>0.86</v>
      </c>
      <c r="BR247" s="78">
        <v>5</v>
      </c>
      <c r="BS247" s="156">
        <f t="shared" si="113"/>
        <v>0.312</v>
      </c>
      <c r="BT247" s="156">
        <v>0.25879999999999997</v>
      </c>
      <c r="BU247" s="156">
        <f t="shared" si="114"/>
        <v>0.11879999999999996</v>
      </c>
      <c r="BV247" s="156">
        <f t="shared" si="115"/>
        <v>0.13813953488372088</v>
      </c>
      <c r="BW247" s="156">
        <f t="shared" si="116"/>
        <v>0.48399999999999999</v>
      </c>
      <c r="BX247" s="156">
        <v>0.40260000000000001</v>
      </c>
      <c r="BY247" s="156">
        <f t="shared" si="117"/>
        <v>0.2626</v>
      </c>
      <c r="BZ247" s="157">
        <f t="shared" si="118"/>
        <v>0.30534883720930234</v>
      </c>
      <c r="CA247" s="156">
        <f t="shared" si="119"/>
        <v>0.65600000000000003</v>
      </c>
      <c r="CB247" s="156"/>
      <c r="CC247" s="156">
        <f t="shared" si="120"/>
        <v>-0.14000000000000001</v>
      </c>
      <c r="CD247" s="156">
        <f t="shared" si="121"/>
        <v>-0.16279069767441862</v>
      </c>
      <c r="CE247" s="156">
        <f t="shared" si="122"/>
        <v>0.82799999999999996</v>
      </c>
      <c r="CF247" s="156"/>
      <c r="CG247" s="156">
        <f t="shared" si="123"/>
        <v>-0.14000000000000001</v>
      </c>
      <c r="CH247" s="156">
        <f t="shared" si="124"/>
        <v>-0.16279069767441862</v>
      </c>
      <c r="CI247" s="156">
        <f t="shared" si="125"/>
        <v>0.99999999999999989</v>
      </c>
      <c r="CJ247" s="156"/>
      <c r="CK247" s="156">
        <f t="shared" si="126"/>
        <v>-0.14000000000000001</v>
      </c>
      <c r="CL247" s="157">
        <f t="shared" si="127"/>
        <v>-0.16279069767441862</v>
      </c>
      <c r="CM247" s="157"/>
      <c r="CN247" s="156"/>
      <c r="CO247" s="156"/>
      <c r="CP247" s="156"/>
      <c r="CQ247" s="156"/>
      <c r="CS247" s="24">
        <v>247</v>
      </c>
    </row>
    <row r="248" spans="1:97" s="244" customFormat="1" ht="285" customHeight="1" x14ac:dyDescent="0.25">
      <c r="A248" s="276">
        <v>17</v>
      </c>
      <c r="B248" s="269" t="s">
        <v>4575</v>
      </c>
      <c r="C248" s="269" t="s">
        <v>1270</v>
      </c>
      <c r="D248" s="189" t="s">
        <v>527</v>
      </c>
      <c r="E248" s="276" t="s">
        <v>536</v>
      </c>
      <c r="F248" s="189" t="s">
        <v>533</v>
      </c>
      <c r="G248" s="172">
        <v>19</v>
      </c>
      <c r="H248" s="276" t="s">
        <v>567</v>
      </c>
      <c r="I248" s="276">
        <v>214</v>
      </c>
      <c r="J248" s="276" t="s">
        <v>568</v>
      </c>
      <c r="K248" s="276" t="s">
        <v>1022</v>
      </c>
      <c r="L248" s="189" t="s">
        <v>569</v>
      </c>
      <c r="M248" s="276" t="s">
        <v>529</v>
      </c>
      <c r="N248" s="189" t="s">
        <v>560</v>
      </c>
      <c r="O248" s="189" t="s">
        <v>62</v>
      </c>
      <c r="P248" s="276" t="s">
        <v>189</v>
      </c>
      <c r="Q248" s="276" t="s">
        <v>560</v>
      </c>
      <c r="R248" s="276"/>
      <c r="S248" s="276"/>
      <c r="T248" s="276" t="s">
        <v>65</v>
      </c>
      <c r="U248" s="276"/>
      <c r="V248" s="276"/>
      <c r="W248" s="78" t="s">
        <v>561</v>
      </c>
      <c r="X248" s="173" t="e">
        <f>100/COUNTIFS(($B$4:$B$11),C248,($D$4:$D$11),E248)</f>
        <v>#DIV/0!</v>
      </c>
      <c r="Y248" s="276">
        <f t="shared" si="128"/>
        <v>1</v>
      </c>
      <c r="Z248" s="276">
        <v>0</v>
      </c>
      <c r="AA248" s="276" t="s">
        <v>1220</v>
      </c>
      <c r="AB248" s="276"/>
      <c r="AC248" s="275"/>
      <c r="AD248" s="189"/>
      <c r="AE248" s="189"/>
      <c r="AF248" s="79"/>
      <c r="AG248" s="276" t="s">
        <v>1364</v>
      </c>
      <c r="AH248" s="77"/>
      <c r="AI248" s="275">
        <v>1</v>
      </c>
      <c r="AJ248" s="83" t="str">
        <f t="shared" si="110"/>
        <v>07022141</v>
      </c>
      <c r="AK248" s="83" t="s">
        <v>1733</v>
      </c>
      <c r="AL248" s="189" t="s">
        <v>137</v>
      </c>
      <c r="AM248" s="189"/>
      <c r="AN248" s="83" t="s">
        <v>1734</v>
      </c>
      <c r="AO248" s="78" t="s">
        <v>10</v>
      </c>
      <c r="AP248" s="83" t="s">
        <v>1735</v>
      </c>
      <c r="AQ248" s="83" t="s">
        <v>3087</v>
      </c>
      <c r="AR248" s="83" t="s">
        <v>1722</v>
      </c>
      <c r="AS248" s="83" t="s">
        <v>1736</v>
      </c>
      <c r="AT248" s="83" t="s">
        <v>1724</v>
      </c>
      <c r="AU248" s="83" t="s">
        <v>1736</v>
      </c>
      <c r="AV248" s="79" t="s">
        <v>1529</v>
      </c>
      <c r="AW248" s="83" t="s">
        <v>1737</v>
      </c>
      <c r="AX248" s="275">
        <v>1</v>
      </c>
      <c r="AY248" s="276" t="str">
        <f t="shared" si="111"/>
        <v>070221411</v>
      </c>
      <c r="AZ248" s="276" t="s">
        <v>1727</v>
      </c>
      <c r="BA248" s="83" t="s">
        <v>1728</v>
      </c>
      <c r="BB248" s="83" t="s">
        <v>1229</v>
      </c>
      <c r="BC248" s="78" t="s">
        <v>1729</v>
      </c>
      <c r="BD248" s="275" t="s">
        <v>1529</v>
      </c>
      <c r="BE248" s="83" t="s">
        <v>1738</v>
      </c>
      <c r="BF248" s="83" t="s">
        <v>1739</v>
      </c>
      <c r="BG248" s="83" t="s">
        <v>1740</v>
      </c>
      <c r="BH248" s="77"/>
      <c r="BI248" s="83" t="s">
        <v>1715</v>
      </c>
      <c r="BJ248" s="83"/>
      <c r="BK248" s="83" t="s">
        <v>1732</v>
      </c>
      <c r="BL248" s="83">
        <v>2312784</v>
      </c>
      <c r="BM248" s="127">
        <v>42339</v>
      </c>
      <c r="BN248" s="158">
        <v>0.12</v>
      </c>
      <c r="BO248" s="155">
        <v>1</v>
      </c>
      <c r="BP248" s="77"/>
      <c r="BQ248" s="187">
        <f t="shared" si="112"/>
        <v>0.88</v>
      </c>
      <c r="BR248" s="275">
        <v>5</v>
      </c>
      <c r="BS248" s="188">
        <f t="shared" si="113"/>
        <v>0.29599999999999999</v>
      </c>
      <c r="BT248" s="188">
        <v>0.24660000000000001</v>
      </c>
      <c r="BU248" s="188">
        <f t="shared" si="114"/>
        <v>0.12660000000000002</v>
      </c>
      <c r="BV248" s="188">
        <f t="shared" si="115"/>
        <v>0.14386363636363639</v>
      </c>
      <c r="BW248" s="188">
        <f t="shared" si="116"/>
        <v>0.47199999999999998</v>
      </c>
      <c r="BX248" s="188">
        <v>0.36570000000000003</v>
      </c>
      <c r="BY248" s="188">
        <f t="shared" si="117"/>
        <v>0.24570000000000003</v>
      </c>
      <c r="BZ248" s="89">
        <f t="shared" si="118"/>
        <v>0.27920454545454548</v>
      </c>
      <c r="CA248" s="188">
        <f t="shared" si="119"/>
        <v>0.64800000000000002</v>
      </c>
      <c r="CB248" s="188"/>
      <c r="CC248" s="188">
        <f t="shared" si="120"/>
        <v>-0.12</v>
      </c>
      <c r="CD248" s="188">
        <f t="shared" si="121"/>
        <v>-0.13636363636363635</v>
      </c>
      <c r="CE248" s="188">
        <f t="shared" si="122"/>
        <v>0.82399999999999995</v>
      </c>
      <c r="CF248" s="188"/>
      <c r="CG248" s="188">
        <f t="shared" si="123"/>
        <v>-0.12</v>
      </c>
      <c r="CH248" s="188">
        <f t="shared" si="124"/>
        <v>-0.13636363636363635</v>
      </c>
      <c r="CI248" s="188">
        <f t="shared" si="125"/>
        <v>0.99999999999999989</v>
      </c>
      <c r="CJ248" s="188"/>
      <c r="CK248" s="188">
        <f t="shared" si="126"/>
        <v>-0.12</v>
      </c>
      <c r="CL248" s="89">
        <f t="shared" si="127"/>
        <v>-0.13636363636363635</v>
      </c>
      <c r="CM248" s="89"/>
      <c r="CN248" s="188"/>
      <c r="CO248" s="188"/>
      <c r="CP248" s="188"/>
      <c r="CQ248" s="188"/>
      <c r="CS248" s="24">
        <v>248</v>
      </c>
    </row>
    <row r="249" spans="1:97" s="244" customFormat="1" ht="285" customHeight="1" x14ac:dyDescent="0.25">
      <c r="A249" s="276">
        <v>17</v>
      </c>
      <c r="B249" s="269" t="s">
        <v>4575</v>
      </c>
      <c r="C249" s="269" t="s">
        <v>1270</v>
      </c>
      <c r="D249" s="189" t="s">
        <v>527</v>
      </c>
      <c r="E249" s="276" t="s">
        <v>536</v>
      </c>
      <c r="F249" s="189" t="s">
        <v>533</v>
      </c>
      <c r="G249" s="172">
        <v>19</v>
      </c>
      <c r="H249" s="276" t="s">
        <v>567</v>
      </c>
      <c r="I249" s="276">
        <v>214</v>
      </c>
      <c r="J249" s="276" t="s">
        <v>568</v>
      </c>
      <c r="K249" s="276" t="s">
        <v>1022</v>
      </c>
      <c r="L249" s="189" t="s">
        <v>569</v>
      </c>
      <c r="M249" s="276" t="s">
        <v>529</v>
      </c>
      <c r="N249" s="189" t="s">
        <v>560</v>
      </c>
      <c r="O249" s="189" t="s">
        <v>62</v>
      </c>
      <c r="P249" s="276" t="s">
        <v>189</v>
      </c>
      <c r="Q249" s="276" t="s">
        <v>560</v>
      </c>
      <c r="R249" s="276"/>
      <c r="S249" s="276"/>
      <c r="T249" s="276" t="s">
        <v>65</v>
      </c>
      <c r="U249" s="276"/>
      <c r="V249" s="276"/>
      <c r="W249" s="78" t="s">
        <v>561</v>
      </c>
      <c r="X249" s="173" t="e">
        <f>100/COUNTIFS(($B$4:$B$11),C249,($D$4:$D$11),E249)</f>
        <v>#DIV/0!</v>
      </c>
      <c r="Y249" s="276">
        <f t="shared" si="128"/>
        <v>1</v>
      </c>
      <c r="Z249" s="276">
        <v>0</v>
      </c>
      <c r="AA249" s="276" t="s">
        <v>1220</v>
      </c>
      <c r="AB249" s="276"/>
      <c r="AC249" s="275"/>
      <c r="AD249" s="189"/>
      <c r="AE249" s="189"/>
      <c r="AF249" s="79"/>
      <c r="AG249" s="276" t="s">
        <v>1364</v>
      </c>
      <c r="AH249" s="77"/>
      <c r="AI249" s="275">
        <v>1</v>
      </c>
      <c r="AJ249" s="83" t="str">
        <f t="shared" si="110"/>
        <v>07022141</v>
      </c>
      <c r="AK249" s="83" t="s">
        <v>1733</v>
      </c>
      <c r="AL249" s="189" t="s">
        <v>137</v>
      </c>
      <c r="AM249" s="189"/>
      <c r="AN249" s="83" t="s">
        <v>1720</v>
      </c>
      <c r="AO249" s="78" t="s">
        <v>10</v>
      </c>
      <c r="AP249" s="83" t="s">
        <v>1735</v>
      </c>
      <c r="AQ249" s="83" t="s">
        <v>3087</v>
      </c>
      <c r="AR249" s="83" t="s">
        <v>1722</v>
      </c>
      <c r="AS249" s="83" t="s">
        <v>1736</v>
      </c>
      <c r="AT249" s="83" t="s">
        <v>1724</v>
      </c>
      <c r="AU249" s="83" t="s">
        <v>1736</v>
      </c>
      <c r="AV249" s="79" t="s">
        <v>1529</v>
      </c>
      <c r="AW249" s="83" t="s">
        <v>1737</v>
      </c>
      <c r="AX249" s="275">
        <v>1</v>
      </c>
      <c r="AY249" s="276" t="str">
        <f t="shared" si="111"/>
        <v>070221411</v>
      </c>
      <c r="AZ249" s="276" t="s">
        <v>1727</v>
      </c>
      <c r="BA249" s="83" t="s">
        <v>1728</v>
      </c>
      <c r="BB249" s="83" t="s">
        <v>1229</v>
      </c>
      <c r="BC249" s="78" t="s">
        <v>1729</v>
      </c>
      <c r="BD249" s="275" t="s">
        <v>1529</v>
      </c>
      <c r="BE249" s="83" t="s">
        <v>1738</v>
      </c>
      <c r="BF249" s="83" t="s">
        <v>1739</v>
      </c>
      <c r="BG249" s="83" t="s">
        <v>1740</v>
      </c>
      <c r="BH249" s="77"/>
      <c r="BI249" s="83" t="s">
        <v>1715</v>
      </c>
      <c r="BJ249" s="83"/>
      <c r="BK249" s="83" t="s">
        <v>1732</v>
      </c>
      <c r="BL249" s="83">
        <v>2312784</v>
      </c>
      <c r="BM249" s="127">
        <v>42339</v>
      </c>
      <c r="BN249" s="139">
        <v>0.14000000000000001</v>
      </c>
      <c r="BO249" s="155">
        <v>1</v>
      </c>
      <c r="BP249" s="77"/>
      <c r="BQ249" s="187">
        <f t="shared" si="112"/>
        <v>0.86</v>
      </c>
      <c r="BR249" s="275">
        <v>5</v>
      </c>
      <c r="BS249" s="188">
        <f t="shared" si="113"/>
        <v>0.312</v>
      </c>
      <c r="BT249" s="188">
        <v>0.28749999999999998</v>
      </c>
      <c r="BU249" s="188">
        <f t="shared" si="114"/>
        <v>0.14749999999999996</v>
      </c>
      <c r="BV249" s="188">
        <f t="shared" si="115"/>
        <v>0.17151162790697672</v>
      </c>
      <c r="BW249" s="188">
        <f t="shared" si="116"/>
        <v>0.48399999999999999</v>
      </c>
      <c r="BX249" s="188">
        <v>0.41499999999999998</v>
      </c>
      <c r="BY249" s="188">
        <f t="shared" si="117"/>
        <v>0.27499999999999997</v>
      </c>
      <c r="BZ249" s="89">
        <f t="shared" si="118"/>
        <v>0.31976744186046507</v>
      </c>
      <c r="CA249" s="188">
        <f t="shared" si="119"/>
        <v>0.65600000000000003</v>
      </c>
      <c r="CB249" s="188"/>
      <c r="CC249" s="188">
        <f t="shared" si="120"/>
        <v>-0.14000000000000001</v>
      </c>
      <c r="CD249" s="188">
        <f t="shared" si="121"/>
        <v>-0.16279069767441862</v>
      </c>
      <c r="CE249" s="188">
        <f t="shared" si="122"/>
        <v>0.82799999999999996</v>
      </c>
      <c r="CF249" s="188"/>
      <c r="CG249" s="188">
        <f t="shared" si="123"/>
        <v>-0.14000000000000001</v>
      </c>
      <c r="CH249" s="188">
        <f t="shared" si="124"/>
        <v>-0.16279069767441862</v>
      </c>
      <c r="CI249" s="188">
        <f t="shared" si="125"/>
        <v>0.99999999999999989</v>
      </c>
      <c r="CJ249" s="188"/>
      <c r="CK249" s="188">
        <f t="shared" si="126"/>
        <v>-0.14000000000000001</v>
      </c>
      <c r="CL249" s="89">
        <f t="shared" si="127"/>
        <v>-0.16279069767441862</v>
      </c>
      <c r="CM249" s="89"/>
      <c r="CN249" s="188"/>
      <c r="CO249" s="188"/>
      <c r="CP249" s="188"/>
      <c r="CQ249" s="188"/>
      <c r="CS249" s="2">
        <v>249</v>
      </c>
    </row>
    <row r="250" spans="1:97" s="244" customFormat="1" ht="285" customHeight="1" x14ac:dyDescent="0.25">
      <c r="A250" s="276">
        <v>17</v>
      </c>
      <c r="B250" s="269" t="s">
        <v>4575</v>
      </c>
      <c r="C250" s="269" t="s">
        <v>1270</v>
      </c>
      <c r="D250" s="189" t="s">
        <v>527</v>
      </c>
      <c r="E250" s="276" t="s">
        <v>536</v>
      </c>
      <c r="F250" s="189" t="s">
        <v>533</v>
      </c>
      <c r="G250" s="172">
        <v>19</v>
      </c>
      <c r="H250" s="276" t="s">
        <v>567</v>
      </c>
      <c r="I250" s="276">
        <v>214</v>
      </c>
      <c r="J250" s="276" t="s">
        <v>568</v>
      </c>
      <c r="K250" s="276" t="s">
        <v>1022</v>
      </c>
      <c r="L250" s="189" t="s">
        <v>569</v>
      </c>
      <c r="M250" s="276" t="s">
        <v>529</v>
      </c>
      <c r="N250" s="189" t="s">
        <v>560</v>
      </c>
      <c r="O250" s="189" t="s">
        <v>62</v>
      </c>
      <c r="P250" s="276" t="s">
        <v>189</v>
      </c>
      <c r="Q250" s="276" t="s">
        <v>560</v>
      </c>
      <c r="R250" s="276"/>
      <c r="S250" s="276"/>
      <c r="T250" s="276" t="s">
        <v>65</v>
      </c>
      <c r="U250" s="276"/>
      <c r="V250" s="276"/>
      <c r="W250" s="78" t="s">
        <v>561</v>
      </c>
      <c r="X250" s="173" t="e">
        <f>100/COUNTIFS(($B$4:$B$11),C250,($D$4:$D$11),E250)</f>
        <v>#DIV/0!</v>
      </c>
      <c r="Y250" s="276">
        <f t="shared" si="128"/>
        <v>1</v>
      </c>
      <c r="Z250" s="276">
        <v>0</v>
      </c>
      <c r="AA250" s="276" t="s">
        <v>1220</v>
      </c>
      <c r="AB250" s="276"/>
      <c r="AC250" s="275"/>
      <c r="AD250" s="189"/>
      <c r="AE250" s="189"/>
      <c r="AF250" s="79"/>
      <c r="AG250" s="276" t="s">
        <v>1364</v>
      </c>
      <c r="AH250" s="77"/>
      <c r="AI250" s="275">
        <v>1</v>
      </c>
      <c r="AJ250" s="83" t="str">
        <f t="shared" si="110"/>
        <v>07022141</v>
      </c>
      <c r="AK250" s="83" t="s">
        <v>1741</v>
      </c>
      <c r="AL250" s="189" t="s">
        <v>137</v>
      </c>
      <c r="AM250" s="189"/>
      <c r="AN250" s="78" t="s">
        <v>1742</v>
      </c>
      <c r="AO250" s="78" t="s">
        <v>10</v>
      </c>
      <c r="AP250" s="83" t="s">
        <v>1743</v>
      </c>
      <c r="AQ250" s="83" t="s">
        <v>3088</v>
      </c>
      <c r="AR250" s="189" t="s">
        <v>1744</v>
      </c>
      <c r="AS250" s="83" t="s">
        <v>1745</v>
      </c>
      <c r="AT250" s="83" t="s">
        <v>1724</v>
      </c>
      <c r="AU250" s="189" t="str">
        <f>+AS250</f>
        <v>Informes Tecnicos de la EMCC</v>
      </c>
      <c r="AV250" s="79" t="s">
        <v>1529</v>
      </c>
      <c r="AW250" s="83" t="s">
        <v>1746</v>
      </c>
      <c r="AX250" s="275">
        <v>1</v>
      </c>
      <c r="AY250" s="276" t="str">
        <f t="shared" si="111"/>
        <v>070221411</v>
      </c>
      <c r="AZ250" s="276" t="s">
        <v>1727</v>
      </c>
      <c r="BA250" s="83" t="s">
        <v>1728</v>
      </c>
      <c r="BB250" s="83" t="s">
        <v>1229</v>
      </c>
      <c r="BC250" s="78" t="s">
        <v>1729</v>
      </c>
      <c r="BD250" s="275" t="s">
        <v>1529</v>
      </c>
      <c r="BE250" s="83" t="s">
        <v>1747</v>
      </c>
      <c r="BF250" s="83" t="str">
        <f>+BE250</f>
        <v>Empresa Minera Corocoro- EMCC</v>
      </c>
      <c r="BG250" s="83" t="s">
        <v>1748</v>
      </c>
      <c r="BH250" s="77"/>
      <c r="BI250" s="83" t="s">
        <v>1715</v>
      </c>
      <c r="BJ250" s="83"/>
      <c r="BK250" s="83" t="s">
        <v>1732</v>
      </c>
      <c r="BL250" s="83">
        <v>2312784</v>
      </c>
      <c r="BM250" s="127">
        <v>42339</v>
      </c>
      <c r="BN250" s="139">
        <v>0.17</v>
      </c>
      <c r="BO250" s="155">
        <v>1</v>
      </c>
      <c r="BP250" s="77"/>
      <c r="BQ250" s="187">
        <f t="shared" si="112"/>
        <v>0.83</v>
      </c>
      <c r="BR250" s="275">
        <v>5</v>
      </c>
      <c r="BS250" s="188">
        <f t="shared" si="113"/>
        <v>0.33599999999999997</v>
      </c>
      <c r="BT250" s="188">
        <v>0.36020000000000002</v>
      </c>
      <c r="BU250" s="188">
        <f t="shared" si="114"/>
        <v>0.19020000000000001</v>
      </c>
      <c r="BV250" s="188">
        <f t="shared" si="115"/>
        <v>0.22915662650602411</v>
      </c>
      <c r="BW250" s="188">
        <f t="shared" si="116"/>
        <v>0.502</v>
      </c>
      <c r="BX250" s="188">
        <v>0.53120000000000001</v>
      </c>
      <c r="BY250" s="188">
        <f t="shared" si="117"/>
        <v>0.36119999999999997</v>
      </c>
      <c r="BZ250" s="89">
        <f t="shared" si="118"/>
        <v>0.43518072289156623</v>
      </c>
      <c r="CA250" s="188">
        <f t="shared" si="119"/>
        <v>0.66799999999999993</v>
      </c>
      <c r="CB250" s="188"/>
      <c r="CC250" s="188">
        <f t="shared" si="120"/>
        <v>-0.17</v>
      </c>
      <c r="CD250" s="188">
        <f t="shared" si="121"/>
        <v>-0.20481927710843376</v>
      </c>
      <c r="CE250" s="188">
        <f t="shared" si="122"/>
        <v>0.83399999999999996</v>
      </c>
      <c r="CF250" s="188"/>
      <c r="CG250" s="188">
        <f t="shared" si="123"/>
        <v>-0.17</v>
      </c>
      <c r="CH250" s="188">
        <f t="shared" si="124"/>
        <v>-0.20481927710843376</v>
      </c>
      <c r="CI250" s="188">
        <f t="shared" si="125"/>
        <v>0.99999999999999989</v>
      </c>
      <c r="CJ250" s="188"/>
      <c r="CK250" s="188">
        <f t="shared" si="126"/>
        <v>-0.17</v>
      </c>
      <c r="CL250" s="89">
        <f t="shared" si="127"/>
        <v>-0.20481927710843376</v>
      </c>
      <c r="CM250" s="89"/>
      <c r="CN250" s="188"/>
      <c r="CO250" s="188"/>
      <c r="CP250" s="188"/>
      <c r="CQ250" s="188"/>
      <c r="CS250" s="24">
        <v>250</v>
      </c>
    </row>
    <row r="251" spans="1:97" s="244" customFormat="1" ht="285" customHeight="1" x14ac:dyDescent="0.25">
      <c r="A251" s="276">
        <v>17</v>
      </c>
      <c r="B251" s="269" t="s">
        <v>4575</v>
      </c>
      <c r="C251" s="269" t="s">
        <v>1270</v>
      </c>
      <c r="D251" s="189" t="s">
        <v>527</v>
      </c>
      <c r="E251" s="276" t="s">
        <v>536</v>
      </c>
      <c r="F251" s="189" t="s">
        <v>533</v>
      </c>
      <c r="G251" s="172">
        <v>19</v>
      </c>
      <c r="H251" s="276"/>
      <c r="I251" s="276"/>
      <c r="J251" s="276"/>
      <c r="K251" s="276" t="s">
        <v>1022</v>
      </c>
      <c r="L251" s="189" t="s">
        <v>569</v>
      </c>
      <c r="M251" s="276"/>
      <c r="N251" s="189"/>
      <c r="O251" s="189" t="s">
        <v>62</v>
      </c>
      <c r="P251" s="276"/>
      <c r="Q251" s="276"/>
      <c r="R251" s="276"/>
      <c r="S251" s="276"/>
      <c r="T251" s="276"/>
      <c r="U251" s="276"/>
      <c r="V251" s="276"/>
      <c r="W251" s="78"/>
      <c r="X251" s="173"/>
      <c r="Y251" s="276">
        <v>1</v>
      </c>
      <c r="Z251" s="276">
        <v>0</v>
      </c>
      <c r="AA251" s="276" t="s">
        <v>1220</v>
      </c>
      <c r="AB251" s="276"/>
      <c r="AC251" s="275"/>
      <c r="AD251" s="189"/>
      <c r="AE251" s="189"/>
      <c r="AF251" s="79"/>
      <c r="AG251" s="276" t="s">
        <v>1364</v>
      </c>
      <c r="AH251" s="77"/>
      <c r="AI251" s="275">
        <v>1</v>
      </c>
      <c r="AJ251" s="83" t="str">
        <f t="shared" si="110"/>
        <v>07022141</v>
      </c>
      <c r="AK251" s="83" t="s">
        <v>1749</v>
      </c>
      <c r="AL251" s="189" t="s">
        <v>137</v>
      </c>
      <c r="AM251" s="189"/>
      <c r="AN251" s="78" t="s">
        <v>1750</v>
      </c>
      <c r="AO251" s="78" t="s">
        <v>10</v>
      </c>
      <c r="AP251" s="83" t="s">
        <v>1751</v>
      </c>
      <c r="AQ251" s="83" t="s">
        <v>3089</v>
      </c>
      <c r="AR251" s="189" t="s">
        <v>1744</v>
      </c>
      <c r="AS251" s="83" t="s">
        <v>1752</v>
      </c>
      <c r="AT251" s="83" t="s">
        <v>1724</v>
      </c>
      <c r="AU251" s="83" t="s">
        <v>1752</v>
      </c>
      <c r="AV251" s="79" t="s">
        <v>1529</v>
      </c>
      <c r="AW251" s="83" t="s">
        <v>1753</v>
      </c>
      <c r="AX251" s="275">
        <v>1</v>
      </c>
      <c r="AY251" s="276" t="str">
        <f t="shared" si="111"/>
        <v>070221411</v>
      </c>
      <c r="AZ251" s="276" t="s">
        <v>1727</v>
      </c>
      <c r="BA251" s="83" t="s">
        <v>1728</v>
      </c>
      <c r="BB251" s="83" t="s">
        <v>1229</v>
      </c>
      <c r="BC251" s="78" t="s">
        <v>1729</v>
      </c>
      <c r="BD251" s="275" t="s">
        <v>1529</v>
      </c>
      <c r="BE251" s="83" t="s">
        <v>1754</v>
      </c>
      <c r="BF251" s="83" t="str">
        <f>+BE251</f>
        <v>Empresa Metalurgica Karachipampa- EMK</v>
      </c>
      <c r="BG251" s="83" t="s">
        <v>1755</v>
      </c>
      <c r="BH251" s="77"/>
      <c r="BI251" s="83" t="s">
        <v>1715</v>
      </c>
      <c r="BJ251" s="83"/>
      <c r="BK251" s="83" t="s">
        <v>1732</v>
      </c>
      <c r="BL251" s="83">
        <v>2312784</v>
      </c>
      <c r="BM251" s="127">
        <v>42339</v>
      </c>
      <c r="BN251" s="139">
        <v>0</v>
      </c>
      <c r="BO251" s="155">
        <v>1</v>
      </c>
      <c r="BP251" s="77"/>
      <c r="BQ251" s="187">
        <f t="shared" si="112"/>
        <v>1</v>
      </c>
      <c r="BR251" s="275">
        <v>5</v>
      </c>
      <c r="BS251" s="188">
        <f t="shared" si="113"/>
        <v>0.2</v>
      </c>
      <c r="BT251" s="188">
        <v>1.5599999999999999E-2</v>
      </c>
      <c r="BU251" s="188">
        <f t="shared" si="114"/>
        <v>1.5599999999999999E-2</v>
      </c>
      <c r="BV251" s="188">
        <f t="shared" si="115"/>
        <v>1.5599999999999999E-2</v>
      </c>
      <c r="BW251" s="188">
        <f t="shared" si="116"/>
        <v>0.4</v>
      </c>
      <c r="BX251" s="188">
        <v>1.7299999999999999E-2</v>
      </c>
      <c r="BY251" s="188">
        <f t="shared" si="117"/>
        <v>1.7299999999999999E-2</v>
      </c>
      <c r="BZ251" s="89">
        <f t="shared" si="118"/>
        <v>1.7299999999999999E-2</v>
      </c>
      <c r="CA251" s="188">
        <f t="shared" si="119"/>
        <v>0.60000000000000009</v>
      </c>
      <c r="CB251" s="188"/>
      <c r="CC251" s="188">
        <f t="shared" si="120"/>
        <v>0</v>
      </c>
      <c r="CD251" s="188">
        <f t="shared" si="121"/>
        <v>0</v>
      </c>
      <c r="CE251" s="188">
        <f t="shared" si="122"/>
        <v>0.8</v>
      </c>
      <c r="CF251" s="188"/>
      <c r="CG251" s="188">
        <f t="shared" si="123"/>
        <v>0</v>
      </c>
      <c r="CH251" s="188">
        <f t="shared" si="124"/>
        <v>0</v>
      </c>
      <c r="CI251" s="188">
        <f t="shared" si="125"/>
        <v>1</v>
      </c>
      <c r="CJ251" s="188"/>
      <c r="CK251" s="188">
        <f t="shared" si="126"/>
        <v>0</v>
      </c>
      <c r="CL251" s="89">
        <f t="shared" si="127"/>
        <v>0</v>
      </c>
      <c r="CM251" s="89"/>
      <c r="CN251" s="188"/>
      <c r="CO251" s="188"/>
      <c r="CP251" s="188"/>
      <c r="CQ251" s="188"/>
      <c r="CS251" s="24">
        <v>251</v>
      </c>
    </row>
    <row r="252" spans="1:97" s="244" customFormat="1" ht="285" customHeight="1" x14ac:dyDescent="0.25">
      <c r="A252" s="276">
        <v>17</v>
      </c>
      <c r="B252" s="269" t="s">
        <v>4575</v>
      </c>
      <c r="C252" s="269" t="s">
        <v>1270</v>
      </c>
      <c r="D252" s="189" t="s">
        <v>527</v>
      </c>
      <c r="E252" s="276" t="s">
        <v>536</v>
      </c>
      <c r="F252" s="189" t="s">
        <v>533</v>
      </c>
      <c r="G252" s="172">
        <v>19</v>
      </c>
      <c r="H252" s="276"/>
      <c r="I252" s="276"/>
      <c r="J252" s="276"/>
      <c r="K252" s="276" t="s">
        <v>1022</v>
      </c>
      <c r="L252" s="189" t="s">
        <v>569</v>
      </c>
      <c r="M252" s="276"/>
      <c r="N252" s="189"/>
      <c r="O252" s="189" t="s">
        <v>62</v>
      </c>
      <c r="P252" s="276"/>
      <c r="Q252" s="276"/>
      <c r="R252" s="276"/>
      <c r="S252" s="276"/>
      <c r="T252" s="276"/>
      <c r="U252" s="276"/>
      <c r="V252" s="276"/>
      <c r="W252" s="78"/>
      <c r="X252" s="173"/>
      <c r="Y252" s="276">
        <v>1</v>
      </c>
      <c r="Z252" s="276">
        <v>0</v>
      </c>
      <c r="AA252" s="276" t="s">
        <v>1220</v>
      </c>
      <c r="AB252" s="276"/>
      <c r="AC252" s="275"/>
      <c r="AD252" s="189"/>
      <c r="AE252" s="189"/>
      <c r="AF252" s="79"/>
      <c r="AG252" s="276" t="s">
        <v>1364</v>
      </c>
      <c r="AH252" s="77"/>
      <c r="AI252" s="275">
        <v>1</v>
      </c>
      <c r="AJ252" s="83" t="str">
        <f t="shared" si="110"/>
        <v>07022141</v>
      </c>
      <c r="AK252" s="83" t="s">
        <v>1749</v>
      </c>
      <c r="AL252" s="189" t="s">
        <v>137</v>
      </c>
      <c r="AM252" s="189"/>
      <c r="AN252" s="78" t="s">
        <v>1756</v>
      </c>
      <c r="AO252" s="78" t="s">
        <v>10</v>
      </c>
      <c r="AP252" s="83" t="s">
        <v>1751</v>
      </c>
      <c r="AQ252" s="83" t="s">
        <v>3089</v>
      </c>
      <c r="AR252" s="189" t="s">
        <v>1744</v>
      </c>
      <c r="AS252" s="83" t="s">
        <v>1752</v>
      </c>
      <c r="AT252" s="83" t="s">
        <v>1724</v>
      </c>
      <c r="AU252" s="83" t="s">
        <v>1752</v>
      </c>
      <c r="AV252" s="79" t="s">
        <v>1529</v>
      </c>
      <c r="AW252" s="83" t="s">
        <v>1753</v>
      </c>
      <c r="AX252" s="275">
        <v>1</v>
      </c>
      <c r="AY252" s="276" t="str">
        <f t="shared" si="111"/>
        <v>070221411</v>
      </c>
      <c r="AZ252" s="276" t="s">
        <v>1727</v>
      </c>
      <c r="BA252" s="83" t="s">
        <v>1728</v>
      </c>
      <c r="BB252" s="83" t="s">
        <v>1229</v>
      </c>
      <c r="BC252" s="78" t="s">
        <v>1729</v>
      </c>
      <c r="BD252" s="275" t="s">
        <v>1529</v>
      </c>
      <c r="BE252" s="83" t="s">
        <v>1754</v>
      </c>
      <c r="BF252" s="83" t="str">
        <f>+BE252</f>
        <v>Empresa Metalurgica Karachipampa- EMK</v>
      </c>
      <c r="BG252" s="83" t="s">
        <v>1755</v>
      </c>
      <c r="BH252" s="77"/>
      <c r="BI252" s="83" t="s">
        <v>1715</v>
      </c>
      <c r="BJ252" s="83"/>
      <c r="BK252" s="83" t="s">
        <v>1732</v>
      </c>
      <c r="BL252" s="83">
        <v>2312784</v>
      </c>
      <c r="BM252" s="127">
        <v>42339</v>
      </c>
      <c r="BN252" s="139">
        <v>0</v>
      </c>
      <c r="BO252" s="155">
        <v>1</v>
      </c>
      <c r="BP252" s="77"/>
      <c r="BQ252" s="187">
        <f t="shared" si="112"/>
        <v>1</v>
      </c>
      <c r="BR252" s="275">
        <v>5</v>
      </c>
      <c r="BS252" s="188">
        <f t="shared" si="113"/>
        <v>0.2</v>
      </c>
      <c r="BT252" s="188">
        <v>1.78E-2</v>
      </c>
      <c r="BU252" s="188">
        <f t="shared" si="114"/>
        <v>1.78E-2</v>
      </c>
      <c r="BV252" s="188">
        <f t="shared" si="115"/>
        <v>1.78E-2</v>
      </c>
      <c r="BW252" s="188">
        <f t="shared" si="116"/>
        <v>0.4</v>
      </c>
      <c r="BX252" s="188">
        <v>4.07E-2</v>
      </c>
      <c r="BY252" s="188">
        <f t="shared" si="117"/>
        <v>4.07E-2</v>
      </c>
      <c r="BZ252" s="89">
        <f t="shared" si="118"/>
        <v>4.07E-2</v>
      </c>
      <c r="CA252" s="188">
        <f t="shared" si="119"/>
        <v>0.60000000000000009</v>
      </c>
      <c r="CB252" s="188"/>
      <c r="CC252" s="188">
        <f t="shared" si="120"/>
        <v>0</v>
      </c>
      <c r="CD252" s="188">
        <f t="shared" si="121"/>
        <v>0</v>
      </c>
      <c r="CE252" s="188">
        <f t="shared" si="122"/>
        <v>0.8</v>
      </c>
      <c r="CF252" s="188"/>
      <c r="CG252" s="188">
        <f t="shared" si="123"/>
        <v>0</v>
      </c>
      <c r="CH252" s="188">
        <f t="shared" si="124"/>
        <v>0</v>
      </c>
      <c r="CI252" s="188">
        <f t="shared" si="125"/>
        <v>1</v>
      </c>
      <c r="CJ252" s="188"/>
      <c r="CK252" s="188">
        <f t="shared" si="126"/>
        <v>0</v>
      </c>
      <c r="CL252" s="89">
        <f t="shared" si="127"/>
        <v>0</v>
      </c>
      <c r="CM252" s="89"/>
      <c r="CN252" s="188"/>
      <c r="CO252" s="188"/>
      <c r="CP252" s="188"/>
      <c r="CQ252" s="188"/>
      <c r="CS252" s="2">
        <v>252</v>
      </c>
    </row>
    <row r="253" spans="1:97" s="244" customFormat="1" ht="285" customHeight="1" x14ac:dyDescent="0.25">
      <c r="A253" s="276">
        <v>17</v>
      </c>
      <c r="B253" s="269" t="s">
        <v>4575</v>
      </c>
      <c r="C253" s="269" t="s">
        <v>1270</v>
      </c>
      <c r="D253" s="189" t="s">
        <v>527</v>
      </c>
      <c r="E253" s="276" t="s">
        <v>536</v>
      </c>
      <c r="F253" s="189" t="s">
        <v>533</v>
      </c>
      <c r="G253" s="172">
        <v>19</v>
      </c>
      <c r="H253" s="276" t="s">
        <v>567</v>
      </c>
      <c r="I253" s="276">
        <v>214</v>
      </c>
      <c r="J253" s="276" t="s">
        <v>568</v>
      </c>
      <c r="K253" s="276" t="s">
        <v>1022</v>
      </c>
      <c r="L253" s="189" t="s">
        <v>569</v>
      </c>
      <c r="M253" s="276" t="s">
        <v>529</v>
      </c>
      <c r="N253" s="189" t="s">
        <v>560</v>
      </c>
      <c r="O253" s="189" t="s">
        <v>62</v>
      </c>
      <c r="P253" s="276" t="s">
        <v>189</v>
      </c>
      <c r="Q253" s="276" t="s">
        <v>560</v>
      </c>
      <c r="R253" s="276"/>
      <c r="S253" s="276"/>
      <c r="T253" s="276" t="s">
        <v>65</v>
      </c>
      <c r="U253" s="276"/>
      <c r="V253" s="276"/>
      <c r="W253" s="78" t="s">
        <v>561</v>
      </c>
      <c r="X253" s="173" t="e">
        <f>100/COUNTIFS(($B$4:$B$11),C253,($D$4:$D$11),E253)</f>
        <v>#DIV/0!</v>
      </c>
      <c r="Y253" s="276">
        <f>COUNTIF(T253,"RS")</f>
        <v>1</v>
      </c>
      <c r="Z253" s="276">
        <v>0</v>
      </c>
      <c r="AA253" s="276" t="s">
        <v>1220</v>
      </c>
      <c r="AB253" s="276"/>
      <c r="AC253" s="275"/>
      <c r="AD253" s="189"/>
      <c r="AE253" s="189"/>
      <c r="AF253" s="79"/>
      <c r="AG253" s="276" t="s">
        <v>1364</v>
      </c>
      <c r="AH253" s="77"/>
      <c r="AI253" s="275">
        <v>1</v>
      </c>
      <c r="AJ253" s="83" t="str">
        <f t="shared" si="110"/>
        <v>07022141</v>
      </c>
      <c r="AK253" s="83" t="s">
        <v>1757</v>
      </c>
      <c r="AL253" s="189" t="s">
        <v>137</v>
      </c>
      <c r="AM253" s="189"/>
      <c r="AN253" s="78" t="s">
        <v>1758</v>
      </c>
      <c r="AO253" s="78" t="s">
        <v>10</v>
      </c>
      <c r="AP253" s="83" t="s">
        <v>1759</v>
      </c>
      <c r="AQ253" s="83" t="s">
        <v>3089</v>
      </c>
      <c r="AR253" s="189" t="s">
        <v>1744</v>
      </c>
      <c r="AS253" s="83" t="s">
        <v>1760</v>
      </c>
      <c r="AT253" s="83" t="s">
        <v>1724</v>
      </c>
      <c r="AU253" s="189" t="str">
        <f>+AS253</f>
        <v>Informes Tecnicos de la EMV</v>
      </c>
      <c r="AV253" s="79" t="s">
        <v>1529</v>
      </c>
      <c r="AW253" s="83" t="s">
        <v>1753</v>
      </c>
      <c r="AX253" s="275">
        <v>1</v>
      </c>
      <c r="AY253" s="276" t="str">
        <f t="shared" si="111"/>
        <v>070221411</v>
      </c>
      <c r="AZ253" s="276" t="s">
        <v>1727</v>
      </c>
      <c r="BA253" s="83" t="s">
        <v>1728</v>
      </c>
      <c r="BB253" s="83" t="s">
        <v>1229</v>
      </c>
      <c r="BC253" s="78" t="s">
        <v>1729</v>
      </c>
      <c r="BD253" s="275" t="s">
        <v>1529</v>
      </c>
      <c r="BE253" s="83" t="s">
        <v>1761</v>
      </c>
      <c r="BF253" s="83" t="str">
        <f>+BE253</f>
        <v>Empresa Metalurgica Vinto- EMV</v>
      </c>
      <c r="BG253" s="83" t="s">
        <v>1762</v>
      </c>
      <c r="BH253" s="77"/>
      <c r="BI253" s="83" t="s">
        <v>1715</v>
      </c>
      <c r="BJ253" s="83"/>
      <c r="BK253" s="83" t="s">
        <v>1732</v>
      </c>
      <c r="BL253" s="83">
        <v>2312784</v>
      </c>
      <c r="BM253" s="127">
        <v>42339</v>
      </c>
      <c r="BN253" s="139">
        <v>0.15429999999999999</v>
      </c>
      <c r="BO253" s="155">
        <v>1</v>
      </c>
      <c r="BP253" s="77"/>
      <c r="BQ253" s="187">
        <f t="shared" si="112"/>
        <v>0.84570000000000001</v>
      </c>
      <c r="BR253" s="275">
        <v>5</v>
      </c>
      <c r="BS253" s="188">
        <f t="shared" si="113"/>
        <v>0.32344000000000001</v>
      </c>
      <c r="BT253" s="188">
        <v>0.3216</v>
      </c>
      <c r="BU253" s="188">
        <f t="shared" si="114"/>
        <v>0.1673</v>
      </c>
      <c r="BV253" s="188">
        <f t="shared" si="115"/>
        <v>0.19782428757242521</v>
      </c>
      <c r="BW253" s="188">
        <f t="shared" si="116"/>
        <v>0.49258000000000002</v>
      </c>
      <c r="BX253" s="188">
        <v>0.48370000000000002</v>
      </c>
      <c r="BY253" s="188">
        <f t="shared" si="117"/>
        <v>0.32940000000000003</v>
      </c>
      <c r="BZ253" s="89">
        <f t="shared" si="118"/>
        <v>0.38949982263213906</v>
      </c>
      <c r="CA253" s="188">
        <f t="shared" si="119"/>
        <v>0.66171999999999997</v>
      </c>
      <c r="CB253" s="188"/>
      <c r="CC253" s="188">
        <f t="shared" si="120"/>
        <v>-0.15429999999999999</v>
      </c>
      <c r="CD253" s="188">
        <f t="shared" si="121"/>
        <v>-0.1824524062906468</v>
      </c>
      <c r="CE253" s="188">
        <f t="shared" si="122"/>
        <v>0.83086000000000004</v>
      </c>
      <c r="CF253" s="188"/>
      <c r="CG253" s="188">
        <f t="shared" si="123"/>
        <v>-0.15429999999999999</v>
      </c>
      <c r="CH253" s="188">
        <f t="shared" si="124"/>
        <v>-0.1824524062906468</v>
      </c>
      <c r="CI253" s="188">
        <f t="shared" si="125"/>
        <v>1</v>
      </c>
      <c r="CJ253" s="188"/>
      <c r="CK253" s="188">
        <f t="shared" si="126"/>
        <v>-0.15429999999999999</v>
      </c>
      <c r="CL253" s="89">
        <f t="shared" si="127"/>
        <v>-0.1824524062906468</v>
      </c>
      <c r="CM253" s="89"/>
      <c r="CN253" s="188"/>
      <c r="CO253" s="188"/>
      <c r="CP253" s="188"/>
      <c r="CQ253" s="188"/>
      <c r="CS253" s="24">
        <v>253</v>
      </c>
    </row>
    <row r="254" spans="1:97" s="244" customFormat="1" ht="285" customHeight="1" x14ac:dyDescent="0.25">
      <c r="A254" s="276">
        <v>16</v>
      </c>
      <c r="B254" s="269" t="s">
        <v>4575</v>
      </c>
      <c r="C254" s="269" t="s">
        <v>1270</v>
      </c>
      <c r="D254" s="189" t="s">
        <v>527</v>
      </c>
      <c r="E254" s="276" t="s">
        <v>536</v>
      </c>
      <c r="F254" s="189" t="s">
        <v>533</v>
      </c>
      <c r="G254" s="172">
        <v>4</v>
      </c>
      <c r="H254" s="276" t="s">
        <v>540</v>
      </c>
      <c r="I254" s="276">
        <v>199</v>
      </c>
      <c r="J254" s="276" t="s">
        <v>541</v>
      </c>
      <c r="K254" s="276" t="s">
        <v>1007</v>
      </c>
      <c r="L254" s="189" t="s">
        <v>542</v>
      </c>
      <c r="M254" s="276" t="s">
        <v>529</v>
      </c>
      <c r="N254" s="189" t="s">
        <v>535</v>
      </c>
      <c r="O254" s="189" t="s">
        <v>62</v>
      </c>
      <c r="P254" s="276" t="s">
        <v>189</v>
      </c>
      <c r="Q254" s="276" t="s">
        <v>535</v>
      </c>
      <c r="R254" s="276">
        <v>1</v>
      </c>
      <c r="S254" s="276"/>
      <c r="T254" s="276" t="s">
        <v>65</v>
      </c>
      <c r="U254" s="276"/>
      <c r="V254" s="276"/>
      <c r="W254" s="78" t="s">
        <v>538</v>
      </c>
      <c r="X254" s="173" t="e">
        <f>100/COUNTIFS(($B$4:$B$11),C254,($D$4:$D$11),E254)</f>
        <v>#DIV/0!</v>
      </c>
      <c r="Y254" s="276">
        <f>COUNTIF(T254,"RS")</f>
        <v>1</v>
      </c>
      <c r="Z254" s="276">
        <v>0</v>
      </c>
      <c r="AA254" s="276" t="s">
        <v>1220</v>
      </c>
      <c r="AB254" s="276"/>
      <c r="AC254" s="275">
        <v>9</v>
      </c>
      <c r="AD254" s="189"/>
      <c r="AE254" s="189"/>
      <c r="AF254" s="79"/>
      <c r="AG254" s="276" t="s">
        <v>1236</v>
      </c>
      <c r="AH254" s="77"/>
      <c r="AI254" s="275">
        <v>1</v>
      </c>
      <c r="AJ254" s="83" t="str">
        <f t="shared" si="110"/>
        <v>07021991</v>
      </c>
      <c r="AK254" s="276" t="s">
        <v>1805</v>
      </c>
      <c r="AL254" s="189" t="s">
        <v>78</v>
      </c>
      <c r="AM254" s="189"/>
      <c r="AN254" s="275" t="s">
        <v>9</v>
      </c>
      <c r="AO254" s="83" t="s">
        <v>10</v>
      </c>
      <c r="AP254" s="276" t="s">
        <v>1806</v>
      </c>
      <c r="AQ254" s="276" t="s">
        <v>1807</v>
      </c>
      <c r="AR254" s="276" t="s">
        <v>1808</v>
      </c>
      <c r="AS254" s="114" t="s">
        <v>1789</v>
      </c>
      <c r="AT254" s="276" t="s">
        <v>1809</v>
      </c>
      <c r="AU254" s="276" t="s">
        <v>1810</v>
      </c>
      <c r="AV254" s="276" t="s">
        <v>1529</v>
      </c>
      <c r="AW254" s="276" t="s">
        <v>1811</v>
      </c>
      <c r="AX254" s="275">
        <v>1</v>
      </c>
      <c r="AY254" s="276" t="str">
        <f t="shared" si="111"/>
        <v>070219911</v>
      </c>
      <c r="AZ254" s="276" t="s">
        <v>1810</v>
      </c>
      <c r="BA254" s="276" t="s">
        <v>1812</v>
      </c>
      <c r="BB254" s="276" t="s">
        <v>1229</v>
      </c>
      <c r="BC254" s="276" t="s">
        <v>11</v>
      </c>
      <c r="BD254" s="276" t="s">
        <v>1777</v>
      </c>
      <c r="BE254" s="276" t="s">
        <v>9</v>
      </c>
      <c r="BF254" s="276" t="s">
        <v>9</v>
      </c>
      <c r="BG254" s="276" t="s">
        <v>1813</v>
      </c>
      <c r="BH254" s="276"/>
      <c r="BI254" s="276" t="s">
        <v>1794</v>
      </c>
      <c r="BJ254" s="276" t="s">
        <v>1781</v>
      </c>
      <c r="BK254" s="276" t="s">
        <v>1782</v>
      </c>
      <c r="BL254" s="276" t="s">
        <v>1783</v>
      </c>
      <c r="BM254" s="144">
        <v>42339</v>
      </c>
      <c r="BN254" s="159">
        <v>0.83230000000000004</v>
      </c>
      <c r="BO254" s="160">
        <v>1.0079</v>
      </c>
      <c r="BP254" s="77"/>
      <c r="BQ254" s="187">
        <f t="shared" si="112"/>
        <v>0.17559999999999998</v>
      </c>
      <c r="BR254" s="275">
        <v>5</v>
      </c>
      <c r="BS254" s="188">
        <f t="shared" si="113"/>
        <v>0.86742000000000008</v>
      </c>
      <c r="BT254" s="140">
        <v>0.77593999999999996</v>
      </c>
      <c r="BU254" s="188">
        <f t="shared" si="114"/>
        <v>-5.6360000000000077E-2</v>
      </c>
      <c r="BV254" s="188">
        <f t="shared" si="115"/>
        <v>-0.32095671981776813</v>
      </c>
      <c r="BW254" s="188">
        <f t="shared" si="116"/>
        <v>0.90254000000000001</v>
      </c>
      <c r="BX254" s="140">
        <v>0.74902999999999997</v>
      </c>
      <c r="BY254" s="188">
        <f t="shared" si="117"/>
        <v>-8.3270000000000066E-2</v>
      </c>
      <c r="BZ254" s="89">
        <f t="shared" si="118"/>
        <v>-0.47420273348519404</v>
      </c>
      <c r="CA254" s="188">
        <f t="shared" si="119"/>
        <v>0.93766000000000005</v>
      </c>
      <c r="CB254" s="188"/>
      <c r="CC254" s="188">
        <f t="shared" si="120"/>
        <v>-0.83230000000000004</v>
      </c>
      <c r="CD254" s="188">
        <f t="shared" si="121"/>
        <v>-4.7397494305239185</v>
      </c>
      <c r="CE254" s="188">
        <f t="shared" si="122"/>
        <v>0.97277999999999998</v>
      </c>
      <c r="CF254" s="188"/>
      <c r="CG254" s="188">
        <f t="shared" si="123"/>
        <v>-0.83230000000000004</v>
      </c>
      <c r="CH254" s="188">
        <f t="shared" si="124"/>
        <v>-4.7397494305239185</v>
      </c>
      <c r="CI254" s="188">
        <f t="shared" si="125"/>
        <v>1.0079</v>
      </c>
      <c r="CJ254" s="188"/>
      <c r="CK254" s="188">
        <f t="shared" si="126"/>
        <v>-0.83230000000000004</v>
      </c>
      <c r="CL254" s="89">
        <f t="shared" si="127"/>
        <v>-4.7397494305239185</v>
      </c>
      <c r="CM254" s="187" t="s">
        <v>11</v>
      </c>
      <c r="CN254" s="140"/>
      <c r="CO254" s="188"/>
      <c r="CP254" s="188"/>
      <c r="CQ254" s="188"/>
      <c r="CS254" s="24">
        <v>254</v>
      </c>
    </row>
    <row r="255" spans="1:97" s="244" customFormat="1" ht="285" customHeight="1" x14ac:dyDescent="0.25">
      <c r="A255" s="276">
        <v>16</v>
      </c>
      <c r="B255" s="269" t="s">
        <v>4575</v>
      </c>
      <c r="C255" s="269" t="s">
        <v>1270</v>
      </c>
      <c r="D255" s="189" t="s">
        <v>527</v>
      </c>
      <c r="E255" s="276" t="s">
        <v>536</v>
      </c>
      <c r="F255" s="189" t="s">
        <v>533</v>
      </c>
      <c r="G255" s="172">
        <v>5</v>
      </c>
      <c r="H255" s="276" t="s">
        <v>543</v>
      </c>
      <c r="I255" s="276">
        <v>200</v>
      </c>
      <c r="J255" s="276" t="s">
        <v>544</v>
      </c>
      <c r="K255" s="276" t="s">
        <v>1008</v>
      </c>
      <c r="L255" s="189" t="s">
        <v>545</v>
      </c>
      <c r="M255" s="276" t="s">
        <v>529</v>
      </c>
      <c r="N255" s="189" t="s">
        <v>535</v>
      </c>
      <c r="O255" s="189" t="s">
        <v>62</v>
      </c>
      <c r="P255" s="276" t="s">
        <v>189</v>
      </c>
      <c r="Q255" s="276" t="s">
        <v>535</v>
      </c>
      <c r="R255" s="276"/>
      <c r="S255" s="276"/>
      <c r="T255" s="276" t="s">
        <v>65</v>
      </c>
      <c r="U255" s="276"/>
      <c r="V255" s="276"/>
      <c r="W255" s="78" t="s">
        <v>538</v>
      </c>
      <c r="X255" s="173" t="e">
        <f>100/COUNTIFS(($B$4:$B$11),C255,($D$4:$D$11),E255)</f>
        <v>#DIV/0!</v>
      </c>
      <c r="Y255" s="276">
        <f>COUNTIF(T255,"RS")</f>
        <v>1</v>
      </c>
      <c r="Z255" s="276">
        <v>0</v>
      </c>
      <c r="AA255" s="276" t="s">
        <v>1220</v>
      </c>
      <c r="AB255" s="276"/>
      <c r="AC255" s="275"/>
      <c r="AD255" s="189" t="s">
        <v>3560</v>
      </c>
      <c r="AE255" s="189" t="s">
        <v>3561</v>
      </c>
      <c r="AF255" s="79"/>
      <c r="AG255" s="276" t="s">
        <v>1236</v>
      </c>
      <c r="AH255" s="77"/>
      <c r="AI255" s="275">
        <v>1</v>
      </c>
      <c r="AJ255" s="83" t="str">
        <f t="shared" si="110"/>
        <v>07022001</v>
      </c>
      <c r="AK255" s="276" t="s">
        <v>1814</v>
      </c>
      <c r="AL255" s="189" t="s">
        <v>137</v>
      </c>
      <c r="AM255" s="189"/>
      <c r="AN255" s="275" t="s">
        <v>9</v>
      </c>
      <c r="AO255" s="83" t="s">
        <v>10</v>
      </c>
      <c r="AP255" s="276" t="s">
        <v>1815</v>
      </c>
      <c r="AQ255" s="276" t="s">
        <v>1816</v>
      </c>
      <c r="AR255" s="276" t="s">
        <v>1808</v>
      </c>
      <c r="AS255" s="114" t="s">
        <v>1789</v>
      </c>
      <c r="AT255" s="276" t="s">
        <v>1817</v>
      </c>
      <c r="AU255" s="276" t="s">
        <v>1810</v>
      </c>
      <c r="AV255" s="276" t="s">
        <v>1529</v>
      </c>
      <c r="AW255" s="276" t="s">
        <v>1818</v>
      </c>
      <c r="AX255" s="275">
        <v>1</v>
      </c>
      <c r="AY255" s="276" t="str">
        <f t="shared" si="111"/>
        <v>070220011</v>
      </c>
      <c r="AZ255" s="276" t="s">
        <v>1810</v>
      </c>
      <c r="BA255" s="276" t="s">
        <v>1819</v>
      </c>
      <c r="BB255" s="276" t="s">
        <v>1229</v>
      </c>
      <c r="BC255" s="276" t="s">
        <v>11</v>
      </c>
      <c r="BD255" s="276" t="s">
        <v>1777</v>
      </c>
      <c r="BE255" s="276" t="s">
        <v>9</v>
      </c>
      <c r="BF255" s="276" t="s">
        <v>9</v>
      </c>
      <c r="BG255" s="276" t="s">
        <v>1820</v>
      </c>
      <c r="BH255" s="276"/>
      <c r="BI255" s="276" t="s">
        <v>1794</v>
      </c>
      <c r="BJ255" s="276" t="s">
        <v>1781</v>
      </c>
      <c r="BK255" s="276" t="s">
        <v>1782</v>
      </c>
      <c r="BL255" s="276" t="s">
        <v>1783</v>
      </c>
      <c r="BM255" s="144">
        <v>42339</v>
      </c>
      <c r="BN255" s="188">
        <v>0.88170000000000004</v>
      </c>
      <c r="BO255" s="161">
        <v>1.01</v>
      </c>
      <c r="BP255" s="77"/>
      <c r="BQ255" s="187">
        <f t="shared" si="112"/>
        <v>0.12829999999999997</v>
      </c>
      <c r="BR255" s="275">
        <v>5</v>
      </c>
      <c r="BS255" s="188">
        <f t="shared" si="113"/>
        <v>0.90736000000000006</v>
      </c>
      <c r="BT255" s="140">
        <v>0.81989999999999996</v>
      </c>
      <c r="BU255" s="188">
        <f t="shared" si="114"/>
        <v>-6.1800000000000077E-2</v>
      </c>
      <c r="BV255" s="188">
        <f t="shared" si="115"/>
        <v>-0.48168355416991498</v>
      </c>
      <c r="BW255" s="188">
        <f t="shared" si="116"/>
        <v>0.93302000000000007</v>
      </c>
      <c r="BX255" s="140">
        <v>0.75497999999999998</v>
      </c>
      <c r="BY255" s="188">
        <f t="shared" si="117"/>
        <v>-0.12672000000000005</v>
      </c>
      <c r="BZ255" s="89">
        <f t="shared" si="118"/>
        <v>-0.98768511301636852</v>
      </c>
      <c r="CA255" s="188">
        <f t="shared" si="119"/>
        <v>0.95867999999999998</v>
      </c>
      <c r="CB255" s="188"/>
      <c r="CC255" s="188">
        <f t="shared" si="120"/>
        <v>-0.88170000000000004</v>
      </c>
      <c r="CD255" s="188">
        <f t="shared" si="121"/>
        <v>-6.8721745908028078</v>
      </c>
      <c r="CE255" s="188">
        <f t="shared" si="122"/>
        <v>0.98433999999999999</v>
      </c>
      <c r="CF255" s="188"/>
      <c r="CG255" s="188">
        <f t="shared" si="123"/>
        <v>-0.88170000000000004</v>
      </c>
      <c r="CH255" s="188">
        <f t="shared" si="124"/>
        <v>-6.8721745908028078</v>
      </c>
      <c r="CI255" s="188">
        <f t="shared" si="125"/>
        <v>1.01</v>
      </c>
      <c r="CJ255" s="188"/>
      <c r="CK255" s="188">
        <f t="shared" si="126"/>
        <v>-0.88170000000000004</v>
      </c>
      <c r="CL255" s="89">
        <f t="shared" si="127"/>
        <v>-6.8721745908028078</v>
      </c>
      <c r="CM255" s="187" t="s">
        <v>11</v>
      </c>
      <c r="CN255" s="140"/>
      <c r="CO255" s="188"/>
      <c r="CP255" s="188"/>
      <c r="CQ255" s="188"/>
      <c r="CS255" s="2">
        <v>255</v>
      </c>
    </row>
    <row r="256" spans="1:97" s="244" customFormat="1" ht="313.5" customHeight="1" x14ac:dyDescent="0.25">
      <c r="A256" s="276">
        <v>16</v>
      </c>
      <c r="B256" s="269" t="s">
        <v>4575</v>
      </c>
      <c r="C256" s="269" t="s">
        <v>1270</v>
      </c>
      <c r="D256" s="189" t="s">
        <v>527</v>
      </c>
      <c r="E256" s="276" t="s">
        <v>536</v>
      </c>
      <c r="F256" s="189" t="s">
        <v>533</v>
      </c>
      <c r="G256" s="172">
        <v>6</v>
      </c>
      <c r="H256" s="276" t="s">
        <v>546</v>
      </c>
      <c r="I256" s="276">
        <v>201</v>
      </c>
      <c r="J256" s="276" t="s">
        <v>547</v>
      </c>
      <c r="K256" s="276" t="s">
        <v>1009</v>
      </c>
      <c r="L256" s="189" t="s">
        <v>548</v>
      </c>
      <c r="M256" s="276" t="s">
        <v>529</v>
      </c>
      <c r="N256" s="189" t="s">
        <v>535</v>
      </c>
      <c r="O256" s="189" t="s">
        <v>62</v>
      </c>
      <c r="P256" s="276" t="s">
        <v>189</v>
      </c>
      <c r="Q256" s="276" t="s">
        <v>535</v>
      </c>
      <c r="R256" s="276"/>
      <c r="S256" s="276"/>
      <c r="T256" s="276" t="s">
        <v>65</v>
      </c>
      <c r="U256" s="276"/>
      <c r="V256" s="276"/>
      <c r="W256" s="78" t="s">
        <v>538</v>
      </c>
      <c r="X256" s="173" t="e">
        <f>100/COUNTIFS(($B$4:$B$11),C256,($D$4:$D$11),E256)</f>
        <v>#DIV/0!</v>
      </c>
      <c r="Y256" s="276">
        <v>1</v>
      </c>
      <c r="Z256" s="276">
        <v>0</v>
      </c>
      <c r="AA256" s="276" t="s">
        <v>1220</v>
      </c>
      <c r="AB256" s="276"/>
      <c r="AC256" s="275"/>
      <c r="AD256" s="189" t="s">
        <v>3560</v>
      </c>
      <c r="AE256" s="189" t="s">
        <v>3561</v>
      </c>
      <c r="AF256" s="79"/>
      <c r="AG256" s="276" t="s">
        <v>1236</v>
      </c>
      <c r="AH256" s="77"/>
      <c r="AI256" s="275">
        <v>1</v>
      </c>
      <c r="AJ256" s="83" t="str">
        <f t="shared" ref="AJ256:AJ287" si="129">CONCATENATE(K256,AI256)</f>
        <v>07022011</v>
      </c>
      <c r="AK256" s="276" t="s">
        <v>1821</v>
      </c>
      <c r="AL256" s="189" t="s">
        <v>78</v>
      </c>
      <c r="AM256" s="189"/>
      <c r="AN256" s="275" t="s">
        <v>9</v>
      </c>
      <c r="AO256" s="83" t="s">
        <v>10</v>
      </c>
      <c r="AP256" s="276" t="s">
        <v>1822</v>
      </c>
      <c r="AQ256" s="276" t="s">
        <v>1823</v>
      </c>
      <c r="AR256" s="276" t="s">
        <v>1824</v>
      </c>
      <c r="AS256" s="114" t="s">
        <v>1789</v>
      </c>
      <c r="AT256" s="276" t="s">
        <v>1825</v>
      </c>
      <c r="AU256" s="276" t="s">
        <v>1810</v>
      </c>
      <c r="AV256" s="276" t="s">
        <v>1529</v>
      </c>
      <c r="AW256" s="276" t="s">
        <v>1826</v>
      </c>
      <c r="AX256" s="275">
        <v>1</v>
      </c>
      <c r="AY256" s="276" t="str">
        <f t="shared" si="111"/>
        <v>070220111</v>
      </c>
      <c r="AZ256" s="276" t="s">
        <v>1810</v>
      </c>
      <c r="BA256" s="276" t="s">
        <v>1827</v>
      </c>
      <c r="BB256" s="276" t="s">
        <v>1229</v>
      </c>
      <c r="BC256" s="276" t="s">
        <v>11</v>
      </c>
      <c r="BD256" s="276" t="s">
        <v>1777</v>
      </c>
      <c r="BE256" s="276" t="s">
        <v>9</v>
      </c>
      <c r="BF256" s="276" t="s">
        <v>9</v>
      </c>
      <c r="BG256" s="276" t="s">
        <v>1828</v>
      </c>
      <c r="BH256" s="276"/>
      <c r="BI256" s="276" t="s">
        <v>1794</v>
      </c>
      <c r="BJ256" s="276" t="s">
        <v>1781</v>
      </c>
      <c r="BK256" s="276" t="s">
        <v>1782</v>
      </c>
      <c r="BL256" s="276" t="s">
        <v>1783</v>
      </c>
      <c r="BM256" s="144">
        <v>42339</v>
      </c>
      <c r="BN256" s="160">
        <v>0.55110000000000003</v>
      </c>
      <c r="BO256" s="161">
        <v>1</v>
      </c>
      <c r="BP256" s="77"/>
      <c r="BQ256" s="187">
        <f t="shared" si="112"/>
        <v>0.44889999999999997</v>
      </c>
      <c r="BR256" s="275">
        <v>5</v>
      </c>
      <c r="BS256" s="188">
        <f t="shared" si="113"/>
        <v>0.64088000000000001</v>
      </c>
      <c r="BT256" s="140">
        <v>0.52305000000000001</v>
      </c>
      <c r="BU256" s="188">
        <f t="shared" si="114"/>
        <v>-2.8050000000000019E-2</v>
      </c>
      <c r="BV256" s="188">
        <f t="shared" si="115"/>
        <v>-6.2486077077300112E-2</v>
      </c>
      <c r="BW256" s="188">
        <f t="shared" si="116"/>
        <v>0.73066000000000009</v>
      </c>
      <c r="BX256" s="140">
        <v>0.53485000000000005</v>
      </c>
      <c r="BY256" s="188">
        <f t="shared" si="117"/>
        <v>-1.6249999999999987E-2</v>
      </c>
      <c r="BZ256" s="89">
        <f t="shared" si="118"/>
        <v>-3.6199599019826216E-2</v>
      </c>
      <c r="CA256" s="188">
        <f t="shared" si="119"/>
        <v>0.82044000000000006</v>
      </c>
      <c r="CB256" s="188"/>
      <c r="CC256" s="188">
        <f t="shared" si="120"/>
        <v>-0.55110000000000003</v>
      </c>
      <c r="CD256" s="188">
        <f t="shared" si="121"/>
        <v>-1.2276676319893074</v>
      </c>
      <c r="CE256" s="188">
        <f t="shared" si="122"/>
        <v>0.91022000000000003</v>
      </c>
      <c r="CF256" s="188"/>
      <c r="CG256" s="188">
        <f t="shared" si="123"/>
        <v>-0.55110000000000003</v>
      </c>
      <c r="CH256" s="188">
        <f t="shared" si="124"/>
        <v>-1.2276676319893074</v>
      </c>
      <c r="CI256" s="188">
        <f t="shared" si="125"/>
        <v>1</v>
      </c>
      <c r="CJ256" s="188"/>
      <c r="CK256" s="188">
        <f t="shared" si="126"/>
        <v>-0.55110000000000003</v>
      </c>
      <c r="CL256" s="89">
        <f t="shared" si="127"/>
        <v>-1.2276676319893074</v>
      </c>
      <c r="CM256" s="187" t="s">
        <v>11</v>
      </c>
      <c r="CN256" s="140"/>
      <c r="CO256" s="188"/>
      <c r="CP256" s="188"/>
      <c r="CQ256" s="188"/>
      <c r="CS256" s="24">
        <v>256</v>
      </c>
    </row>
    <row r="257" spans="1:97" s="244" customFormat="1" ht="327.75" customHeight="1" x14ac:dyDescent="0.25">
      <c r="A257" s="276">
        <v>16</v>
      </c>
      <c r="B257" s="269" t="s">
        <v>4575</v>
      </c>
      <c r="C257" s="153" t="s">
        <v>1270</v>
      </c>
      <c r="D257" s="83" t="s">
        <v>527</v>
      </c>
      <c r="E257" s="83" t="s">
        <v>536</v>
      </c>
      <c r="F257" s="83" t="s">
        <v>533</v>
      </c>
      <c r="G257" s="154">
        <v>8</v>
      </c>
      <c r="H257" s="276"/>
      <c r="I257" s="276"/>
      <c r="J257" s="276"/>
      <c r="K257" s="83" t="s">
        <v>1011</v>
      </c>
      <c r="L257" s="83" t="s">
        <v>552</v>
      </c>
      <c r="M257" s="276"/>
      <c r="N257" s="189"/>
      <c r="O257" s="189" t="s">
        <v>62</v>
      </c>
      <c r="P257" s="276">
        <v>1</v>
      </c>
      <c r="Q257" s="276">
        <v>0</v>
      </c>
      <c r="R257" s="276"/>
      <c r="S257" s="276"/>
      <c r="T257" s="276"/>
      <c r="U257" s="276"/>
      <c r="V257" s="276"/>
      <c r="W257" s="78"/>
      <c r="X257" s="173"/>
      <c r="Y257" s="276">
        <v>1</v>
      </c>
      <c r="Z257" s="83">
        <v>0</v>
      </c>
      <c r="AA257" s="276" t="s">
        <v>1220</v>
      </c>
      <c r="AB257" s="276"/>
      <c r="AC257" s="275"/>
      <c r="AD257" s="83"/>
      <c r="AE257" s="83"/>
      <c r="AF257" s="78"/>
      <c r="AG257" s="83" t="s">
        <v>1236</v>
      </c>
      <c r="AH257" s="77"/>
      <c r="AI257" s="275">
        <v>1</v>
      </c>
      <c r="AJ257" s="83" t="str">
        <f t="shared" si="129"/>
        <v>07022031</v>
      </c>
      <c r="AK257" s="276" t="s">
        <v>1829</v>
      </c>
      <c r="AL257" s="189" t="s">
        <v>78</v>
      </c>
      <c r="AM257" s="189"/>
      <c r="AN257" s="275" t="s">
        <v>9</v>
      </c>
      <c r="AO257" s="83" t="s">
        <v>10</v>
      </c>
      <c r="AP257" s="276" t="s">
        <v>1830</v>
      </c>
      <c r="AQ257" s="276" t="s">
        <v>1831</v>
      </c>
      <c r="AR257" s="276" t="s">
        <v>1832</v>
      </c>
      <c r="AS257" s="114" t="s">
        <v>1789</v>
      </c>
      <c r="AT257" s="276" t="s">
        <v>1833</v>
      </c>
      <c r="AU257" s="276" t="s">
        <v>1810</v>
      </c>
      <c r="AV257" s="276" t="s">
        <v>1529</v>
      </c>
      <c r="AW257" s="276" t="s">
        <v>1834</v>
      </c>
      <c r="AX257" s="275">
        <v>1</v>
      </c>
      <c r="AY257" s="276" t="str">
        <f t="shared" si="111"/>
        <v>070220311</v>
      </c>
      <c r="AZ257" s="276" t="s">
        <v>1810</v>
      </c>
      <c r="BA257" s="276" t="s">
        <v>1835</v>
      </c>
      <c r="BB257" s="276" t="s">
        <v>1229</v>
      </c>
      <c r="BC257" s="276" t="s">
        <v>11</v>
      </c>
      <c r="BD257" s="276" t="s">
        <v>1777</v>
      </c>
      <c r="BE257" s="276" t="s">
        <v>9</v>
      </c>
      <c r="BF257" s="276" t="s">
        <v>9</v>
      </c>
      <c r="BG257" s="276" t="s">
        <v>1835</v>
      </c>
      <c r="BH257" s="276"/>
      <c r="BI257" s="276" t="s">
        <v>1794</v>
      </c>
      <c r="BJ257" s="276" t="s">
        <v>1781</v>
      </c>
      <c r="BK257" s="276" t="s">
        <v>1782</v>
      </c>
      <c r="BL257" s="276" t="s">
        <v>1783</v>
      </c>
      <c r="BM257" s="144">
        <v>42339</v>
      </c>
      <c r="BN257" s="160">
        <v>0.84119999999999995</v>
      </c>
      <c r="BO257" s="161">
        <v>1</v>
      </c>
      <c r="BP257" s="77"/>
      <c r="BQ257" s="187">
        <f t="shared" si="112"/>
        <v>0.15880000000000005</v>
      </c>
      <c r="BR257" s="275"/>
      <c r="BS257" s="188">
        <f t="shared" si="113"/>
        <v>0.87295999999999996</v>
      </c>
      <c r="BT257" s="140">
        <v>0.85057000000000005</v>
      </c>
      <c r="BU257" s="188">
        <f t="shared" si="114"/>
        <v>9.3700000000001005E-3</v>
      </c>
      <c r="BV257" s="188">
        <f t="shared" si="115"/>
        <v>5.900503778337593E-2</v>
      </c>
      <c r="BW257" s="188">
        <f t="shared" si="116"/>
        <v>0.90471999999999997</v>
      </c>
      <c r="BX257" s="140">
        <v>0.89883000000000002</v>
      </c>
      <c r="BY257" s="188">
        <f t="shared" si="117"/>
        <v>5.763000000000007E-2</v>
      </c>
      <c r="BZ257" s="89">
        <f t="shared" si="118"/>
        <v>0.36290931989924463</v>
      </c>
      <c r="CA257" s="188">
        <f t="shared" si="119"/>
        <v>0.93647999999999998</v>
      </c>
      <c r="CB257" s="188"/>
      <c r="CC257" s="188">
        <f t="shared" si="120"/>
        <v>-0.84119999999999995</v>
      </c>
      <c r="CD257" s="188">
        <f t="shared" si="121"/>
        <v>-5.297229219143575</v>
      </c>
      <c r="CE257" s="188">
        <f t="shared" si="122"/>
        <v>0.96823999999999999</v>
      </c>
      <c r="CF257" s="188"/>
      <c r="CG257" s="188">
        <f t="shared" si="123"/>
        <v>-0.84119999999999995</v>
      </c>
      <c r="CH257" s="188">
        <f t="shared" si="124"/>
        <v>-5.297229219143575</v>
      </c>
      <c r="CI257" s="188">
        <f t="shared" si="125"/>
        <v>1</v>
      </c>
      <c r="CJ257" s="188"/>
      <c r="CK257" s="188">
        <f t="shared" si="126"/>
        <v>-0.84119999999999995</v>
      </c>
      <c r="CL257" s="89">
        <f t="shared" si="127"/>
        <v>-5.297229219143575</v>
      </c>
      <c r="CM257" s="187" t="s">
        <v>11</v>
      </c>
      <c r="CN257" s="140"/>
      <c r="CO257" s="188"/>
      <c r="CP257" s="188"/>
      <c r="CQ257" s="188"/>
      <c r="CS257" s="24">
        <v>257</v>
      </c>
    </row>
    <row r="258" spans="1:97" s="244" customFormat="1" ht="142.5" x14ac:dyDescent="0.25">
      <c r="A258" s="276">
        <v>16</v>
      </c>
      <c r="B258" s="269" t="s">
        <v>4575</v>
      </c>
      <c r="C258" s="153" t="s">
        <v>1270</v>
      </c>
      <c r="D258" s="83" t="s">
        <v>527</v>
      </c>
      <c r="E258" s="83" t="s">
        <v>536</v>
      </c>
      <c r="F258" s="83" t="s">
        <v>533</v>
      </c>
      <c r="G258" s="154">
        <v>8</v>
      </c>
      <c r="H258" s="276" t="s">
        <v>550</v>
      </c>
      <c r="I258" s="276">
        <v>203</v>
      </c>
      <c r="J258" s="276" t="s">
        <v>551</v>
      </c>
      <c r="K258" s="83" t="s">
        <v>1011</v>
      </c>
      <c r="L258" s="83" t="s">
        <v>552</v>
      </c>
      <c r="M258" s="276" t="s">
        <v>529</v>
      </c>
      <c r="N258" s="189" t="s">
        <v>535</v>
      </c>
      <c r="O258" s="189" t="s">
        <v>62</v>
      </c>
      <c r="P258" s="276" t="s">
        <v>189</v>
      </c>
      <c r="Q258" s="276" t="s">
        <v>535</v>
      </c>
      <c r="R258" s="276">
        <v>1</v>
      </c>
      <c r="S258" s="276"/>
      <c r="T258" s="276" t="s">
        <v>65</v>
      </c>
      <c r="U258" s="276"/>
      <c r="V258" s="276"/>
      <c r="W258" s="78" t="s">
        <v>538</v>
      </c>
      <c r="X258" s="173" t="e">
        <f>100/COUNTIFS(($B$4:$B$11),C258,($D$4:$D$11),E258)</f>
        <v>#DIV/0!</v>
      </c>
      <c r="Y258" s="276">
        <f>COUNTIF(T258,"RS")</f>
        <v>1</v>
      </c>
      <c r="Z258" s="83">
        <v>0</v>
      </c>
      <c r="AA258" s="276" t="s">
        <v>1220</v>
      </c>
      <c r="AB258" s="276"/>
      <c r="AC258" s="275"/>
      <c r="AD258" s="83"/>
      <c r="AE258" s="83"/>
      <c r="AF258" s="78"/>
      <c r="AG258" s="83" t="s">
        <v>1236</v>
      </c>
      <c r="AH258" s="77"/>
      <c r="AI258" s="275">
        <v>2</v>
      </c>
      <c r="AJ258" s="83" t="str">
        <f t="shared" si="129"/>
        <v>07022032</v>
      </c>
      <c r="AK258" s="276" t="s">
        <v>1836</v>
      </c>
      <c r="AL258" s="189" t="s">
        <v>78</v>
      </c>
      <c r="AM258" s="189"/>
      <c r="AN258" s="275" t="s">
        <v>9</v>
      </c>
      <c r="AO258" s="83" t="s">
        <v>10</v>
      </c>
      <c r="AP258" s="276" t="s">
        <v>1837</v>
      </c>
      <c r="AQ258" s="276" t="s">
        <v>1838</v>
      </c>
      <c r="AR258" s="276" t="s">
        <v>1839</v>
      </c>
      <c r="AS258" s="114" t="s">
        <v>1789</v>
      </c>
      <c r="AT258" s="276" t="s">
        <v>1840</v>
      </c>
      <c r="AU258" s="276" t="s">
        <v>1810</v>
      </c>
      <c r="AV258" s="276" t="s">
        <v>1529</v>
      </c>
      <c r="AW258" s="276" t="s">
        <v>1841</v>
      </c>
      <c r="AX258" s="275">
        <v>1</v>
      </c>
      <c r="AY258" s="276" t="str">
        <f t="shared" si="111"/>
        <v>070220321</v>
      </c>
      <c r="AZ258" s="276" t="s">
        <v>1810</v>
      </c>
      <c r="BA258" s="276" t="s">
        <v>1842</v>
      </c>
      <c r="BB258" s="276" t="s">
        <v>1229</v>
      </c>
      <c r="BC258" s="276" t="s">
        <v>11</v>
      </c>
      <c r="BD258" s="276" t="s">
        <v>1777</v>
      </c>
      <c r="BE258" s="276" t="s">
        <v>9</v>
      </c>
      <c r="BF258" s="276" t="s">
        <v>9</v>
      </c>
      <c r="BG258" s="276" t="s">
        <v>1842</v>
      </c>
      <c r="BH258" s="276"/>
      <c r="BI258" s="276" t="s">
        <v>1794</v>
      </c>
      <c r="BJ258" s="276" t="s">
        <v>1781</v>
      </c>
      <c r="BK258" s="276" t="s">
        <v>1782</v>
      </c>
      <c r="BL258" s="276" t="s">
        <v>1783</v>
      </c>
      <c r="BM258" s="144">
        <v>42339</v>
      </c>
      <c r="BN258" s="160">
        <v>0.77100000000000002</v>
      </c>
      <c r="BO258" s="161">
        <v>1</v>
      </c>
      <c r="BP258" s="77"/>
      <c r="BQ258" s="187">
        <f t="shared" si="112"/>
        <v>0.22899999999999998</v>
      </c>
      <c r="BR258" s="275">
        <v>5</v>
      </c>
      <c r="BS258" s="188">
        <f t="shared" si="113"/>
        <v>0.81679999999999997</v>
      </c>
      <c r="BT258" s="140">
        <v>0.84050000000000002</v>
      </c>
      <c r="BU258" s="188">
        <f t="shared" si="114"/>
        <v>6.9500000000000006E-2</v>
      </c>
      <c r="BV258" s="188">
        <f t="shared" si="115"/>
        <v>0.30349344978165943</v>
      </c>
      <c r="BW258" s="188">
        <f t="shared" si="116"/>
        <v>0.86260000000000003</v>
      </c>
      <c r="BX258" s="140">
        <v>0.89701028559761098</v>
      </c>
      <c r="BY258" s="188">
        <f t="shared" si="117"/>
        <v>0.12601028559761096</v>
      </c>
      <c r="BZ258" s="89">
        <f t="shared" si="118"/>
        <v>0.5502632558847641</v>
      </c>
      <c r="CA258" s="188">
        <f t="shared" si="119"/>
        <v>0.90839999999999999</v>
      </c>
      <c r="CB258" s="188"/>
      <c r="CC258" s="188">
        <f t="shared" si="120"/>
        <v>-0.77100000000000002</v>
      </c>
      <c r="CD258" s="188">
        <f t="shared" si="121"/>
        <v>-3.3668122270742362</v>
      </c>
      <c r="CE258" s="188">
        <f t="shared" si="122"/>
        <v>0.95419999999999994</v>
      </c>
      <c r="CF258" s="188"/>
      <c r="CG258" s="188">
        <f t="shared" si="123"/>
        <v>-0.77100000000000002</v>
      </c>
      <c r="CH258" s="188">
        <f t="shared" si="124"/>
        <v>-3.3668122270742362</v>
      </c>
      <c r="CI258" s="188">
        <f t="shared" si="125"/>
        <v>1</v>
      </c>
      <c r="CJ258" s="188"/>
      <c r="CK258" s="188">
        <f t="shared" si="126"/>
        <v>-0.77100000000000002</v>
      </c>
      <c r="CL258" s="89">
        <f t="shared" si="127"/>
        <v>-3.3668122270742362</v>
      </c>
      <c r="CM258" s="187" t="s">
        <v>11</v>
      </c>
      <c r="CN258" s="140"/>
      <c r="CO258" s="188"/>
      <c r="CP258" s="188"/>
      <c r="CQ258" s="188"/>
      <c r="CS258" s="2">
        <v>258</v>
      </c>
    </row>
    <row r="259" spans="1:97" s="244" customFormat="1" ht="270.75" x14ac:dyDescent="0.25">
      <c r="A259" s="276">
        <v>23</v>
      </c>
      <c r="B259" s="269" t="s">
        <v>1642</v>
      </c>
      <c r="C259" s="269" t="s">
        <v>1271</v>
      </c>
      <c r="D259" s="189" t="s">
        <v>583</v>
      </c>
      <c r="E259" s="276" t="s">
        <v>590</v>
      </c>
      <c r="F259" s="189" t="s">
        <v>584</v>
      </c>
      <c r="G259" s="172">
        <v>1</v>
      </c>
      <c r="H259" s="276" t="s">
        <v>585</v>
      </c>
      <c r="I259" s="276">
        <v>221</v>
      </c>
      <c r="J259" s="276" t="s">
        <v>586</v>
      </c>
      <c r="K259" s="276" t="s">
        <v>1029</v>
      </c>
      <c r="L259" s="189" t="s">
        <v>587</v>
      </c>
      <c r="M259" s="276" t="s">
        <v>588</v>
      </c>
      <c r="N259" s="189" t="s">
        <v>589</v>
      </c>
      <c r="O259" s="189" t="s">
        <v>62</v>
      </c>
      <c r="P259" s="276" t="s">
        <v>63</v>
      </c>
      <c r="Q259" s="276" t="s">
        <v>589</v>
      </c>
      <c r="R259" s="276">
        <v>1</v>
      </c>
      <c r="S259" s="276"/>
      <c r="T259" s="276" t="s">
        <v>65</v>
      </c>
      <c r="U259" s="276"/>
      <c r="V259" s="276"/>
      <c r="W259" s="79" t="s">
        <v>277</v>
      </c>
      <c r="X259" s="173">
        <v>16.666666666666668</v>
      </c>
      <c r="Y259" s="276">
        <v>1</v>
      </c>
      <c r="Z259" s="276">
        <v>0</v>
      </c>
      <c r="AA259" s="276" t="s">
        <v>1221</v>
      </c>
      <c r="AB259" s="276"/>
      <c r="AC259" s="275">
        <v>2</v>
      </c>
      <c r="AD259" s="189" t="s">
        <v>1307</v>
      </c>
      <c r="AE259" s="189" t="s">
        <v>3092</v>
      </c>
      <c r="AF259" s="189" t="s">
        <v>3093</v>
      </c>
      <c r="AG259" s="276" t="s">
        <v>1235</v>
      </c>
      <c r="AH259" s="77"/>
      <c r="AI259" s="275">
        <v>1</v>
      </c>
      <c r="AJ259" s="83" t="s">
        <v>3094</v>
      </c>
      <c r="AK259" s="83" t="s">
        <v>3551</v>
      </c>
      <c r="AL259" s="189" t="s">
        <v>1259</v>
      </c>
      <c r="AM259" s="189"/>
      <c r="AN259" s="163" t="s">
        <v>3095</v>
      </c>
      <c r="AO259" s="194" t="s">
        <v>10</v>
      </c>
      <c r="AP259" s="164" t="s">
        <v>3096</v>
      </c>
      <c r="AQ259" s="164" t="s">
        <v>3097</v>
      </c>
      <c r="AR259" s="164" t="s">
        <v>3098</v>
      </c>
      <c r="AS259" s="164" t="s">
        <v>3099</v>
      </c>
      <c r="AT259" s="164" t="s">
        <v>3100</v>
      </c>
      <c r="AU259" s="164" t="s">
        <v>3101</v>
      </c>
      <c r="AV259" s="164" t="s">
        <v>3102</v>
      </c>
      <c r="AW259" s="164" t="s">
        <v>3103</v>
      </c>
      <c r="AX259" s="275">
        <v>1</v>
      </c>
      <c r="AY259" s="276" t="s">
        <v>3104</v>
      </c>
      <c r="AZ259" s="135" t="s">
        <v>3105</v>
      </c>
      <c r="BA259" s="163" t="s">
        <v>3106</v>
      </c>
      <c r="BB259" s="163" t="s">
        <v>3107</v>
      </c>
      <c r="BC259" s="194" t="s">
        <v>3108</v>
      </c>
      <c r="BD259" s="194" t="s">
        <v>3109</v>
      </c>
      <c r="BE259" s="163" t="s">
        <v>3110</v>
      </c>
      <c r="BF259" s="194" t="s">
        <v>3111</v>
      </c>
      <c r="BG259" s="163" t="s">
        <v>3112</v>
      </c>
      <c r="BH259" s="83" t="s">
        <v>3113</v>
      </c>
      <c r="BI259" s="163" t="s">
        <v>3114</v>
      </c>
      <c r="BJ259" s="163" t="s">
        <v>3115</v>
      </c>
      <c r="BK259" s="163" t="s">
        <v>3116</v>
      </c>
      <c r="BL259" s="163" t="s">
        <v>3117</v>
      </c>
      <c r="BM259" s="276">
        <v>2015</v>
      </c>
      <c r="BN259" s="187">
        <v>0.18099999999999999</v>
      </c>
      <c r="BO259" s="186">
        <v>0.129</v>
      </c>
      <c r="BP259" s="275">
        <v>6.4</v>
      </c>
      <c r="BQ259" s="187">
        <f>+BN259-BO259</f>
        <v>5.1999999999999991E-2</v>
      </c>
      <c r="BR259" s="275">
        <v>5</v>
      </c>
      <c r="BS259" s="188">
        <v>0.16</v>
      </c>
      <c r="BT259" s="188">
        <v>0.16</v>
      </c>
      <c r="BU259" s="188">
        <f t="shared" si="114"/>
        <v>-2.0999999999999991E-2</v>
      </c>
      <c r="BV259" s="188">
        <f>+BU259/BQ259*(-1)</f>
        <v>0.40384615384615374</v>
      </c>
      <c r="BW259" s="188"/>
      <c r="BX259" s="188"/>
      <c r="BY259" s="188"/>
      <c r="BZ259" s="89"/>
      <c r="CA259" s="188"/>
      <c r="CB259" s="188"/>
      <c r="CC259" s="188"/>
      <c r="CD259" s="188"/>
      <c r="CE259" s="188"/>
      <c r="CF259" s="188"/>
      <c r="CG259" s="188"/>
      <c r="CH259" s="188"/>
      <c r="CI259" s="188">
        <f>+BO259</f>
        <v>0.129</v>
      </c>
      <c r="CJ259" s="188"/>
      <c r="CK259" s="188">
        <f t="shared" si="126"/>
        <v>-0.18099999999999999</v>
      </c>
      <c r="CL259" s="89">
        <f t="shared" si="127"/>
        <v>-3.4807692307692313</v>
      </c>
      <c r="CM259" s="89" t="s">
        <v>3108</v>
      </c>
      <c r="CN259" s="89" t="s">
        <v>3118</v>
      </c>
      <c r="CO259" s="188"/>
      <c r="CP259" s="188"/>
      <c r="CQ259" s="188"/>
      <c r="CS259" s="24">
        <v>259</v>
      </c>
    </row>
    <row r="260" spans="1:97" s="244" customFormat="1" ht="213.75" x14ac:dyDescent="0.25">
      <c r="A260" s="276">
        <v>23</v>
      </c>
      <c r="B260" s="269" t="s">
        <v>1642</v>
      </c>
      <c r="C260" s="269" t="s">
        <v>1271</v>
      </c>
      <c r="D260" s="189" t="s">
        <v>583</v>
      </c>
      <c r="E260" s="276" t="s">
        <v>590</v>
      </c>
      <c r="F260" s="189" t="s">
        <v>584</v>
      </c>
      <c r="G260" s="172">
        <v>3</v>
      </c>
      <c r="H260" s="276" t="s">
        <v>592</v>
      </c>
      <c r="I260" s="276">
        <v>223</v>
      </c>
      <c r="J260" s="276" t="s">
        <v>593</v>
      </c>
      <c r="K260" s="276" t="s">
        <v>1031</v>
      </c>
      <c r="L260" s="189" t="s">
        <v>594</v>
      </c>
      <c r="M260" s="276" t="s">
        <v>588</v>
      </c>
      <c r="N260" s="189" t="s">
        <v>589</v>
      </c>
      <c r="O260" s="189" t="s">
        <v>62</v>
      </c>
      <c r="P260" s="276" t="s">
        <v>63</v>
      </c>
      <c r="Q260" s="276" t="s">
        <v>589</v>
      </c>
      <c r="R260" s="276"/>
      <c r="S260" s="276"/>
      <c r="T260" s="276" t="s">
        <v>65</v>
      </c>
      <c r="U260" s="276"/>
      <c r="V260" s="276"/>
      <c r="W260" s="79" t="s">
        <v>277</v>
      </c>
      <c r="X260" s="173">
        <v>16.666666666666668</v>
      </c>
      <c r="Y260" s="276">
        <v>1</v>
      </c>
      <c r="Z260" s="276">
        <v>0</v>
      </c>
      <c r="AA260" s="276" t="s">
        <v>1221</v>
      </c>
      <c r="AB260" s="276">
        <v>1</v>
      </c>
      <c r="AC260" s="275">
        <v>2</v>
      </c>
      <c r="AD260" s="189" t="s">
        <v>1307</v>
      </c>
      <c r="AE260" s="164" t="s">
        <v>3119</v>
      </c>
      <c r="AF260" s="189" t="s">
        <v>1330</v>
      </c>
      <c r="AG260" s="276" t="s">
        <v>1235</v>
      </c>
      <c r="AH260" s="77"/>
      <c r="AI260" s="275">
        <v>1</v>
      </c>
      <c r="AJ260" s="83" t="s">
        <v>3120</v>
      </c>
      <c r="AK260" s="83" t="s">
        <v>3552</v>
      </c>
      <c r="AL260" s="189" t="s">
        <v>1259</v>
      </c>
      <c r="AM260" s="189"/>
      <c r="AN260" s="163" t="s">
        <v>3095</v>
      </c>
      <c r="AO260" s="194" t="s">
        <v>10</v>
      </c>
      <c r="AP260" s="164" t="s">
        <v>3121</v>
      </c>
      <c r="AQ260" s="164" t="s">
        <v>3122</v>
      </c>
      <c r="AR260" s="164" t="s">
        <v>3123</v>
      </c>
      <c r="AS260" s="164" t="s">
        <v>3099</v>
      </c>
      <c r="AT260" s="164" t="s">
        <v>3100</v>
      </c>
      <c r="AU260" s="164" t="s">
        <v>3101</v>
      </c>
      <c r="AV260" s="164" t="s">
        <v>3102</v>
      </c>
      <c r="AW260" s="164" t="s">
        <v>3103</v>
      </c>
      <c r="AX260" s="275">
        <v>1</v>
      </c>
      <c r="AY260" s="276" t="s">
        <v>3124</v>
      </c>
      <c r="AZ260" s="135" t="s">
        <v>3105</v>
      </c>
      <c r="BA260" s="163" t="s">
        <v>3106</v>
      </c>
      <c r="BB260" s="163" t="s">
        <v>3125</v>
      </c>
      <c r="BC260" s="194" t="s">
        <v>3108</v>
      </c>
      <c r="BD260" s="194" t="s">
        <v>3109</v>
      </c>
      <c r="BE260" s="163" t="s">
        <v>3110</v>
      </c>
      <c r="BF260" s="194" t="s">
        <v>3111</v>
      </c>
      <c r="BG260" s="163" t="s">
        <v>3112</v>
      </c>
      <c r="BH260" s="83" t="s">
        <v>3113</v>
      </c>
      <c r="BI260" s="163" t="s">
        <v>3114</v>
      </c>
      <c r="BJ260" s="163" t="s">
        <v>3115</v>
      </c>
      <c r="BK260" s="163" t="s">
        <v>3116</v>
      </c>
      <c r="BL260" s="163" t="s">
        <v>3117</v>
      </c>
      <c r="BM260" s="276">
        <v>2015</v>
      </c>
      <c r="BN260" s="89">
        <v>0.54500000000000004</v>
      </c>
      <c r="BO260" s="186">
        <v>0.50900000000000001</v>
      </c>
      <c r="BP260" s="275">
        <v>44.2</v>
      </c>
      <c r="BQ260" s="187">
        <f>+BN260-BO260</f>
        <v>3.6000000000000032E-2</v>
      </c>
      <c r="BR260" s="275">
        <v>5</v>
      </c>
      <c r="BS260" s="188">
        <v>0.53700000000000003</v>
      </c>
      <c r="BT260" s="188">
        <v>0.53700000000000003</v>
      </c>
      <c r="BU260" s="188">
        <f t="shared" si="114"/>
        <v>-8.0000000000000071E-3</v>
      </c>
      <c r="BV260" s="188">
        <f>+BU260/BQ260*(-1)</f>
        <v>0.22222222222222221</v>
      </c>
      <c r="BW260" s="188"/>
      <c r="BX260" s="188"/>
      <c r="BY260" s="188"/>
      <c r="BZ260" s="89"/>
      <c r="CA260" s="188"/>
      <c r="CB260" s="188"/>
      <c r="CC260" s="188"/>
      <c r="CD260" s="188"/>
      <c r="CE260" s="188"/>
      <c r="CF260" s="188"/>
      <c r="CG260" s="188"/>
      <c r="CH260" s="188"/>
      <c r="CI260" s="188">
        <f>+BO260</f>
        <v>0.50900000000000001</v>
      </c>
      <c r="CJ260" s="188"/>
      <c r="CK260" s="188">
        <f t="shared" si="126"/>
        <v>-0.54500000000000004</v>
      </c>
      <c r="CL260" s="89">
        <v>15.138888888888877</v>
      </c>
      <c r="CM260" s="89"/>
      <c r="CN260" s="188"/>
      <c r="CO260" s="188"/>
      <c r="CP260" s="188"/>
      <c r="CQ260" s="188"/>
      <c r="CS260" s="24">
        <v>260</v>
      </c>
    </row>
    <row r="261" spans="1:97" s="244" customFormat="1" ht="313.5" x14ac:dyDescent="0.25">
      <c r="A261" s="276">
        <v>23</v>
      </c>
      <c r="B261" s="269" t="s">
        <v>1642</v>
      </c>
      <c r="C261" s="269" t="s">
        <v>1271</v>
      </c>
      <c r="D261" s="189" t="s">
        <v>583</v>
      </c>
      <c r="E261" s="276" t="s">
        <v>590</v>
      </c>
      <c r="F261" s="189" t="s">
        <v>584</v>
      </c>
      <c r="G261" s="172">
        <v>4</v>
      </c>
      <c r="H261" s="276" t="s">
        <v>595</v>
      </c>
      <c r="I261" s="276">
        <v>224</v>
      </c>
      <c r="J261" s="276" t="s">
        <v>596</v>
      </c>
      <c r="K261" s="276" t="s">
        <v>1032</v>
      </c>
      <c r="L261" s="189" t="s">
        <v>597</v>
      </c>
      <c r="M261" s="276" t="s">
        <v>588</v>
      </c>
      <c r="N261" s="189" t="s">
        <v>589</v>
      </c>
      <c r="O261" s="189" t="s">
        <v>62</v>
      </c>
      <c r="P261" s="276" t="s">
        <v>63</v>
      </c>
      <c r="Q261" s="276" t="s">
        <v>589</v>
      </c>
      <c r="R261" s="276">
        <v>1</v>
      </c>
      <c r="S261" s="276"/>
      <c r="T261" s="276" t="s">
        <v>65</v>
      </c>
      <c r="U261" s="276"/>
      <c r="V261" s="276"/>
      <c r="W261" s="79" t="s">
        <v>277</v>
      </c>
      <c r="X261" s="173">
        <v>16.666666666666668</v>
      </c>
      <c r="Y261" s="276">
        <v>1</v>
      </c>
      <c r="Z261" s="276">
        <v>0</v>
      </c>
      <c r="AA261" s="276" t="s">
        <v>1221</v>
      </c>
      <c r="AB261" s="276">
        <v>1</v>
      </c>
      <c r="AC261" s="275">
        <v>2</v>
      </c>
      <c r="AD261" s="189" t="s">
        <v>1307</v>
      </c>
      <c r="AE261" s="189" t="s">
        <v>3126</v>
      </c>
      <c r="AF261" s="79" t="s">
        <v>1327</v>
      </c>
      <c r="AG261" s="276" t="s">
        <v>1235</v>
      </c>
      <c r="AH261" s="77"/>
      <c r="AI261" s="275">
        <v>1</v>
      </c>
      <c r="AJ261" s="83" t="s">
        <v>3127</v>
      </c>
      <c r="AK261" s="83" t="s">
        <v>3553</v>
      </c>
      <c r="AL261" s="189" t="s">
        <v>1259</v>
      </c>
      <c r="AM261" s="189"/>
      <c r="AN261" s="163" t="s">
        <v>3095</v>
      </c>
      <c r="AO261" s="194" t="s">
        <v>10</v>
      </c>
      <c r="AP261" s="164" t="s">
        <v>3128</v>
      </c>
      <c r="AQ261" s="164" t="s">
        <v>3129</v>
      </c>
      <c r="AR261" s="164" t="s">
        <v>3130</v>
      </c>
      <c r="AS261" s="164" t="s">
        <v>3099</v>
      </c>
      <c r="AT261" s="164" t="s">
        <v>3100</v>
      </c>
      <c r="AU261" s="164" t="s">
        <v>3101</v>
      </c>
      <c r="AV261" s="164" t="s">
        <v>3102</v>
      </c>
      <c r="AW261" s="164" t="s">
        <v>3103</v>
      </c>
      <c r="AX261" s="275">
        <v>1</v>
      </c>
      <c r="AY261" s="276" t="s">
        <v>3131</v>
      </c>
      <c r="AZ261" s="135" t="s">
        <v>3105</v>
      </c>
      <c r="BA261" s="163" t="s">
        <v>3106</v>
      </c>
      <c r="BB261" s="163" t="s">
        <v>3125</v>
      </c>
      <c r="BC261" s="194" t="s">
        <v>3108</v>
      </c>
      <c r="BD261" s="194" t="s">
        <v>3109</v>
      </c>
      <c r="BE261" s="163" t="s">
        <v>3110</v>
      </c>
      <c r="BF261" s="194" t="s">
        <v>3111</v>
      </c>
      <c r="BG261" s="163" t="s">
        <v>3112</v>
      </c>
      <c r="BH261" s="83" t="s">
        <v>3113</v>
      </c>
      <c r="BI261" s="163" t="s">
        <v>3114</v>
      </c>
      <c r="BJ261" s="163" t="s">
        <v>3115</v>
      </c>
      <c r="BK261" s="163" t="s">
        <v>3116</v>
      </c>
      <c r="BL261" s="163" t="s">
        <v>3117</v>
      </c>
      <c r="BM261" s="276">
        <v>2015</v>
      </c>
      <c r="BN261" s="89">
        <v>9.9000000000000005E-2</v>
      </c>
      <c r="BO261" s="115">
        <v>3.5000000000000003E-2</v>
      </c>
      <c r="BP261" s="275">
        <v>1.8</v>
      </c>
      <c r="BQ261" s="187">
        <f>+BN261-BO261</f>
        <v>6.4000000000000001E-2</v>
      </c>
      <c r="BR261" s="275">
        <v>5</v>
      </c>
      <c r="BS261" s="188">
        <v>0.10100000000000001</v>
      </c>
      <c r="BT261" s="188">
        <v>0.10100000000000001</v>
      </c>
      <c r="BU261" s="188">
        <f t="shared" si="114"/>
        <v>2.0000000000000018E-3</v>
      </c>
      <c r="BV261" s="188">
        <f>+BU261/BQ261</f>
        <v>3.1250000000000028E-2</v>
      </c>
      <c r="BW261" s="188"/>
      <c r="BX261" s="188"/>
      <c r="BY261" s="188"/>
      <c r="BZ261" s="89"/>
      <c r="CA261" s="188"/>
      <c r="CB261" s="188"/>
      <c r="CC261" s="188"/>
      <c r="CD261" s="188"/>
      <c r="CE261" s="188"/>
      <c r="CF261" s="188"/>
      <c r="CG261" s="188"/>
      <c r="CH261" s="188"/>
      <c r="CI261" s="188">
        <f>+BO261</f>
        <v>3.5000000000000003E-2</v>
      </c>
      <c r="CJ261" s="188"/>
      <c r="CK261" s="188">
        <f t="shared" si="126"/>
        <v>-9.9000000000000005E-2</v>
      </c>
      <c r="CL261" s="89">
        <v>1.546875</v>
      </c>
      <c r="CM261" s="89"/>
      <c r="CN261" s="188"/>
      <c r="CO261" s="188"/>
      <c r="CP261" s="188"/>
      <c r="CQ261" s="188"/>
      <c r="CS261" s="2">
        <v>261</v>
      </c>
    </row>
    <row r="262" spans="1:97" s="244" customFormat="1" ht="342" customHeight="1" x14ac:dyDescent="0.25">
      <c r="A262" s="276">
        <v>23</v>
      </c>
      <c r="B262" s="269" t="s">
        <v>1642</v>
      </c>
      <c r="C262" s="269" t="s">
        <v>1271</v>
      </c>
      <c r="D262" s="189" t="s">
        <v>583</v>
      </c>
      <c r="E262" s="276" t="s">
        <v>590</v>
      </c>
      <c r="F262" s="189" t="s">
        <v>584</v>
      </c>
      <c r="G262" s="172">
        <v>5</v>
      </c>
      <c r="H262" s="276" t="s">
        <v>598</v>
      </c>
      <c r="I262" s="276">
        <v>225</v>
      </c>
      <c r="J262" s="276" t="s">
        <v>599</v>
      </c>
      <c r="K262" s="276" t="s">
        <v>1033</v>
      </c>
      <c r="L262" s="189" t="s">
        <v>600</v>
      </c>
      <c r="M262" s="276" t="s">
        <v>588</v>
      </c>
      <c r="N262" s="189" t="s">
        <v>589</v>
      </c>
      <c r="O262" s="189" t="s">
        <v>62</v>
      </c>
      <c r="P262" s="276" t="s">
        <v>63</v>
      </c>
      <c r="Q262" s="276" t="s">
        <v>589</v>
      </c>
      <c r="R262" s="276"/>
      <c r="S262" s="276"/>
      <c r="T262" s="276" t="s">
        <v>65</v>
      </c>
      <c r="U262" s="276"/>
      <c r="V262" s="276"/>
      <c r="W262" s="79" t="s">
        <v>277</v>
      </c>
      <c r="X262" s="173">
        <v>16.666666666666668</v>
      </c>
      <c r="Y262" s="276">
        <v>1</v>
      </c>
      <c r="Z262" s="276">
        <v>0</v>
      </c>
      <c r="AA262" s="276" t="s">
        <v>1221</v>
      </c>
      <c r="AB262" s="276">
        <v>1</v>
      </c>
      <c r="AC262" s="275"/>
      <c r="AD262" s="189"/>
      <c r="AE262" s="164" t="s">
        <v>3132</v>
      </c>
      <c r="AF262" s="189" t="s">
        <v>1331</v>
      </c>
      <c r="AG262" s="276" t="s">
        <v>1235</v>
      </c>
      <c r="AH262" s="77"/>
      <c r="AI262" s="275">
        <v>1</v>
      </c>
      <c r="AJ262" s="83" t="s">
        <v>3133</v>
      </c>
      <c r="AK262" s="83" t="s">
        <v>3554</v>
      </c>
      <c r="AL262" s="189" t="s">
        <v>1259</v>
      </c>
      <c r="AM262" s="189"/>
      <c r="AN262" s="163" t="s">
        <v>3134</v>
      </c>
      <c r="AO262" s="194" t="s">
        <v>10</v>
      </c>
      <c r="AP262" s="164" t="s">
        <v>3135</v>
      </c>
      <c r="AQ262" s="164" t="s">
        <v>3136</v>
      </c>
      <c r="AR262" s="164" t="s">
        <v>3137</v>
      </c>
      <c r="AS262" s="164" t="s">
        <v>3099</v>
      </c>
      <c r="AT262" s="164" t="s">
        <v>3138</v>
      </c>
      <c r="AU262" s="164" t="s">
        <v>3101</v>
      </c>
      <c r="AV262" s="164" t="s">
        <v>3102</v>
      </c>
      <c r="AW262" s="164" t="s">
        <v>3103</v>
      </c>
      <c r="AX262" s="275">
        <v>1</v>
      </c>
      <c r="AY262" s="276" t="s">
        <v>3139</v>
      </c>
      <c r="AZ262" s="135" t="s">
        <v>3105</v>
      </c>
      <c r="BA262" s="163" t="s">
        <v>3106</v>
      </c>
      <c r="BB262" s="163" t="s">
        <v>3125</v>
      </c>
      <c r="BC262" s="194" t="s">
        <v>3108</v>
      </c>
      <c r="BD262" s="194" t="s">
        <v>3109</v>
      </c>
      <c r="BE262" s="163" t="s">
        <v>3110</v>
      </c>
      <c r="BF262" s="194" t="s">
        <v>3111</v>
      </c>
      <c r="BG262" s="163" t="s">
        <v>3112</v>
      </c>
      <c r="BH262" s="83" t="s">
        <v>3140</v>
      </c>
      <c r="BI262" s="163" t="s">
        <v>3114</v>
      </c>
      <c r="BJ262" s="163" t="s">
        <v>3115</v>
      </c>
      <c r="BK262" s="163" t="s">
        <v>3116</v>
      </c>
      <c r="BL262" s="163" t="s">
        <v>3117</v>
      </c>
      <c r="BM262" s="276">
        <v>2015</v>
      </c>
      <c r="BN262" s="89">
        <v>0.56499999999999995</v>
      </c>
      <c r="BO262" s="186">
        <v>0.35</v>
      </c>
      <c r="BP262" s="275">
        <v>66.900000000000006</v>
      </c>
      <c r="BQ262" s="187">
        <f>+BN262-BO262</f>
        <v>0.21499999999999997</v>
      </c>
      <c r="BR262" s="275">
        <v>5</v>
      </c>
      <c r="BS262" s="188">
        <v>0.57699999999999996</v>
      </c>
      <c r="BT262" s="188">
        <v>0.57699999999999996</v>
      </c>
      <c r="BU262" s="188">
        <f t="shared" si="114"/>
        <v>1.2000000000000011E-2</v>
      </c>
      <c r="BV262" s="188">
        <f>+BU262/BQ262</f>
        <v>5.5813953488372148E-2</v>
      </c>
      <c r="BW262" s="188"/>
      <c r="BX262" s="188"/>
      <c r="BY262" s="188"/>
      <c r="BZ262" s="89"/>
      <c r="CA262" s="188"/>
      <c r="CB262" s="188"/>
      <c r="CC262" s="188"/>
      <c r="CD262" s="188"/>
      <c r="CE262" s="188"/>
      <c r="CF262" s="188"/>
      <c r="CG262" s="188"/>
      <c r="CH262" s="188"/>
      <c r="CI262" s="188">
        <f>+BO262</f>
        <v>0.35</v>
      </c>
      <c r="CJ262" s="188"/>
      <c r="CK262" s="188">
        <f t="shared" si="126"/>
        <v>-0.56499999999999995</v>
      </c>
      <c r="CL262" s="89">
        <v>2.6279069767441863</v>
      </c>
      <c r="CM262" s="89"/>
      <c r="CN262" s="188"/>
      <c r="CO262" s="188"/>
      <c r="CP262" s="188"/>
      <c r="CQ262" s="188"/>
      <c r="CS262" s="24">
        <v>262</v>
      </c>
    </row>
    <row r="263" spans="1:97" s="244" customFormat="1" ht="342" customHeight="1" x14ac:dyDescent="0.25">
      <c r="A263" s="276">
        <v>23</v>
      </c>
      <c r="B263" s="269" t="s">
        <v>1642</v>
      </c>
      <c r="C263" s="269" t="s">
        <v>1271</v>
      </c>
      <c r="D263" s="189" t="s">
        <v>583</v>
      </c>
      <c r="E263" s="276" t="s">
        <v>590</v>
      </c>
      <c r="F263" s="189" t="s">
        <v>584</v>
      </c>
      <c r="G263" s="172">
        <v>6</v>
      </c>
      <c r="H263" s="276" t="s">
        <v>601</v>
      </c>
      <c r="I263" s="276">
        <v>226</v>
      </c>
      <c r="J263" s="276" t="s">
        <v>602</v>
      </c>
      <c r="K263" s="276" t="s">
        <v>1034</v>
      </c>
      <c r="L263" s="189" t="s">
        <v>603</v>
      </c>
      <c r="M263" s="276" t="s">
        <v>588</v>
      </c>
      <c r="N263" s="189" t="s">
        <v>589</v>
      </c>
      <c r="O263" s="189" t="s">
        <v>62</v>
      </c>
      <c r="P263" s="276" t="s">
        <v>63</v>
      </c>
      <c r="Q263" s="276" t="s">
        <v>589</v>
      </c>
      <c r="R263" s="276"/>
      <c r="S263" s="276"/>
      <c r="T263" s="276" t="s">
        <v>65</v>
      </c>
      <c r="U263" s="276"/>
      <c r="V263" s="276"/>
      <c r="W263" s="79" t="s">
        <v>277</v>
      </c>
      <c r="X263" s="173">
        <v>16.666666666666668</v>
      </c>
      <c r="Y263" s="276">
        <v>1</v>
      </c>
      <c r="Z263" s="276">
        <v>0</v>
      </c>
      <c r="AA263" s="276" t="s">
        <v>1221</v>
      </c>
      <c r="AB263" s="276">
        <v>1</v>
      </c>
      <c r="AC263" s="275"/>
      <c r="AD263" s="189"/>
      <c r="AE263" s="164" t="s">
        <v>3141</v>
      </c>
      <c r="AF263" s="189" t="s">
        <v>1329</v>
      </c>
      <c r="AG263" s="276" t="s">
        <v>1235</v>
      </c>
      <c r="AH263" s="77"/>
      <c r="AI263" s="275">
        <v>1</v>
      </c>
      <c r="AJ263" s="83" t="s">
        <v>3142</v>
      </c>
      <c r="AK263" s="83" t="s">
        <v>3549</v>
      </c>
      <c r="AL263" s="189" t="s">
        <v>1259</v>
      </c>
      <c r="AM263" s="189"/>
      <c r="AN263" s="83" t="s">
        <v>3143</v>
      </c>
      <c r="AO263" s="78" t="s">
        <v>10</v>
      </c>
      <c r="AP263" s="189" t="s">
        <v>3144</v>
      </c>
      <c r="AQ263" s="189" t="s">
        <v>3145</v>
      </c>
      <c r="AR263" s="164" t="s">
        <v>3146</v>
      </c>
      <c r="AS263" s="164" t="s">
        <v>3147</v>
      </c>
      <c r="AT263" s="164" t="s">
        <v>3148</v>
      </c>
      <c r="AU263" s="164" t="s">
        <v>3101</v>
      </c>
      <c r="AV263" s="164" t="s">
        <v>3149</v>
      </c>
      <c r="AW263" s="164" t="s">
        <v>3150</v>
      </c>
      <c r="AX263" s="275">
        <v>1</v>
      </c>
      <c r="AY263" s="276" t="s">
        <v>3151</v>
      </c>
      <c r="AZ263" s="135" t="s">
        <v>3105</v>
      </c>
      <c r="BA263" s="163" t="s">
        <v>3106</v>
      </c>
      <c r="BB263" s="163" t="s">
        <v>3125</v>
      </c>
      <c r="BC263" s="194" t="s">
        <v>3108</v>
      </c>
      <c r="BD263" s="194" t="s">
        <v>3109</v>
      </c>
      <c r="BE263" s="163" t="s">
        <v>3110</v>
      </c>
      <c r="BF263" s="194" t="s">
        <v>3111</v>
      </c>
      <c r="BG263" s="83" t="s">
        <v>3112</v>
      </c>
      <c r="BH263" s="83" t="s">
        <v>3140</v>
      </c>
      <c r="BI263" s="163" t="s">
        <v>3114</v>
      </c>
      <c r="BJ263" s="163" t="s">
        <v>3115</v>
      </c>
      <c r="BK263" s="163" t="s">
        <v>3116</v>
      </c>
      <c r="BL263" s="163" t="s">
        <v>3117</v>
      </c>
      <c r="BM263" s="276">
        <v>2015</v>
      </c>
      <c r="BN263" s="188">
        <v>0.61</v>
      </c>
      <c r="BO263" s="186">
        <v>0.64500000000000002</v>
      </c>
      <c r="BP263" s="275">
        <v>71.5</v>
      </c>
      <c r="BQ263" s="187">
        <f>+BN263-BO263</f>
        <v>-3.5000000000000031E-2</v>
      </c>
      <c r="BR263" s="275">
        <v>5</v>
      </c>
      <c r="BS263" s="188">
        <v>0.58299999999999996</v>
      </c>
      <c r="BT263" s="188">
        <v>0.58299999999999996</v>
      </c>
      <c r="BU263" s="188">
        <f t="shared" si="114"/>
        <v>-2.7000000000000024E-2</v>
      </c>
      <c r="BV263" s="188">
        <f>+BU263/BQ263</f>
        <v>0.77142857142857146</v>
      </c>
      <c r="BW263" s="188"/>
      <c r="BX263" s="188"/>
      <c r="BY263" s="188"/>
      <c r="BZ263" s="89"/>
      <c r="CA263" s="188"/>
      <c r="CB263" s="188"/>
      <c r="CC263" s="188"/>
      <c r="CD263" s="188"/>
      <c r="CE263" s="188"/>
      <c r="CF263" s="188"/>
      <c r="CG263" s="188"/>
      <c r="CH263" s="188"/>
      <c r="CI263" s="188">
        <f>+BO263</f>
        <v>0.64500000000000002</v>
      </c>
      <c r="CJ263" s="188"/>
      <c r="CK263" s="188">
        <f t="shared" si="126"/>
        <v>-0.61</v>
      </c>
      <c r="CL263" s="89">
        <v>-17.428571428571413</v>
      </c>
      <c r="CM263" s="89"/>
      <c r="CN263" s="188"/>
      <c r="CO263" s="188"/>
      <c r="CP263" s="188"/>
      <c r="CQ263" s="188"/>
      <c r="CS263" s="24">
        <v>263</v>
      </c>
    </row>
    <row r="264" spans="1:97" s="244" customFormat="1" ht="342" customHeight="1" x14ac:dyDescent="0.25">
      <c r="A264" s="276">
        <v>8</v>
      </c>
      <c r="B264" s="269" t="s">
        <v>4575</v>
      </c>
      <c r="C264" s="269" t="s">
        <v>1271</v>
      </c>
      <c r="D264" s="189" t="s">
        <v>583</v>
      </c>
      <c r="E264" s="276" t="s">
        <v>4505</v>
      </c>
      <c r="F264" s="189" t="s">
        <v>4506</v>
      </c>
      <c r="G264" s="172">
        <v>2</v>
      </c>
      <c r="H264" s="276" t="s">
        <v>4507</v>
      </c>
      <c r="I264" s="276">
        <v>228</v>
      </c>
      <c r="J264" s="276" t="s">
        <v>4508</v>
      </c>
      <c r="K264" s="276" t="s">
        <v>1036</v>
      </c>
      <c r="L264" s="189" t="s">
        <v>605</v>
      </c>
      <c r="M264" s="276" t="s">
        <v>588</v>
      </c>
      <c r="N264" s="189" t="s">
        <v>589</v>
      </c>
      <c r="O264" s="189" t="s">
        <v>62</v>
      </c>
      <c r="P264" s="276" t="s">
        <v>63</v>
      </c>
      <c r="Q264" s="276" t="s">
        <v>589</v>
      </c>
      <c r="R264" s="276"/>
      <c r="S264" s="276"/>
      <c r="T264" s="276" t="s">
        <v>65</v>
      </c>
      <c r="U264" s="276"/>
      <c r="V264" s="276"/>
      <c r="W264" s="78" t="s">
        <v>4342</v>
      </c>
      <c r="X264" s="173" t="e">
        <f>100/COUNTIFS(($B$4:$B$28),C264,($D$4:$D$28),E264)</f>
        <v>#DIV/0!</v>
      </c>
      <c r="Y264" s="276">
        <f>COUNTIF(T264,"RS")</f>
        <v>1</v>
      </c>
      <c r="Z264" s="276">
        <v>0</v>
      </c>
      <c r="AA264" s="276" t="s">
        <v>1220</v>
      </c>
      <c r="AB264" s="276">
        <v>1</v>
      </c>
      <c r="AC264" s="275"/>
      <c r="AD264" s="189"/>
      <c r="AE264" s="189"/>
      <c r="AF264" s="189" t="s">
        <v>4509</v>
      </c>
      <c r="AG264" s="276" t="s">
        <v>1364</v>
      </c>
      <c r="AH264" s="77"/>
      <c r="AI264" s="275">
        <v>1</v>
      </c>
      <c r="AJ264" s="83" t="str">
        <f>CONCATENATE(K264,AI264)</f>
        <v>08022281</v>
      </c>
      <c r="AK264" s="83" t="s">
        <v>4510</v>
      </c>
      <c r="AL264" s="189" t="s">
        <v>137</v>
      </c>
      <c r="AM264" s="189"/>
      <c r="AN264" s="78" t="s">
        <v>9</v>
      </c>
      <c r="AO264" s="78" t="s">
        <v>10</v>
      </c>
      <c r="AP264" s="189" t="s">
        <v>4511</v>
      </c>
      <c r="AQ264" s="76"/>
      <c r="AR264" s="189" t="s">
        <v>4512</v>
      </c>
      <c r="AS264" s="276" t="s">
        <v>4106</v>
      </c>
      <c r="AT264" s="276" t="s">
        <v>4513</v>
      </c>
      <c r="AU264" s="276" t="s">
        <v>4106</v>
      </c>
      <c r="AV264" s="275" t="s">
        <v>2673</v>
      </c>
      <c r="AW264" s="83" t="s">
        <v>4514</v>
      </c>
      <c r="AX264" s="275">
        <v>1</v>
      </c>
      <c r="AY264" s="276" t="str">
        <f>CONCATENATE(AJ264,AX264)</f>
        <v>080222811</v>
      </c>
      <c r="AZ264" s="276" t="s">
        <v>2501</v>
      </c>
      <c r="BA264" s="83" t="s">
        <v>16</v>
      </c>
      <c r="BB264" s="276" t="s">
        <v>1514</v>
      </c>
      <c r="BC264" s="276" t="s">
        <v>11</v>
      </c>
      <c r="BD264" s="276" t="s">
        <v>1515</v>
      </c>
      <c r="BE264" s="276" t="s">
        <v>9</v>
      </c>
      <c r="BF264" s="276" t="s">
        <v>17</v>
      </c>
      <c r="BG264" s="276" t="s">
        <v>4383</v>
      </c>
      <c r="BH264" s="276" t="s">
        <v>4515</v>
      </c>
      <c r="BI264" s="276" t="s">
        <v>3161</v>
      </c>
      <c r="BJ264" s="276" t="s">
        <v>3162</v>
      </c>
      <c r="BK264" s="276" t="s">
        <v>3163</v>
      </c>
      <c r="BL264" s="275" t="s">
        <v>3164</v>
      </c>
      <c r="BM264" s="127">
        <v>42705</v>
      </c>
      <c r="BN264" s="115">
        <v>0.63971836858389397</v>
      </c>
      <c r="BO264" s="257"/>
      <c r="BP264" s="257"/>
      <c r="BQ264" s="87">
        <f>(BO264-BN264)*100</f>
        <v>-63.971836858389395</v>
      </c>
      <c r="BR264" s="275">
        <v>5</v>
      </c>
      <c r="BS264" s="188"/>
      <c r="BT264" s="170">
        <v>0.63971836858389397</v>
      </c>
      <c r="BU264" s="88">
        <f>(BT264-BN264)*100</f>
        <v>0</v>
      </c>
      <c r="BV264" s="188"/>
      <c r="BW264" s="188"/>
      <c r="BX264" s="170">
        <v>0.67034891504095195</v>
      </c>
      <c r="BY264" s="88">
        <f>(BX264-BN264)*100</f>
        <v>3.0630546457057983</v>
      </c>
      <c r="BZ264" s="89"/>
      <c r="CA264" s="188"/>
      <c r="CB264" s="188"/>
      <c r="CC264" s="88">
        <f>(CB264-BN264)*100</f>
        <v>-63.971836858389395</v>
      </c>
      <c r="CD264" s="188"/>
      <c r="CE264" s="188"/>
      <c r="CF264" s="188"/>
      <c r="CG264" s="88">
        <f>(CF264-BN264)*100</f>
        <v>-63.971836858389395</v>
      </c>
      <c r="CH264" s="188"/>
      <c r="CI264" s="188"/>
      <c r="CJ264" s="188"/>
      <c r="CK264" s="88">
        <f>(CJ264-BN264)*100</f>
        <v>-63.971836858389395</v>
      </c>
      <c r="CL264" s="89"/>
      <c r="CM264" s="89"/>
      <c r="CN264" s="188"/>
      <c r="CO264" s="188"/>
      <c r="CP264" s="188"/>
      <c r="CQ264" s="188"/>
      <c r="CS264" s="2">
        <v>264</v>
      </c>
    </row>
    <row r="265" spans="1:97" s="244" customFormat="1" ht="370.5" customHeight="1" x14ac:dyDescent="0.25">
      <c r="A265" s="276">
        <v>22</v>
      </c>
      <c r="B265" s="269" t="s">
        <v>4575</v>
      </c>
      <c r="C265" s="269" t="s">
        <v>1271</v>
      </c>
      <c r="D265" s="189" t="s">
        <v>583</v>
      </c>
      <c r="E265" s="276" t="s">
        <v>610</v>
      </c>
      <c r="F265" s="189" t="s">
        <v>608</v>
      </c>
      <c r="G265" s="172">
        <v>4</v>
      </c>
      <c r="H265" s="276" t="s">
        <v>613</v>
      </c>
      <c r="I265" s="276">
        <v>234</v>
      </c>
      <c r="J265" s="276" t="s">
        <v>614</v>
      </c>
      <c r="K265" s="276" t="s">
        <v>1042</v>
      </c>
      <c r="L265" s="189" t="s">
        <v>615</v>
      </c>
      <c r="M265" s="276" t="s">
        <v>588</v>
      </c>
      <c r="N265" s="189" t="s">
        <v>440</v>
      </c>
      <c r="O265" s="189" t="s">
        <v>62</v>
      </c>
      <c r="P265" s="276" t="s">
        <v>189</v>
      </c>
      <c r="Q265" s="276" t="s">
        <v>440</v>
      </c>
      <c r="R265" s="276"/>
      <c r="S265" s="276"/>
      <c r="T265" s="276" t="s">
        <v>65</v>
      </c>
      <c r="U265" s="276"/>
      <c r="V265" s="276"/>
      <c r="W265" s="276" t="s">
        <v>1325</v>
      </c>
      <c r="X265" s="173" t="e">
        <f>100/COUNTIFS(($B$4:$B$29),C265,($D$4:$D$29),E265)</f>
        <v>#DIV/0!</v>
      </c>
      <c r="Y265" s="276">
        <f>COUNTIF(T265,"RS")</f>
        <v>1</v>
      </c>
      <c r="Z265" s="276">
        <v>0</v>
      </c>
      <c r="AA265" s="276" t="s">
        <v>1220</v>
      </c>
      <c r="AB265" s="276">
        <v>1</v>
      </c>
      <c r="AC265" s="275"/>
      <c r="AD265" s="189" t="s">
        <v>1308</v>
      </c>
      <c r="AE265" s="189" t="s">
        <v>3768</v>
      </c>
      <c r="AF265" s="189" t="s">
        <v>3769</v>
      </c>
      <c r="AG265" s="276" t="s">
        <v>1236</v>
      </c>
      <c r="AH265" s="77"/>
      <c r="AI265" s="275">
        <v>1</v>
      </c>
      <c r="AJ265" s="83" t="str">
        <f>CONCATENATE(K265,AI265)</f>
        <v>08032341</v>
      </c>
      <c r="AK265" s="83" t="s">
        <v>3770</v>
      </c>
      <c r="AL265" s="83" t="s">
        <v>137</v>
      </c>
      <c r="AM265" s="83" t="s">
        <v>1347</v>
      </c>
      <c r="AN265" s="83" t="s">
        <v>3602</v>
      </c>
      <c r="AO265" s="83" t="s">
        <v>3771</v>
      </c>
      <c r="AP265" s="83" t="s">
        <v>3772</v>
      </c>
      <c r="AQ265" s="83" t="s">
        <v>3897</v>
      </c>
      <c r="AR265" s="83" t="s">
        <v>3773</v>
      </c>
      <c r="AS265" s="83" t="s">
        <v>3631</v>
      </c>
      <c r="AT265" s="83"/>
      <c r="AU265" s="83"/>
      <c r="AV265" s="83" t="s">
        <v>2514</v>
      </c>
      <c r="AW265" s="83"/>
      <c r="AX265" s="83">
        <v>1</v>
      </c>
      <c r="AY265" s="83" t="str">
        <f>CONCATENATE(AJ265,AX265)</f>
        <v>080323411</v>
      </c>
      <c r="AZ265" s="83" t="s">
        <v>3620</v>
      </c>
      <c r="BA265" s="83" t="s">
        <v>3631</v>
      </c>
      <c r="BB265" s="83" t="s">
        <v>1229</v>
      </c>
      <c r="BC265" s="83" t="s">
        <v>1359</v>
      </c>
      <c r="BD265" s="276" t="s">
        <v>2514</v>
      </c>
      <c r="BE265" s="83" t="s">
        <v>9</v>
      </c>
      <c r="BF265" s="83" t="s">
        <v>9</v>
      </c>
      <c r="BG265" s="83" t="s">
        <v>3774</v>
      </c>
      <c r="BH265" s="83"/>
      <c r="BI265" s="83" t="s">
        <v>3697</v>
      </c>
      <c r="BJ265" s="83" t="s">
        <v>3775</v>
      </c>
      <c r="BK265" s="83" t="s">
        <v>3776</v>
      </c>
      <c r="BL265" s="83" t="s">
        <v>2620</v>
      </c>
      <c r="BM265" s="127">
        <v>42339</v>
      </c>
      <c r="BN265" s="175">
        <v>11162</v>
      </c>
      <c r="BO265" s="175">
        <v>21433</v>
      </c>
      <c r="BP265" s="275"/>
      <c r="BQ265" s="242">
        <f t="shared" ref="BQ265:BQ271" si="130">+BO265-BN265</f>
        <v>10271</v>
      </c>
      <c r="BR265" s="275">
        <v>5</v>
      </c>
      <c r="BS265" s="242">
        <f t="shared" ref="BS265:BS271" si="131">+BN265-(((BQ265)/5)*(-1))</f>
        <v>13216.2</v>
      </c>
      <c r="BT265" s="243">
        <f>+BN265+1987</f>
        <v>13149</v>
      </c>
      <c r="BU265" s="242">
        <f t="shared" ref="BU265:BU276" si="132">+BT265-BN265</f>
        <v>1987</v>
      </c>
      <c r="BV265" s="188">
        <f t="shared" ref="BV265:BV271" si="133">+BU265/BQ265</f>
        <v>0.19345730698081978</v>
      </c>
      <c r="BW265" s="242">
        <f>+BN265-(((BQ265)/5)*(-2))</f>
        <v>15270.4</v>
      </c>
      <c r="BX265" s="243">
        <f>+BT265+1779</f>
        <v>14928</v>
      </c>
      <c r="BY265" s="242">
        <f t="shared" ref="BY265:BY271" si="134">+BX265-BN265</f>
        <v>3766</v>
      </c>
      <c r="BZ265" s="89">
        <f t="shared" ref="BZ265:BZ271" si="135">+BY265/BQ265</f>
        <v>0.3666634212832246</v>
      </c>
      <c r="CA265" s="242">
        <f t="shared" ref="CA265:CA271" si="136">+BN265-(((BQ265)/5)*(-3))</f>
        <v>17324.599999999999</v>
      </c>
      <c r="CB265" s="242"/>
      <c r="CC265" s="242">
        <f t="shared" ref="CC265:CC271" si="137">+CB265-BN265</f>
        <v>-11162</v>
      </c>
      <c r="CD265" s="188">
        <f t="shared" ref="CD265:CD271" si="138">+CC265/BQ265</f>
        <v>-1.0867490994060949</v>
      </c>
      <c r="CE265" s="242">
        <f>+BN265-(((BQ265)/5)*(-4))</f>
        <v>19378.8</v>
      </c>
      <c r="CF265" s="242"/>
      <c r="CG265" s="242">
        <f>+CF265-BN265</f>
        <v>-11162</v>
      </c>
      <c r="CH265" s="188">
        <f t="shared" ref="CH265:CH271" si="139">+CG265/BQ265</f>
        <v>-1.0867490994060949</v>
      </c>
      <c r="CI265" s="242">
        <f t="shared" ref="CI265:CI271" si="140">+BN265-(((BQ265)/5)*(-5))</f>
        <v>21433</v>
      </c>
      <c r="CJ265" s="242"/>
      <c r="CK265" s="242">
        <f t="shared" ref="CK265:CK271" si="141">+CJ265-BN265</f>
        <v>-11162</v>
      </c>
      <c r="CL265" s="89">
        <f t="shared" ref="CL265:CL271" si="142">+CK265/BQ265</f>
        <v>-1.0867490994060949</v>
      </c>
      <c r="CM265" s="89"/>
      <c r="CN265" s="188"/>
      <c r="CO265" s="188"/>
      <c r="CP265" s="188"/>
      <c r="CQ265" s="188"/>
      <c r="CS265" s="24">
        <v>265</v>
      </c>
    </row>
    <row r="266" spans="1:97" s="244" customFormat="1" ht="327.75" x14ac:dyDescent="0.25">
      <c r="A266" s="276">
        <v>22</v>
      </c>
      <c r="B266" s="269" t="s">
        <v>4575</v>
      </c>
      <c r="C266" s="269" t="s">
        <v>1271</v>
      </c>
      <c r="D266" s="189" t="s">
        <v>583</v>
      </c>
      <c r="E266" s="276" t="s">
        <v>610</v>
      </c>
      <c r="F266" s="189" t="s">
        <v>608</v>
      </c>
      <c r="G266" s="172">
        <v>4</v>
      </c>
      <c r="H266" s="276" t="s">
        <v>613</v>
      </c>
      <c r="I266" s="276">
        <v>234</v>
      </c>
      <c r="J266" s="276" t="s">
        <v>614</v>
      </c>
      <c r="K266" s="276" t="s">
        <v>1042</v>
      </c>
      <c r="L266" s="189" t="s">
        <v>615</v>
      </c>
      <c r="M266" s="276" t="s">
        <v>588</v>
      </c>
      <c r="N266" s="189" t="s">
        <v>440</v>
      </c>
      <c r="O266" s="189" t="s">
        <v>62</v>
      </c>
      <c r="P266" s="276" t="s">
        <v>189</v>
      </c>
      <c r="Q266" s="276" t="s">
        <v>440</v>
      </c>
      <c r="R266" s="276"/>
      <c r="S266" s="276"/>
      <c r="T266" s="276" t="s">
        <v>65</v>
      </c>
      <c r="U266" s="276"/>
      <c r="V266" s="276"/>
      <c r="W266" s="276" t="s">
        <v>1325</v>
      </c>
      <c r="X266" s="173" t="e">
        <f>100/COUNTIFS(($B$4:$B$28),C266,($D$4:$D$28),E266)</f>
        <v>#DIV/0!</v>
      </c>
      <c r="Y266" s="276">
        <f>COUNTIF(T266,"RS")</f>
        <v>1</v>
      </c>
      <c r="Z266" s="276">
        <v>0</v>
      </c>
      <c r="AA266" s="276" t="s">
        <v>1220</v>
      </c>
      <c r="AB266" s="276">
        <v>1</v>
      </c>
      <c r="AC266" s="275"/>
      <c r="AD266" s="189" t="s">
        <v>1308</v>
      </c>
      <c r="AE266" s="189" t="s">
        <v>3768</v>
      </c>
      <c r="AF266" s="189" t="s">
        <v>3769</v>
      </c>
      <c r="AG266" s="276" t="s">
        <v>1236</v>
      </c>
      <c r="AH266" s="77"/>
      <c r="AI266" s="275">
        <v>1</v>
      </c>
      <c r="AJ266" s="83" t="str">
        <f>CONCATENATE(K266,AI266)</f>
        <v>08032341</v>
      </c>
      <c r="AK266" s="83" t="s">
        <v>3777</v>
      </c>
      <c r="AL266" s="83" t="s">
        <v>137</v>
      </c>
      <c r="AM266" s="83" t="s">
        <v>1347</v>
      </c>
      <c r="AN266" s="83" t="s">
        <v>3602</v>
      </c>
      <c r="AO266" s="83" t="s">
        <v>3771</v>
      </c>
      <c r="AP266" s="83" t="s">
        <v>3778</v>
      </c>
      <c r="AQ266" s="83" t="s">
        <v>3897</v>
      </c>
      <c r="AR266" s="83" t="s">
        <v>3773</v>
      </c>
      <c r="AS266" s="83" t="s">
        <v>3631</v>
      </c>
      <c r="AT266" s="83"/>
      <c r="AU266" s="83"/>
      <c r="AV266" s="83" t="s">
        <v>2514</v>
      </c>
      <c r="AW266" s="83"/>
      <c r="AX266" s="83">
        <v>1</v>
      </c>
      <c r="AY266" s="83" t="str">
        <f>CONCATENATE(AJ266,AX266)</f>
        <v>080323411</v>
      </c>
      <c r="AZ266" s="83" t="s">
        <v>3620</v>
      </c>
      <c r="BA266" s="83" t="s">
        <v>3631</v>
      </c>
      <c r="BB266" s="83" t="s">
        <v>1229</v>
      </c>
      <c r="BC266" s="83" t="s">
        <v>1359</v>
      </c>
      <c r="BD266" s="276" t="s">
        <v>2514</v>
      </c>
      <c r="BE266" s="83" t="s">
        <v>9</v>
      </c>
      <c r="BF266" s="83" t="s">
        <v>9</v>
      </c>
      <c r="BG266" s="83" t="s">
        <v>3774</v>
      </c>
      <c r="BH266" s="83"/>
      <c r="BI266" s="83" t="s">
        <v>3697</v>
      </c>
      <c r="BJ266" s="83" t="s">
        <v>3775</v>
      </c>
      <c r="BK266" s="83" t="s">
        <v>3776</v>
      </c>
      <c r="BL266" s="83" t="s">
        <v>2620</v>
      </c>
      <c r="BM266" s="127">
        <v>42339</v>
      </c>
      <c r="BN266" s="275">
        <v>11161</v>
      </c>
      <c r="BO266" s="275">
        <v>21433</v>
      </c>
      <c r="BP266" s="275"/>
      <c r="BQ266" s="235">
        <f t="shared" si="130"/>
        <v>10272</v>
      </c>
      <c r="BR266" s="275">
        <v>5</v>
      </c>
      <c r="BS266" s="235">
        <f t="shared" si="131"/>
        <v>13215.4</v>
      </c>
      <c r="BT266" s="235">
        <v>13149</v>
      </c>
      <c r="BU266" s="235">
        <f t="shared" si="132"/>
        <v>1988</v>
      </c>
      <c r="BV266" s="188">
        <f t="shared" si="133"/>
        <v>0.19353582554517135</v>
      </c>
      <c r="BW266" s="235">
        <f>+BN266-(((BQ266)/5)*(-2))</f>
        <v>15269.8</v>
      </c>
      <c r="BX266" s="235">
        <f>+BT266+1779</f>
        <v>14928</v>
      </c>
      <c r="BY266" s="235">
        <f t="shared" si="134"/>
        <v>3767</v>
      </c>
      <c r="BZ266" s="89">
        <f t="shared" si="135"/>
        <v>0.36672507788161995</v>
      </c>
      <c r="CA266" s="235">
        <f t="shared" si="136"/>
        <v>17324.2</v>
      </c>
      <c r="CB266" s="235"/>
      <c r="CC266" s="235">
        <f t="shared" si="137"/>
        <v>-11161</v>
      </c>
      <c r="CD266" s="188">
        <f t="shared" si="138"/>
        <v>-1.0865459501557633</v>
      </c>
      <c r="CE266" s="235">
        <f>+BN266-(((BQ266)/5)*(-4))</f>
        <v>19378.599999999999</v>
      </c>
      <c r="CF266" s="235"/>
      <c r="CG266" s="235">
        <f>+CF266-BN266</f>
        <v>-11161</v>
      </c>
      <c r="CH266" s="188">
        <f t="shared" si="139"/>
        <v>-1.0865459501557633</v>
      </c>
      <c r="CI266" s="174">
        <f t="shared" si="140"/>
        <v>21433</v>
      </c>
      <c r="CJ266" s="188"/>
      <c r="CK266" s="174">
        <f t="shared" si="141"/>
        <v>-11161</v>
      </c>
      <c r="CL266" s="89">
        <f t="shared" si="142"/>
        <v>-1.0865459501557633</v>
      </c>
      <c r="CM266" s="89"/>
      <c r="CN266" s="188"/>
      <c r="CO266" s="188"/>
      <c r="CP266" s="188"/>
      <c r="CQ266" s="188"/>
      <c r="CS266" s="24">
        <v>266</v>
      </c>
    </row>
    <row r="267" spans="1:97" s="244" customFormat="1" ht="327.75" x14ac:dyDescent="0.25">
      <c r="A267" s="276">
        <v>22</v>
      </c>
      <c r="B267" s="269" t="s">
        <v>4575</v>
      </c>
      <c r="C267" s="269" t="s">
        <v>1271</v>
      </c>
      <c r="D267" s="189" t="s">
        <v>583</v>
      </c>
      <c r="E267" s="276" t="s">
        <v>610</v>
      </c>
      <c r="F267" s="189" t="s">
        <v>608</v>
      </c>
      <c r="G267" s="172">
        <v>5</v>
      </c>
      <c r="H267" s="276" t="s">
        <v>616</v>
      </c>
      <c r="I267" s="276">
        <v>235</v>
      </c>
      <c r="J267" s="276" t="s">
        <v>617</v>
      </c>
      <c r="K267" s="276" t="s">
        <v>1043</v>
      </c>
      <c r="L267" s="189" t="s">
        <v>618</v>
      </c>
      <c r="M267" s="276" t="s">
        <v>588</v>
      </c>
      <c r="N267" s="189" t="s">
        <v>440</v>
      </c>
      <c r="O267" s="189" t="s">
        <v>62</v>
      </c>
      <c r="P267" s="276" t="s">
        <v>189</v>
      </c>
      <c r="Q267" s="276" t="s">
        <v>440</v>
      </c>
      <c r="R267" s="276"/>
      <c r="S267" s="276">
        <v>1</v>
      </c>
      <c r="T267" s="276" t="s">
        <v>65</v>
      </c>
      <c r="U267" s="276"/>
      <c r="V267" s="276"/>
      <c r="W267" s="276" t="s">
        <v>363</v>
      </c>
      <c r="X267" s="173" t="e">
        <f>100/COUNTIFS(($B$36:$B$360),C267,($D$36:$D$360),E267)</f>
        <v>#DIV/0!</v>
      </c>
      <c r="Y267" s="276">
        <f>COUNTIF(T267,"RS")</f>
        <v>1</v>
      </c>
      <c r="Z267" s="276">
        <v>0</v>
      </c>
      <c r="AA267" s="276" t="s">
        <v>1220</v>
      </c>
      <c r="AB267" s="276">
        <v>1</v>
      </c>
      <c r="AC267" s="275"/>
      <c r="AD267" s="189" t="s">
        <v>3898</v>
      </c>
      <c r="AE267" s="189" t="s">
        <v>3899</v>
      </c>
      <c r="AF267" s="189" t="s">
        <v>3779</v>
      </c>
      <c r="AG267" s="276" t="s">
        <v>1236</v>
      </c>
      <c r="AH267" s="77"/>
      <c r="AI267" s="275">
        <v>1</v>
      </c>
      <c r="AJ267" s="83" t="str">
        <f>CONCATENATE(K267,AI267)</f>
        <v>08032351</v>
      </c>
      <c r="AK267" s="83" t="s">
        <v>3780</v>
      </c>
      <c r="AL267" s="83" t="s">
        <v>1350</v>
      </c>
      <c r="AM267" s="83"/>
      <c r="AN267" s="83" t="s">
        <v>3781</v>
      </c>
      <c r="AO267" s="83" t="s">
        <v>3782</v>
      </c>
      <c r="AP267" s="83" t="s">
        <v>3783</v>
      </c>
      <c r="AQ267" s="83"/>
      <c r="AR267" s="83"/>
      <c r="AS267" s="83" t="s">
        <v>3784</v>
      </c>
      <c r="AT267" s="83" t="s">
        <v>1395</v>
      </c>
      <c r="AU267" s="83" t="s">
        <v>1395</v>
      </c>
      <c r="AV267" s="83" t="s">
        <v>3785</v>
      </c>
      <c r="AW267" s="83" t="s">
        <v>3786</v>
      </c>
      <c r="AX267" s="83">
        <v>1</v>
      </c>
      <c r="AY267" s="83" t="str">
        <f>CONCATENATE(AJ267,AX267)</f>
        <v>080323511</v>
      </c>
      <c r="AZ267" s="83" t="s">
        <v>363</v>
      </c>
      <c r="BA267" s="83" t="s">
        <v>3787</v>
      </c>
      <c r="BB267" s="83" t="s">
        <v>1392</v>
      </c>
      <c r="BC267" s="83" t="s">
        <v>1320</v>
      </c>
      <c r="BD267" s="276" t="s">
        <v>1529</v>
      </c>
      <c r="BE267" s="83" t="s">
        <v>9</v>
      </c>
      <c r="BF267" s="83" t="s">
        <v>3788</v>
      </c>
      <c r="BG267" s="83" t="s">
        <v>3789</v>
      </c>
      <c r="BH267" s="83"/>
      <c r="BI267" s="83" t="s">
        <v>3790</v>
      </c>
      <c r="BJ267" s="83" t="s">
        <v>3791</v>
      </c>
      <c r="BK267" s="83" t="s">
        <v>3792</v>
      </c>
      <c r="BL267" s="83" t="s">
        <v>3793</v>
      </c>
      <c r="BM267" s="127">
        <v>2015</v>
      </c>
      <c r="BN267" s="275">
        <v>100000</v>
      </c>
      <c r="BO267" s="275">
        <v>423066</v>
      </c>
      <c r="BP267" s="275"/>
      <c r="BQ267" s="235">
        <f t="shared" si="130"/>
        <v>323066</v>
      </c>
      <c r="BR267" s="275">
        <v>5</v>
      </c>
      <c r="BS267" s="235">
        <f t="shared" si="131"/>
        <v>164613.20000000001</v>
      </c>
      <c r="BT267" s="235">
        <v>100000</v>
      </c>
      <c r="BU267" s="235">
        <f t="shared" si="132"/>
        <v>0</v>
      </c>
      <c r="BV267" s="188">
        <f t="shared" si="133"/>
        <v>0</v>
      </c>
      <c r="BW267" s="235">
        <f>+BN267-(((BQ267)/5)*(-2))</f>
        <v>229226.4</v>
      </c>
      <c r="BX267" s="235">
        <v>172000</v>
      </c>
      <c r="BY267" s="235">
        <f t="shared" si="134"/>
        <v>72000</v>
      </c>
      <c r="BZ267" s="89">
        <f t="shared" si="135"/>
        <v>0.22286467780577343</v>
      </c>
      <c r="CA267" s="235">
        <f t="shared" si="136"/>
        <v>293839.59999999998</v>
      </c>
      <c r="CB267" s="235"/>
      <c r="CC267" s="235">
        <f t="shared" si="137"/>
        <v>-100000</v>
      </c>
      <c r="CD267" s="188">
        <f t="shared" si="138"/>
        <v>-0.30953427473024087</v>
      </c>
      <c r="CE267" s="235">
        <f>+BN267-(((BQ267)/5)*(-4))</f>
        <v>358452.8</v>
      </c>
      <c r="CF267" s="235"/>
      <c r="CG267" s="235">
        <f>+CF267-BN267</f>
        <v>-100000</v>
      </c>
      <c r="CH267" s="188">
        <f t="shared" si="139"/>
        <v>-0.30953427473024087</v>
      </c>
      <c r="CI267" s="174">
        <f t="shared" si="140"/>
        <v>423066</v>
      </c>
      <c r="CJ267" s="188"/>
      <c r="CK267" s="174">
        <f t="shared" si="141"/>
        <v>-100000</v>
      </c>
      <c r="CL267" s="89">
        <f t="shared" si="142"/>
        <v>-0.30953427473024087</v>
      </c>
      <c r="CM267" s="89" t="s">
        <v>11</v>
      </c>
      <c r="CN267" s="188" t="s">
        <v>1363</v>
      </c>
      <c r="CO267" s="188"/>
      <c r="CP267" s="188" t="s">
        <v>1366</v>
      </c>
      <c r="CQ267" s="188" t="s">
        <v>1366</v>
      </c>
      <c r="CS267" s="2">
        <v>267</v>
      </c>
    </row>
    <row r="268" spans="1:97" s="244" customFormat="1" ht="285" x14ac:dyDescent="0.25">
      <c r="A268" s="276">
        <v>22</v>
      </c>
      <c r="B268" s="269" t="s">
        <v>4575</v>
      </c>
      <c r="C268" s="269" t="s">
        <v>1271</v>
      </c>
      <c r="D268" s="189" t="s">
        <v>583</v>
      </c>
      <c r="E268" s="276" t="s">
        <v>627</v>
      </c>
      <c r="F268" s="189" t="s">
        <v>623</v>
      </c>
      <c r="G268" s="172">
        <v>1</v>
      </c>
      <c r="H268" s="276" t="s">
        <v>624</v>
      </c>
      <c r="I268" s="276">
        <v>240</v>
      </c>
      <c r="J268" s="276" t="s">
        <v>625</v>
      </c>
      <c r="K268" s="276" t="s">
        <v>1048</v>
      </c>
      <c r="L268" s="189" t="s">
        <v>626</v>
      </c>
      <c r="M268" s="276" t="s">
        <v>588</v>
      </c>
      <c r="N268" s="189" t="s">
        <v>589</v>
      </c>
      <c r="O268" s="189" t="s">
        <v>78</v>
      </c>
      <c r="P268" s="276" t="s">
        <v>63</v>
      </c>
      <c r="Q268" s="276" t="s">
        <v>589</v>
      </c>
      <c r="R268" s="276"/>
      <c r="S268" s="276"/>
      <c r="T268" s="276" t="s">
        <v>79</v>
      </c>
      <c r="U268" s="276">
        <v>1</v>
      </c>
      <c r="V268" s="276"/>
      <c r="W268" s="276" t="s">
        <v>3794</v>
      </c>
      <c r="X268" s="173">
        <v>25</v>
      </c>
      <c r="Y268" s="276">
        <v>1</v>
      </c>
      <c r="Z268" s="276">
        <v>0</v>
      </c>
      <c r="AA268" s="276" t="s">
        <v>1220</v>
      </c>
      <c r="AB268" s="276"/>
      <c r="AC268" s="275">
        <v>2</v>
      </c>
      <c r="AD268" s="189" t="s">
        <v>3795</v>
      </c>
      <c r="AE268" s="189" t="s">
        <v>3796</v>
      </c>
      <c r="AF268" s="189"/>
      <c r="AG268" s="276" t="s">
        <v>1364</v>
      </c>
      <c r="AH268" s="77"/>
      <c r="AI268" s="275">
        <v>1</v>
      </c>
      <c r="AJ268" s="83" t="s">
        <v>3797</v>
      </c>
      <c r="AK268" s="83" t="s">
        <v>3798</v>
      </c>
      <c r="AL268" s="189" t="s">
        <v>78</v>
      </c>
      <c r="AM268" s="189" t="s">
        <v>1348</v>
      </c>
      <c r="AN268" s="83" t="s">
        <v>3799</v>
      </c>
      <c r="AO268" s="78" t="s">
        <v>1369</v>
      </c>
      <c r="AP268" s="189" t="s">
        <v>3800</v>
      </c>
      <c r="AQ268" s="189" t="s">
        <v>3801</v>
      </c>
      <c r="AR268" s="189" t="s">
        <v>3802</v>
      </c>
      <c r="AS268" s="189" t="s">
        <v>3803</v>
      </c>
      <c r="AT268" s="79" t="s">
        <v>3296</v>
      </c>
      <c r="AU268" s="79" t="s">
        <v>3296</v>
      </c>
      <c r="AV268" s="79" t="s">
        <v>3535</v>
      </c>
      <c r="AW268" s="189" t="s">
        <v>3804</v>
      </c>
      <c r="AX268" s="275">
        <v>1</v>
      </c>
      <c r="AY268" s="276" t="s">
        <v>3805</v>
      </c>
      <c r="AZ268" s="276" t="s">
        <v>3806</v>
      </c>
      <c r="BA268" s="83" t="s">
        <v>3807</v>
      </c>
      <c r="BB268" s="83" t="s">
        <v>1229</v>
      </c>
      <c r="BC268" s="78" t="s">
        <v>11</v>
      </c>
      <c r="BD268" s="79" t="s">
        <v>3535</v>
      </c>
      <c r="BE268" s="78" t="s">
        <v>2375</v>
      </c>
      <c r="BF268" s="78" t="s">
        <v>2375</v>
      </c>
      <c r="BG268" s="83" t="s">
        <v>3808</v>
      </c>
      <c r="BH268" s="77"/>
      <c r="BI268" s="83" t="s">
        <v>3809</v>
      </c>
      <c r="BJ268" s="83" t="s">
        <v>3810</v>
      </c>
      <c r="BK268" s="83" t="s">
        <v>3809</v>
      </c>
      <c r="BL268" s="83" t="s">
        <v>3811</v>
      </c>
      <c r="BM268" s="78">
        <v>2015</v>
      </c>
      <c r="BN268" s="78">
        <v>1</v>
      </c>
      <c r="BO268" s="78">
        <v>8</v>
      </c>
      <c r="BP268" s="77"/>
      <c r="BQ268" s="235">
        <f t="shared" si="130"/>
        <v>7</v>
      </c>
      <c r="BR268" s="275">
        <v>5</v>
      </c>
      <c r="BS268" s="235">
        <f t="shared" si="131"/>
        <v>2.4</v>
      </c>
      <c r="BT268" s="176">
        <v>2</v>
      </c>
      <c r="BU268" s="235">
        <f t="shared" si="132"/>
        <v>1</v>
      </c>
      <c r="BV268" s="188">
        <f t="shared" si="133"/>
        <v>0.14285714285714285</v>
      </c>
      <c r="BW268" s="176">
        <v>2</v>
      </c>
      <c r="BX268" s="176">
        <v>2</v>
      </c>
      <c r="BY268" s="235">
        <f t="shared" si="134"/>
        <v>1</v>
      </c>
      <c r="BZ268" s="89">
        <f t="shared" si="135"/>
        <v>0.14285714285714285</v>
      </c>
      <c r="CA268" s="235">
        <f t="shared" si="136"/>
        <v>5.1999999999999993</v>
      </c>
      <c r="CB268" s="188"/>
      <c r="CC268" s="235">
        <f t="shared" si="137"/>
        <v>-1</v>
      </c>
      <c r="CD268" s="188">
        <f t="shared" si="138"/>
        <v>-0.14285714285714285</v>
      </c>
      <c r="CE268" s="176">
        <v>1</v>
      </c>
      <c r="CF268" s="188"/>
      <c r="CG268" s="188">
        <v>-1</v>
      </c>
      <c r="CH268" s="188">
        <f t="shared" si="139"/>
        <v>-0.14285714285714285</v>
      </c>
      <c r="CI268" s="174">
        <f t="shared" si="140"/>
        <v>8</v>
      </c>
      <c r="CJ268" s="188"/>
      <c r="CK268" s="174">
        <f t="shared" si="141"/>
        <v>-1</v>
      </c>
      <c r="CL268" s="89">
        <f t="shared" si="142"/>
        <v>-0.14285714285714285</v>
      </c>
      <c r="CM268" s="89"/>
      <c r="CN268" s="188"/>
      <c r="CO268" s="188"/>
      <c r="CP268" s="188"/>
      <c r="CQ268" s="188"/>
      <c r="CS268" s="24">
        <v>268</v>
      </c>
    </row>
    <row r="269" spans="1:97" s="244" customFormat="1" ht="285" x14ac:dyDescent="0.25">
      <c r="A269" s="276">
        <v>22</v>
      </c>
      <c r="B269" s="269" t="s">
        <v>4575</v>
      </c>
      <c r="C269" s="269" t="s">
        <v>1271</v>
      </c>
      <c r="D269" s="189" t="s">
        <v>583</v>
      </c>
      <c r="E269" s="276" t="s">
        <v>627</v>
      </c>
      <c r="F269" s="189" t="s">
        <v>623</v>
      </c>
      <c r="G269" s="172">
        <v>1</v>
      </c>
      <c r="H269" s="276" t="s">
        <v>624</v>
      </c>
      <c r="I269" s="276">
        <v>240</v>
      </c>
      <c r="J269" s="276" t="s">
        <v>625</v>
      </c>
      <c r="K269" s="276" t="s">
        <v>1048</v>
      </c>
      <c r="L269" s="189" t="s">
        <v>626</v>
      </c>
      <c r="M269" s="276" t="s">
        <v>588</v>
      </c>
      <c r="N269" s="189" t="s">
        <v>589</v>
      </c>
      <c r="O269" s="189" t="s">
        <v>78</v>
      </c>
      <c r="P269" s="276" t="s">
        <v>63</v>
      </c>
      <c r="Q269" s="276" t="s">
        <v>589</v>
      </c>
      <c r="R269" s="276"/>
      <c r="S269" s="276"/>
      <c r="T269" s="276" t="s">
        <v>79</v>
      </c>
      <c r="U269" s="276">
        <v>1</v>
      </c>
      <c r="V269" s="276"/>
      <c r="W269" s="276" t="s">
        <v>3794</v>
      </c>
      <c r="X269" s="173">
        <v>25</v>
      </c>
      <c r="Y269" s="276">
        <v>1</v>
      </c>
      <c r="Z269" s="276">
        <v>0</v>
      </c>
      <c r="AA269" s="276" t="s">
        <v>1220</v>
      </c>
      <c r="AB269" s="276"/>
      <c r="AC269" s="275">
        <v>2</v>
      </c>
      <c r="AD269" s="189" t="s">
        <v>3795</v>
      </c>
      <c r="AE269" s="189" t="s">
        <v>3796</v>
      </c>
      <c r="AF269" s="189"/>
      <c r="AG269" s="276" t="s">
        <v>1364</v>
      </c>
      <c r="AH269" s="77"/>
      <c r="AI269" s="275">
        <v>2</v>
      </c>
      <c r="AJ269" s="83" t="s">
        <v>3812</v>
      </c>
      <c r="AK269" s="83" t="s">
        <v>3813</v>
      </c>
      <c r="AL269" s="189" t="s">
        <v>3814</v>
      </c>
      <c r="AM269" s="189" t="s">
        <v>1348</v>
      </c>
      <c r="AN269" s="83" t="s">
        <v>3815</v>
      </c>
      <c r="AO269" s="78" t="s">
        <v>3816</v>
      </c>
      <c r="AP269" s="83" t="s">
        <v>3817</v>
      </c>
      <c r="AQ269" s="189" t="s">
        <v>3818</v>
      </c>
      <c r="AR269" s="83" t="s">
        <v>3819</v>
      </c>
      <c r="AS269" s="189" t="s">
        <v>3803</v>
      </c>
      <c r="AT269" s="79" t="s">
        <v>1395</v>
      </c>
      <c r="AU269" s="79" t="s">
        <v>1395</v>
      </c>
      <c r="AV269" s="79" t="s">
        <v>3820</v>
      </c>
      <c r="AW269" s="189" t="s">
        <v>3821</v>
      </c>
      <c r="AX269" s="275">
        <v>2</v>
      </c>
      <c r="AY269" s="276" t="s">
        <v>3822</v>
      </c>
      <c r="AZ269" s="276" t="s">
        <v>3806</v>
      </c>
      <c r="BA269" s="83" t="s">
        <v>3807</v>
      </c>
      <c r="BB269" s="83" t="s">
        <v>1229</v>
      </c>
      <c r="BC269" s="83" t="s">
        <v>11</v>
      </c>
      <c r="BD269" s="79" t="s">
        <v>3823</v>
      </c>
      <c r="BE269" s="78" t="s">
        <v>71</v>
      </c>
      <c r="BF269" s="78" t="s">
        <v>71</v>
      </c>
      <c r="BG269" s="83" t="s">
        <v>3808</v>
      </c>
      <c r="BH269" s="77"/>
      <c r="BI269" s="83" t="s">
        <v>3810</v>
      </c>
      <c r="BJ269" s="83" t="s">
        <v>3810</v>
      </c>
      <c r="BK269" s="83" t="s">
        <v>3809</v>
      </c>
      <c r="BL269" s="83" t="s">
        <v>3811</v>
      </c>
      <c r="BM269" s="78">
        <v>2015</v>
      </c>
      <c r="BN269" s="78">
        <v>0</v>
      </c>
      <c r="BO269" s="78">
        <v>154</v>
      </c>
      <c r="BP269" s="77"/>
      <c r="BQ269" s="235">
        <f t="shared" si="130"/>
        <v>154</v>
      </c>
      <c r="BR269" s="275">
        <v>5</v>
      </c>
      <c r="BS269" s="235">
        <f t="shared" si="131"/>
        <v>30.8</v>
      </c>
      <c r="BT269" s="176">
        <v>1.1000000000000001</v>
      </c>
      <c r="BU269" s="235">
        <f t="shared" si="132"/>
        <v>1.1000000000000001</v>
      </c>
      <c r="BV269" s="188">
        <f t="shared" si="133"/>
        <v>7.1428571428571435E-3</v>
      </c>
      <c r="BW269" s="176">
        <v>142</v>
      </c>
      <c r="BX269" s="176">
        <v>142</v>
      </c>
      <c r="BY269" s="235">
        <f t="shared" si="134"/>
        <v>142</v>
      </c>
      <c r="BZ269" s="89">
        <f t="shared" si="135"/>
        <v>0.92207792207792205</v>
      </c>
      <c r="CA269" s="235">
        <f t="shared" si="136"/>
        <v>92.4</v>
      </c>
      <c r="CB269" s="188"/>
      <c r="CC269" s="235">
        <f t="shared" si="137"/>
        <v>0</v>
      </c>
      <c r="CD269" s="188">
        <f t="shared" si="138"/>
        <v>0</v>
      </c>
      <c r="CE269" s="176">
        <v>154</v>
      </c>
      <c r="CF269" s="188"/>
      <c r="CG269" s="188">
        <v>0</v>
      </c>
      <c r="CH269" s="188">
        <f t="shared" si="139"/>
        <v>0</v>
      </c>
      <c r="CI269" s="174">
        <f t="shared" si="140"/>
        <v>154</v>
      </c>
      <c r="CJ269" s="188"/>
      <c r="CK269" s="174">
        <f t="shared" si="141"/>
        <v>0</v>
      </c>
      <c r="CL269" s="89">
        <f t="shared" si="142"/>
        <v>0</v>
      </c>
      <c r="CM269" s="89"/>
      <c r="CN269" s="188"/>
      <c r="CO269" s="188"/>
      <c r="CP269" s="188"/>
      <c r="CQ269" s="188"/>
      <c r="CS269" s="24">
        <v>269</v>
      </c>
    </row>
    <row r="270" spans="1:97" s="244" customFormat="1" ht="285" x14ac:dyDescent="0.25">
      <c r="A270" s="276">
        <v>22</v>
      </c>
      <c r="B270" s="269" t="s">
        <v>4575</v>
      </c>
      <c r="C270" s="269" t="s">
        <v>1271</v>
      </c>
      <c r="D270" s="189" t="s">
        <v>583</v>
      </c>
      <c r="E270" s="276" t="s">
        <v>627</v>
      </c>
      <c r="F270" s="189" t="s">
        <v>623</v>
      </c>
      <c r="G270" s="172">
        <v>2</v>
      </c>
      <c r="H270" s="276" t="s">
        <v>628</v>
      </c>
      <c r="I270" s="276">
        <v>241</v>
      </c>
      <c r="J270" s="276" t="s">
        <v>629</v>
      </c>
      <c r="K270" s="276" t="s">
        <v>1049</v>
      </c>
      <c r="L270" s="189" t="s">
        <v>630</v>
      </c>
      <c r="M270" s="276" t="s">
        <v>588</v>
      </c>
      <c r="N270" s="189" t="s">
        <v>589</v>
      </c>
      <c r="O270" s="189" t="s">
        <v>78</v>
      </c>
      <c r="P270" s="276" t="s">
        <v>63</v>
      </c>
      <c r="Q270" s="276" t="s">
        <v>589</v>
      </c>
      <c r="R270" s="276"/>
      <c r="S270" s="276"/>
      <c r="T270" s="276" t="s">
        <v>79</v>
      </c>
      <c r="U270" s="276">
        <v>1</v>
      </c>
      <c r="V270" s="276"/>
      <c r="W270" s="276" t="s">
        <v>3794</v>
      </c>
      <c r="X270" s="173">
        <v>25</v>
      </c>
      <c r="Y270" s="276">
        <v>1</v>
      </c>
      <c r="Z270" s="276">
        <v>0</v>
      </c>
      <c r="AA270" s="276" t="s">
        <v>1220</v>
      </c>
      <c r="AB270" s="276"/>
      <c r="AC270" s="275"/>
      <c r="AD270" s="189" t="s">
        <v>3795</v>
      </c>
      <c r="AE270" s="189" t="s">
        <v>3796</v>
      </c>
      <c r="AF270" s="79"/>
      <c r="AG270" s="189" t="s">
        <v>1235</v>
      </c>
      <c r="AH270" s="276" t="s">
        <v>3824</v>
      </c>
      <c r="AI270" s="275">
        <v>1</v>
      </c>
      <c r="AJ270" s="83" t="s">
        <v>3825</v>
      </c>
      <c r="AK270" s="83" t="s">
        <v>3826</v>
      </c>
      <c r="AL270" s="189" t="s">
        <v>3827</v>
      </c>
      <c r="AM270" s="189" t="s">
        <v>1349</v>
      </c>
      <c r="AN270" s="83" t="s">
        <v>3828</v>
      </c>
      <c r="AO270" s="78" t="s">
        <v>3816</v>
      </c>
      <c r="AP270" s="83" t="s">
        <v>3829</v>
      </c>
      <c r="AQ270" s="189" t="s">
        <v>3830</v>
      </c>
      <c r="AR270" s="189" t="s">
        <v>3831</v>
      </c>
      <c r="AS270" s="189" t="s">
        <v>3803</v>
      </c>
      <c r="AT270" s="79" t="s">
        <v>1395</v>
      </c>
      <c r="AU270" s="79" t="s">
        <v>1395</v>
      </c>
      <c r="AV270" s="189" t="s">
        <v>1529</v>
      </c>
      <c r="AW270" s="189"/>
      <c r="AX270" s="275">
        <v>1</v>
      </c>
      <c r="AY270" s="276" t="s">
        <v>3832</v>
      </c>
      <c r="AZ270" s="276" t="s">
        <v>3806</v>
      </c>
      <c r="BA270" s="83" t="s">
        <v>3807</v>
      </c>
      <c r="BB270" s="83" t="s">
        <v>1229</v>
      </c>
      <c r="BC270" s="83" t="s">
        <v>11</v>
      </c>
      <c r="BD270" s="83" t="s">
        <v>1529</v>
      </c>
      <c r="BE270" s="83" t="s">
        <v>1712</v>
      </c>
      <c r="BF270" s="83" t="s">
        <v>1712</v>
      </c>
      <c r="BG270" s="83" t="s">
        <v>3833</v>
      </c>
      <c r="BH270" s="77"/>
      <c r="BI270" s="83" t="s">
        <v>3809</v>
      </c>
      <c r="BJ270" s="83" t="s">
        <v>3810</v>
      </c>
      <c r="BK270" s="83" t="s">
        <v>3834</v>
      </c>
      <c r="BL270" s="83" t="s">
        <v>3811</v>
      </c>
      <c r="BM270" s="78">
        <v>2015</v>
      </c>
      <c r="BN270" s="78">
        <v>0</v>
      </c>
      <c r="BO270" s="105">
        <v>8</v>
      </c>
      <c r="BP270" s="83"/>
      <c r="BQ270" s="235">
        <f t="shared" si="130"/>
        <v>8</v>
      </c>
      <c r="BR270" s="275">
        <v>5</v>
      </c>
      <c r="BS270" s="235">
        <f t="shared" si="131"/>
        <v>1.6</v>
      </c>
      <c r="BT270" s="176">
        <v>2</v>
      </c>
      <c r="BU270" s="235">
        <f t="shared" si="132"/>
        <v>2</v>
      </c>
      <c r="BV270" s="188">
        <f t="shared" si="133"/>
        <v>0.25</v>
      </c>
      <c r="BW270" s="176">
        <v>5</v>
      </c>
      <c r="BX270" s="176">
        <v>3</v>
      </c>
      <c r="BY270" s="235">
        <f t="shared" si="134"/>
        <v>3</v>
      </c>
      <c r="BZ270" s="89">
        <f t="shared" si="135"/>
        <v>0.375</v>
      </c>
      <c r="CA270" s="235">
        <f t="shared" si="136"/>
        <v>4.8000000000000007</v>
      </c>
      <c r="CB270" s="188"/>
      <c r="CC270" s="235">
        <f t="shared" si="137"/>
        <v>0</v>
      </c>
      <c r="CD270" s="188">
        <f t="shared" si="138"/>
        <v>0</v>
      </c>
      <c r="CE270" s="176">
        <v>8</v>
      </c>
      <c r="CF270" s="188"/>
      <c r="CG270" s="188">
        <v>0</v>
      </c>
      <c r="CH270" s="188">
        <f t="shared" si="139"/>
        <v>0</v>
      </c>
      <c r="CI270" s="174">
        <f t="shared" si="140"/>
        <v>8</v>
      </c>
      <c r="CJ270" s="188"/>
      <c r="CK270" s="174">
        <f t="shared" si="141"/>
        <v>0</v>
      </c>
      <c r="CL270" s="89">
        <f t="shared" si="142"/>
        <v>0</v>
      </c>
      <c r="CM270" s="89"/>
      <c r="CN270" s="188"/>
      <c r="CO270" s="188"/>
      <c r="CP270" s="188"/>
      <c r="CQ270" s="188"/>
      <c r="CS270" s="2">
        <v>270</v>
      </c>
    </row>
    <row r="271" spans="1:97" s="244" customFormat="1" ht="285" x14ac:dyDescent="0.25">
      <c r="A271" s="276">
        <v>22</v>
      </c>
      <c r="B271" s="269" t="s">
        <v>4575</v>
      </c>
      <c r="C271" s="269" t="s">
        <v>1271</v>
      </c>
      <c r="D271" s="189" t="s">
        <v>583</v>
      </c>
      <c r="E271" s="276" t="s">
        <v>627</v>
      </c>
      <c r="F271" s="189" t="s">
        <v>623</v>
      </c>
      <c r="G271" s="172">
        <v>2</v>
      </c>
      <c r="H271" s="276" t="s">
        <v>628</v>
      </c>
      <c r="I271" s="276">
        <v>241</v>
      </c>
      <c r="J271" s="276" t="s">
        <v>629</v>
      </c>
      <c r="K271" s="276" t="s">
        <v>1049</v>
      </c>
      <c r="L271" s="189" t="s">
        <v>630</v>
      </c>
      <c r="M271" s="276" t="s">
        <v>588</v>
      </c>
      <c r="N271" s="189" t="s">
        <v>589</v>
      </c>
      <c r="O271" s="189" t="s">
        <v>78</v>
      </c>
      <c r="P271" s="276" t="s">
        <v>63</v>
      </c>
      <c r="Q271" s="276" t="s">
        <v>589</v>
      </c>
      <c r="R271" s="276"/>
      <c r="S271" s="276"/>
      <c r="T271" s="276" t="s">
        <v>79</v>
      </c>
      <c r="U271" s="276">
        <v>1</v>
      </c>
      <c r="V271" s="276"/>
      <c r="W271" s="276" t="s">
        <v>3794</v>
      </c>
      <c r="X271" s="173">
        <v>25</v>
      </c>
      <c r="Y271" s="276">
        <v>1</v>
      </c>
      <c r="Z271" s="276">
        <v>0</v>
      </c>
      <c r="AA271" s="276" t="s">
        <v>1220</v>
      </c>
      <c r="AB271" s="276"/>
      <c r="AC271" s="275"/>
      <c r="AD271" s="189" t="s">
        <v>3795</v>
      </c>
      <c r="AE271" s="189" t="s">
        <v>3796</v>
      </c>
      <c r="AF271" s="79"/>
      <c r="AG271" s="189" t="s">
        <v>1235</v>
      </c>
      <c r="AH271" s="276" t="s">
        <v>3824</v>
      </c>
      <c r="AI271" s="275">
        <v>2</v>
      </c>
      <c r="AJ271" s="83" t="s">
        <v>3835</v>
      </c>
      <c r="AK271" s="83" t="s">
        <v>3836</v>
      </c>
      <c r="AL271" s="189" t="s">
        <v>3827</v>
      </c>
      <c r="AM271" s="189" t="s">
        <v>1349</v>
      </c>
      <c r="AN271" s="83" t="s">
        <v>3815</v>
      </c>
      <c r="AO271" s="78" t="s">
        <v>3816</v>
      </c>
      <c r="AP271" s="83" t="s">
        <v>3837</v>
      </c>
      <c r="AQ271" s="189" t="s">
        <v>3838</v>
      </c>
      <c r="AR271" s="189" t="s">
        <v>3839</v>
      </c>
      <c r="AS271" s="189" t="s">
        <v>3803</v>
      </c>
      <c r="AT271" s="79" t="s">
        <v>1395</v>
      </c>
      <c r="AU271" s="79" t="s">
        <v>1395</v>
      </c>
      <c r="AV271" s="189" t="s">
        <v>1529</v>
      </c>
      <c r="AW271" s="189"/>
      <c r="AX271" s="275">
        <v>2</v>
      </c>
      <c r="AY271" s="276" t="s">
        <v>3840</v>
      </c>
      <c r="AZ271" s="276" t="s">
        <v>3806</v>
      </c>
      <c r="BA271" s="83" t="s">
        <v>3807</v>
      </c>
      <c r="BB271" s="83" t="s">
        <v>1229</v>
      </c>
      <c r="BC271" s="83" t="s">
        <v>11</v>
      </c>
      <c r="BD271" s="83" t="s">
        <v>1529</v>
      </c>
      <c r="BE271" s="83" t="s">
        <v>2242</v>
      </c>
      <c r="BF271" s="83" t="s">
        <v>2242</v>
      </c>
      <c r="BG271" s="83" t="s">
        <v>3841</v>
      </c>
      <c r="BH271" s="77"/>
      <c r="BI271" s="83" t="s">
        <v>3809</v>
      </c>
      <c r="BJ271" s="83" t="s">
        <v>3810</v>
      </c>
      <c r="BK271" s="83" t="s">
        <v>3834</v>
      </c>
      <c r="BL271" s="83" t="s">
        <v>3811</v>
      </c>
      <c r="BM271" s="78">
        <v>2015</v>
      </c>
      <c r="BN271" s="78">
        <v>0</v>
      </c>
      <c r="BO271" s="83">
        <v>107</v>
      </c>
      <c r="BP271" s="83"/>
      <c r="BQ271" s="235">
        <f t="shared" si="130"/>
        <v>107</v>
      </c>
      <c r="BR271" s="275">
        <v>5</v>
      </c>
      <c r="BS271" s="235">
        <f t="shared" si="131"/>
        <v>21.4</v>
      </c>
      <c r="BT271" s="176">
        <v>28</v>
      </c>
      <c r="BU271" s="235">
        <f t="shared" si="132"/>
        <v>28</v>
      </c>
      <c r="BV271" s="188">
        <f t="shared" si="133"/>
        <v>0.26168224299065418</v>
      </c>
      <c r="BW271" s="176">
        <v>77</v>
      </c>
      <c r="BX271" s="176">
        <v>77</v>
      </c>
      <c r="BY271" s="235">
        <f t="shared" si="134"/>
        <v>77</v>
      </c>
      <c r="BZ271" s="89">
        <f t="shared" si="135"/>
        <v>0.71962616822429903</v>
      </c>
      <c r="CA271" s="235">
        <f t="shared" si="136"/>
        <v>64.199999999999989</v>
      </c>
      <c r="CB271" s="188"/>
      <c r="CC271" s="235">
        <f t="shared" si="137"/>
        <v>0</v>
      </c>
      <c r="CD271" s="188">
        <f t="shared" si="138"/>
        <v>0</v>
      </c>
      <c r="CE271" s="176">
        <v>107</v>
      </c>
      <c r="CF271" s="188"/>
      <c r="CG271" s="188">
        <v>0</v>
      </c>
      <c r="CH271" s="188">
        <f t="shared" si="139"/>
        <v>0</v>
      </c>
      <c r="CI271" s="174">
        <f t="shared" si="140"/>
        <v>107</v>
      </c>
      <c r="CJ271" s="188"/>
      <c r="CK271" s="174">
        <f t="shared" si="141"/>
        <v>0</v>
      </c>
      <c r="CL271" s="89">
        <f t="shared" si="142"/>
        <v>0</v>
      </c>
      <c r="CM271" s="89"/>
      <c r="CN271" s="188"/>
      <c r="CO271" s="188"/>
      <c r="CP271" s="188"/>
      <c r="CQ271" s="188"/>
      <c r="CS271" s="24">
        <v>271</v>
      </c>
    </row>
    <row r="272" spans="1:97" s="244" customFormat="1" ht="313.5" customHeight="1" x14ac:dyDescent="0.25">
      <c r="A272" s="276">
        <v>23</v>
      </c>
      <c r="B272" s="269" t="s">
        <v>4575</v>
      </c>
      <c r="C272" s="269" t="s">
        <v>1271</v>
      </c>
      <c r="D272" s="189"/>
      <c r="E272" s="276"/>
      <c r="F272" s="189"/>
      <c r="G272" s="172"/>
      <c r="H272" s="276"/>
      <c r="I272" s="276"/>
      <c r="J272" s="276"/>
      <c r="K272" s="276"/>
      <c r="L272" s="189"/>
      <c r="M272" s="276"/>
      <c r="N272" s="189"/>
      <c r="O272" s="189" t="s">
        <v>1259</v>
      </c>
      <c r="P272" s="276"/>
      <c r="Q272" s="276"/>
      <c r="R272" s="276"/>
      <c r="S272" s="276"/>
      <c r="T272" s="276"/>
      <c r="U272" s="276"/>
      <c r="V272" s="276"/>
      <c r="W272" s="189"/>
      <c r="X272" s="173"/>
      <c r="Y272" s="276"/>
      <c r="Z272" s="276"/>
      <c r="AA272" s="276" t="s">
        <v>1220</v>
      </c>
      <c r="AB272" s="276"/>
      <c r="AC272" s="275"/>
      <c r="AD272" s="189"/>
      <c r="AE272" s="189"/>
      <c r="AF272" s="79"/>
      <c r="AG272" s="77" t="s">
        <v>3166</v>
      </c>
      <c r="AH272" s="180"/>
      <c r="AI272" s="276">
        <v>1</v>
      </c>
      <c r="AJ272" s="83"/>
      <c r="AK272" s="189" t="s">
        <v>3152</v>
      </c>
      <c r="AL272" s="189" t="s">
        <v>1259</v>
      </c>
      <c r="AM272" s="189" t="s">
        <v>1349</v>
      </c>
      <c r="AN272" s="189" t="s">
        <v>3153</v>
      </c>
      <c r="AO272" s="276" t="s">
        <v>10</v>
      </c>
      <c r="AP272" s="83" t="s">
        <v>3537</v>
      </c>
      <c r="AQ272" s="77"/>
      <c r="AR272" s="83" t="s">
        <v>3154</v>
      </c>
      <c r="AS272" s="83" t="s">
        <v>2502</v>
      </c>
      <c r="AT272" s="83" t="s">
        <v>3155</v>
      </c>
      <c r="AU272" s="83" t="s">
        <v>2502</v>
      </c>
      <c r="AV272" s="189" t="s">
        <v>2673</v>
      </c>
      <c r="AW272" s="83" t="s">
        <v>3156</v>
      </c>
      <c r="AX272" s="276">
        <v>1</v>
      </c>
      <c r="AY272" s="276" t="s">
        <v>3157</v>
      </c>
      <c r="AZ272" s="276" t="s">
        <v>2501</v>
      </c>
      <c r="BA272" s="276" t="s">
        <v>2502</v>
      </c>
      <c r="BB272" s="276" t="s">
        <v>1514</v>
      </c>
      <c r="BC272" s="276" t="s">
        <v>11</v>
      </c>
      <c r="BD272" s="172" t="s">
        <v>3158</v>
      </c>
      <c r="BE272" s="276" t="s">
        <v>9</v>
      </c>
      <c r="BF272" s="275" t="s">
        <v>17</v>
      </c>
      <c r="BG272" s="276" t="s">
        <v>3159</v>
      </c>
      <c r="BH272" s="276" t="s">
        <v>3160</v>
      </c>
      <c r="BI272" s="276" t="s">
        <v>3161</v>
      </c>
      <c r="BJ272" s="276" t="s">
        <v>3162</v>
      </c>
      <c r="BK272" s="276" t="s">
        <v>3163</v>
      </c>
      <c r="BL272" s="276" t="s">
        <v>3164</v>
      </c>
      <c r="BM272" s="144">
        <v>42705</v>
      </c>
      <c r="BN272" s="188">
        <v>0.22800000000000001</v>
      </c>
      <c r="BO272" s="187"/>
      <c r="BP272" s="276"/>
      <c r="BQ272" s="187"/>
      <c r="BR272" s="276"/>
      <c r="BS272" s="188">
        <v>0.22800000000000001</v>
      </c>
      <c r="BT272" s="89"/>
      <c r="BU272" s="188">
        <f t="shared" si="132"/>
        <v>-0.22800000000000001</v>
      </c>
      <c r="BV272" s="188"/>
      <c r="BW272" s="188"/>
      <c r="BX272" s="188"/>
      <c r="BY272" s="188"/>
      <c r="BZ272" s="89"/>
      <c r="CA272" s="188"/>
      <c r="CB272" s="188"/>
      <c r="CC272" s="188"/>
      <c r="CD272" s="188"/>
      <c r="CE272" s="188"/>
      <c r="CF272" s="188"/>
      <c r="CG272" s="188"/>
      <c r="CH272" s="188"/>
      <c r="CI272" s="188">
        <f>+BO272</f>
        <v>0</v>
      </c>
      <c r="CJ272" s="188">
        <v>0</v>
      </c>
      <c r="CK272" s="188">
        <v>-0.22800000000000001</v>
      </c>
      <c r="CL272" s="89" t="e">
        <v>#DIV/0!</v>
      </c>
      <c r="CM272" s="89" t="s">
        <v>11</v>
      </c>
      <c r="CN272" s="188" t="s">
        <v>1363</v>
      </c>
      <c r="CO272" s="188" t="s">
        <v>1365</v>
      </c>
      <c r="CP272" s="188"/>
      <c r="CQ272" s="188"/>
      <c r="CS272" s="24">
        <v>272</v>
      </c>
    </row>
    <row r="273" spans="1:97" s="244" customFormat="1" ht="171" x14ac:dyDescent="0.25">
      <c r="A273" s="276">
        <v>26</v>
      </c>
      <c r="B273" s="269" t="s">
        <v>4575</v>
      </c>
      <c r="C273" s="269" t="s">
        <v>1272</v>
      </c>
      <c r="D273" s="189" t="s">
        <v>631</v>
      </c>
      <c r="E273" s="276" t="s">
        <v>661</v>
      </c>
      <c r="F273" s="189" t="s">
        <v>657</v>
      </c>
      <c r="G273" s="172">
        <v>1</v>
      </c>
      <c r="H273" s="276" t="s">
        <v>658</v>
      </c>
      <c r="I273" s="276">
        <v>262</v>
      </c>
      <c r="J273" s="276" t="s">
        <v>659</v>
      </c>
      <c r="K273" s="276" t="s">
        <v>1070</v>
      </c>
      <c r="L273" s="189" t="s">
        <v>660</v>
      </c>
      <c r="M273" s="276" t="s">
        <v>633</v>
      </c>
      <c r="N273" s="189" t="s">
        <v>459</v>
      </c>
      <c r="O273" s="189" t="s">
        <v>62</v>
      </c>
      <c r="P273" s="276" t="s">
        <v>635</v>
      </c>
      <c r="Q273" s="276" t="s">
        <v>634</v>
      </c>
      <c r="R273" s="276">
        <v>1</v>
      </c>
      <c r="S273" s="276">
        <v>1</v>
      </c>
      <c r="T273" s="276" t="s">
        <v>65</v>
      </c>
      <c r="U273" s="276"/>
      <c r="V273" s="276"/>
      <c r="W273" s="78" t="s">
        <v>155</v>
      </c>
      <c r="X273" s="173" t="e">
        <f>100/COUNTIFS(($B$9:$B$9),C273,($D$9:$D$9),E273)</f>
        <v>#DIV/0!</v>
      </c>
      <c r="Y273" s="276">
        <f>COUNTIF(T273,"RS")</f>
        <v>1</v>
      </c>
      <c r="Z273" s="276">
        <v>0</v>
      </c>
      <c r="AA273" s="276" t="s">
        <v>1220</v>
      </c>
      <c r="AB273" s="276">
        <v>1</v>
      </c>
      <c r="AC273" s="275">
        <v>15</v>
      </c>
      <c r="AD273" s="189" t="s">
        <v>1309</v>
      </c>
      <c r="AE273" s="189" t="s">
        <v>1310</v>
      </c>
      <c r="AF273" s="79"/>
      <c r="AG273" s="189" t="s">
        <v>1583</v>
      </c>
      <c r="AH273" s="77"/>
      <c r="AI273" s="275">
        <v>1</v>
      </c>
      <c r="AJ273" s="83" t="str">
        <f>CONCATENATE(K273,AI273)</f>
        <v>09062621</v>
      </c>
      <c r="AK273" s="83" t="s">
        <v>3843</v>
      </c>
      <c r="AL273" s="83" t="s">
        <v>1259</v>
      </c>
      <c r="AM273" s="189"/>
      <c r="AN273" s="135" t="s">
        <v>2174</v>
      </c>
      <c r="AO273" s="194" t="s">
        <v>10</v>
      </c>
      <c r="AP273" s="164" t="s">
        <v>3844</v>
      </c>
      <c r="AQ273" s="164" t="s">
        <v>3845</v>
      </c>
      <c r="AR273" s="164" t="s">
        <v>3846</v>
      </c>
      <c r="AS273" s="164" t="s">
        <v>3749</v>
      </c>
      <c r="AT273" s="164" t="s">
        <v>3847</v>
      </c>
      <c r="AU273" s="164" t="s">
        <v>3848</v>
      </c>
      <c r="AV273" s="164" t="s">
        <v>3016</v>
      </c>
      <c r="AW273" s="76"/>
      <c r="AX273" s="275">
        <v>1</v>
      </c>
      <c r="AY273" s="276" t="str">
        <f>CONCATENATE(AJ273,AX273)</f>
        <v>090626211</v>
      </c>
      <c r="AZ273" s="135" t="s">
        <v>3848</v>
      </c>
      <c r="BA273" s="163" t="s">
        <v>3752</v>
      </c>
      <c r="BB273" s="163" t="s">
        <v>1392</v>
      </c>
      <c r="BC273" s="194" t="s">
        <v>11</v>
      </c>
      <c r="BD273" s="194" t="s">
        <v>3849</v>
      </c>
      <c r="BE273" s="194" t="s">
        <v>9</v>
      </c>
      <c r="BF273" s="164" t="s">
        <v>2174</v>
      </c>
      <c r="BG273" s="163" t="s">
        <v>3850</v>
      </c>
      <c r="BH273" s="194"/>
      <c r="BI273" s="164" t="s">
        <v>3754</v>
      </c>
      <c r="BJ273" s="163" t="s">
        <v>3851</v>
      </c>
      <c r="BK273" s="163" t="s">
        <v>3852</v>
      </c>
      <c r="BL273" s="163" t="s">
        <v>3757</v>
      </c>
      <c r="BM273" s="78">
        <v>2015</v>
      </c>
      <c r="BN273" s="186">
        <v>0.65</v>
      </c>
      <c r="BO273" s="186">
        <v>0</v>
      </c>
      <c r="BP273" s="186">
        <v>0</v>
      </c>
      <c r="BQ273" s="187">
        <f>+BO273-BN273</f>
        <v>-0.65</v>
      </c>
      <c r="BR273" s="275">
        <v>5</v>
      </c>
      <c r="BS273" s="188">
        <f>+BN273-(((BQ273)/5)*(-1))</f>
        <v>0.52</v>
      </c>
      <c r="BT273" s="126">
        <v>0.62</v>
      </c>
      <c r="BU273" s="188">
        <f t="shared" si="132"/>
        <v>-3.0000000000000027E-2</v>
      </c>
      <c r="BV273" s="188">
        <f>+BU273/BQ273</f>
        <v>4.6153846153846191E-2</v>
      </c>
      <c r="BW273" s="188">
        <f>+BN273-(((BQ273)/5)*(-2))</f>
        <v>0.39</v>
      </c>
      <c r="BX273" s="140"/>
      <c r="BY273" s="188">
        <f>+BX273-BN273</f>
        <v>-0.65</v>
      </c>
      <c r="BZ273" s="89">
        <f>+BY273/BQ273</f>
        <v>1</v>
      </c>
      <c r="CA273" s="188">
        <f>+BN273-(((BQ273)/5)*(-3))</f>
        <v>0.26</v>
      </c>
      <c r="CB273" s="188"/>
      <c r="CC273" s="188">
        <f>+CB273-BN273</f>
        <v>-0.65</v>
      </c>
      <c r="CD273" s="188">
        <f>+CC273/BQ273</f>
        <v>1</v>
      </c>
      <c r="CE273" s="188">
        <f>+BN273-(((BQ273)/5)*(-4))</f>
        <v>0.13</v>
      </c>
      <c r="CF273" s="188"/>
      <c r="CG273" s="188">
        <f>+CF273-BN273</f>
        <v>-0.65</v>
      </c>
      <c r="CH273" s="188">
        <f>+CG273/BQ273</f>
        <v>1</v>
      </c>
      <c r="CI273" s="188">
        <f>+BN273-(((BQ273)/5)*(-5))</f>
        <v>0</v>
      </c>
      <c r="CJ273" s="188"/>
      <c r="CK273" s="188">
        <f>+CJ273-BN273</f>
        <v>-0.65</v>
      </c>
      <c r="CL273" s="89">
        <f>+CK273/BQ273</f>
        <v>1</v>
      </c>
      <c r="CM273" s="89"/>
      <c r="CN273" s="188"/>
      <c r="CO273" s="188"/>
      <c r="CP273" s="188"/>
      <c r="CQ273" s="188"/>
      <c r="CS273" s="2">
        <v>273</v>
      </c>
    </row>
    <row r="274" spans="1:97" ht="399" customHeight="1" x14ac:dyDescent="0.25">
      <c r="A274" s="276">
        <v>26</v>
      </c>
      <c r="B274" s="269" t="s">
        <v>4575</v>
      </c>
      <c r="C274" s="269" t="s">
        <v>1272</v>
      </c>
      <c r="D274" s="189" t="s">
        <v>631</v>
      </c>
      <c r="E274" s="276" t="s">
        <v>661</v>
      </c>
      <c r="F274" s="189" t="s">
        <v>657</v>
      </c>
      <c r="G274" s="172">
        <v>2</v>
      </c>
      <c r="H274" s="276" t="s">
        <v>662</v>
      </c>
      <c r="I274" s="276">
        <v>263</v>
      </c>
      <c r="J274" s="276" t="s">
        <v>663</v>
      </c>
      <c r="K274" s="276" t="s">
        <v>1071</v>
      </c>
      <c r="L274" s="189" t="s">
        <v>664</v>
      </c>
      <c r="M274" s="276" t="s">
        <v>633</v>
      </c>
      <c r="N274" s="189" t="s">
        <v>459</v>
      </c>
      <c r="O274" s="189" t="s">
        <v>62</v>
      </c>
      <c r="P274" s="276" t="s">
        <v>635</v>
      </c>
      <c r="Q274" s="276" t="s">
        <v>634</v>
      </c>
      <c r="R274" s="276">
        <v>1</v>
      </c>
      <c r="S274" s="276">
        <v>1</v>
      </c>
      <c r="T274" s="276" t="s">
        <v>65</v>
      </c>
      <c r="U274" s="276"/>
      <c r="V274" s="276"/>
      <c r="W274" s="78" t="s">
        <v>155</v>
      </c>
      <c r="X274" s="173" t="e">
        <f>100/COUNTIFS(($B$9:$B$9),C274,($D$9:$D$9),E274)</f>
        <v>#DIV/0!</v>
      </c>
      <c r="Y274" s="276">
        <f>COUNTIF(T274,"RS")</f>
        <v>1</v>
      </c>
      <c r="Z274" s="276">
        <v>0</v>
      </c>
      <c r="AA274" s="276" t="s">
        <v>1220</v>
      </c>
      <c r="AB274" s="276">
        <v>1</v>
      </c>
      <c r="AC274" s="275">
        <v>15</v>
      </c>
      <c r="AD274" s="189" t="s">
        <v>1309</v>
      </c>
      <c r="AE274" s="189" t="s">
        <v>1311</v>
      </c>
      <c r="AF274" s="189" t="s">
        <v>1332</v>
      </c>
      <c r="AG274" s="189" t="s">
        <v>1583</v>
      </c>
      <c r="AH274" s="77"/>
      <c r="AI274" s="275">
        <v>1</v>
      </c>
      <c r="AJ274" s="83" t="str">
        <f>CONCATENATE(K274,AI274)</f>
        <v>09062631</v>
      </c>
      <c r="AK274" s="189" t="s">
        <v>3853</v>
      </c>
      <c r="AL274" s="189" t="s">
        <v>1259</v>
      </c>
      <c r="AM274" s="189"/>
      <c r="AN274" s="78" t="s">
        <v>9</v>
      </c>
      <c r="AO274" s="83" t="s">
        <v>3738</v>
      </c>
      <c r="AP274" s="164" t="s">
        <v>3854</v>
      </c>
      <c r="AQ274" s="164" t="s">
        <v>3855</v>
      </c>
      <c r="AR274" s="164" t="s">
        <v>3856</v>
      </c>
      <c r="AS274" s="164" t="s">
        <v>3857</v>
      </c>
      <c r="AT274" s="225"/>
      <c r="AU274" s="225"/>
      <c r="AV274" s="164" t="s">
        <v>3858</v>
      </c>
      <c r="AW274" s="76"/>
      <c r="AX274" s="275">
        <v>1</v>
      </c>
      <c r="AY274" s="276" t="str">
        <f>CONCATENATE(AJ274,AX274)</f>
        <v>090626311</v>
      </c>
      <c r="AZ274" s="276" t="s">
        <v>3859</v>
      </c>
      <c r="BA274" s="83" t="s">
        <v>3857</v>
      </c>
      <c r="BB274" s="83" t="s">
        <v>1392</v>
      </c>
      <c r="BC274" s="78" t="s">
        <v>11</v>
      </c>
      <c r="BD274" s="78" t="s">
        <v>3860</v>
      </c>
      <c r="BE274" s="83" t="s">
        <v>9</v>
      </c>
      <c r="BF274" s="163" t="s">
        <v>3861</v>
      </c>
      <c r="BG274" s="163" t="s">
        <v>3862</v>
      </c>
      <c r="BH274" s="194"/>
      <c r="BI274" s="164" t="s">
        <v>3754</v>
      </c>
      <c r="BJ274" s="163" t="s">
        <v>3863</v>
      </c>
      <c r="BK274" s="163" t="s">
        <v>3864</v>
      </c>
      <c r="BL274" s="189" t="s">
        <v>3767</v>
      </c>
      <c r="BM274" s="78">
        <v>2015</v>
      </c>
      <c r="BN274" s="162">
        <v>55809</v>
      </c>
      <c r="BO274" s="162">
        <v>750000</v>
      </c>
      <c r="BP274" s="162">
        <v>4500000</v>
      </c>
      <c r="BQ274" s="162">
        <f>+BO274-BN274</f>
        <v>694191</v>
      </c>
      <c r="BR274" s="275">
        <v>5</v>
      </c>
      <c r="BS274" s="162">
        <f>+BN274-(((BQ274)/5)*(-1))</f>
        <v>194647.2</v>
      </c>
      <c r="BT274" s="162">
        <v>57492.42</v>
      </c>
      <c r="BU274" s="162">
        <f t="shared" si="132"/>
        <v>1683.4199999999983</v>
      </c>
      <c r="BV274" s="188">
        <f>+BU274/BQ274</f>
        <v>2.425009831588134E-3</v>
      </c>
      <c r="BW274" s="162">
        <f>+BN274-(((BQ274)/5)*(-2))</f>
        <v>333485.40000000002</v>
      </c>
      <c r="BX274" s="140"/>
      <c r="BY274" s="94">
        <f>+BX274-BN274</f>
        <v>-55809</v>
      </c>
      <c r="BZ274" s="89">
        <f>+BY274/BQ274</f>
        <v>-8.0394300703984928E-2</v>
      </c>
      <c r="CA274" s="94">
        <f>+BN274-(((BQ274)/5)*(-3))</f>
        <v>472323.60000000003</v>
      </c>
      <c r="CB274" s="188"/>
      <c r="CC274" s="94">
        <f>+CB274-BN274</f>
        <v>-55809</v>
      </c>
      <c r="CD274" s="188">
        <f>+CC274/BQ274</f>
        <v>-8.0394300703984928E-2</v>
      </c>
      <c r="CE274" s="94">
        <f>+BN274-(((BQ274)/5)*(-4))</f>
        <v>611161.80000000005</v>
      </c>
      <c r="CF274" s="188"/>
      <c r="CG274" s="94">
        <f>+CF274-BN274</f>
        <v>-55809</v>
      </c>
      <c r="CH274" s="188">
        <f>+CG274/BQ274</f>
        <v>-8.0394300703984928E-2</v>
      </c>
      <c r="CI274" s="182">
        <f>+BN274-(((BQ274)/5)*(-5))</f>
        <v>750000</v>
      </c>
      <c r="CJ274" s="188"/>
      <c r="CK274" s="94">
        <f>+CJ274-BN274</f>
        <v>-55809</v>
      </c>
      <c r="CL274" s="89">
        <f>+CK274/BQ274</f>
        <v>-8.0394300703984928E-2</v>
      </c>
      <c r="CM274" s="89"/>
      <c r="CN274" s="188"/>
      <c r="CO274" s="188"/>
      <c r="CP274" s="188"/>
      <c r="CQ274" s="188"/>
      <c r="CS274" s="24">
        <v>274</v>
      </c>
    </row>
    <row r="275" spans="1:97" ht="163.5" customHeight="1" x14ac:dyDescent="0.25">
      <c r="A275" s="276">
        <v>26</v>
      </c>
      <c r="B275" s="269" t="s">
        <v>4575</v>
      </c>
      <c r="C275" s="269" t="s">
        <v>1272</v>
      </c>
      <c r="D275" s="189" t="s">
        <v>631</v>
      </c>
      <c r="E275" s="276" t="s">
        <v>678</v>
      </c>
      <c r="F275" s="189" t="s">
        <v>673</v>
      </c>
      <c r="G275" s="172">
        <v>1</v>
      </c>
      <c r="H275" s="276" t="s">
        <v>674</v>
      </c>
      <c r="I275" s="276">
        <v>272</v>
      </c>
      <c r="J275" s="276" t="s">
        <v>675</v>
      </c>
      <c r="K275" s="276" t="s">
        <v>1080</v>
      </c>
      <c r="L275" s="189" t="s">
        <v>676</v>
      </c>
      <c r="M275" s="276" t="s">
        <v>633</v>
      </c>
      <c r="N275" s="189" t="s">
        <v>677</v>
      </c>
      <c r="O275" s="189" t="s">
        <v>62</v>
      </c>
      <c r="P275" s="276" t="s">
        <v>635</v>
      </c>
      <c r="Q275" s="276" t="s">
        <v>677</v>
      </c>
      <c r="R275" s="276"/>
      <c r="S275" s="276">
        <v>1</v>
      </c>
      <c r="T275" s="276" t="s">
        <v>65</v>
      </c>
      <c r="U275" s="276"/>
      <c r="V275" s="276"/>
      <c r="W275" s="78" t="s">
        <v>155</v>
      </c>
      <c r="X275" s="173" t="e">
        <f>100/COUNTIFS(($B$4:$B$5),C275,($D$4:$D$5),E275)</f>
        <v>#DIV/0!</v>
      </c>
      <c r="Y275" s="276">
        <f>COUNTIF(T275,"RS")</f>
        <v>1</v>
      </c>
      <c r="Z275" s="276">
        <v>0</v>
      </c>
      <c r="AA275" s="276" t="s">
        <v>1220</v>
      </c>
      <c r="AB275" s="276">
        <v>1</v>
      </c>
      <c r="AC275" s="275"/>
      <c r="AD275" s="189" t="s">
        <v>3865</v>
      </c>
      <c r="AE275" s="189" t="s">
        <v>3866</v>
      </c>
      <c r="AF275" s="79"/>
      <c r="AG275" s="276" t="s">
        <v>1235</v>
      </c>
      <c r="AH275" s="77"/>
      <c r="AI275" s="275">
        <v>1</v>
      </c>
      <c r="AJ275" s="83" t="str">
        <f>CONCATENATE(K275,AI275)</f>
        <v>09082721</v>
      </c>
      <c r="AK275" s="83" t="s">
        <v>3867</v>
      </c>
      <c r="AL275" s="189" t="s">
        <v>1259</v>
      </c>
      <c r="AM275" s="189"/>
      <c r="AN275" s="78" t="s">
        <v>3868</v>
      </c>
      <c r="AO275" s="78" t="s">
        <v>3731</v>
      </c>
      <c r="AP275" s="83" t="s">
        <v>3869</v>
      </c>
      <c r="AQ275" s="83" t="s">
        <v>3870</v>
      </c>
      <c r="AR275" s="83" t="s">
        <v>3871</v>
      </c>
      <c r="AS275" s="83" t="s">
        <v>3872</v>
      </c>
      <c r="AT275" s="83" t="s">
        <v>3873</v>
      </c>
      <c r="AU275" s="83" t="s">
        <v>3872</v>
      </c>
      <c r="AV275" s="83" t="s">
        <v>3535</v>
      </c>
      <c r="AW275" s="76"/>
      <c r="AX275" s="275">
        <v>1</v>
      </c>
      <c r="AY275" s="276" t="str">
        <f>CONCATENATE(AJ275,AX275)</f>
        <v>090827211</v>
      </c>
      <c r="AZ275" s="276"/>
      <c r="BA275" s="83" t="s">
        <v>3874</v>
      </c>
      <c r="BB275" s="83" t="s">
        <v>1392</v>
      </c>
      <c r="BC275" s="83" t="s">
        <v>11</v>
      </c>
      <c r="BD275" s="83" t="s">
        <v>3535</v>
      </c>
      <c r="BE275" s="83" t="s">
        <v>9</v>
      </c>
      <c r="BF275" s="83" t="s">
        <v>9</v>
      </c>
      <c r="BG275" s="83" t="s">
        <v>3875</v>
      </c>
      <c r="BH275" s="77"/>
      <c r="BI275" s="83" t="s">
        <v>3876</v>
      </c>
      <c r="BJ275" s="83" t="s">
        <v>155</v>
      </c>
      <c r="BK275" s="83" t="s">
        <v>3877</v>
      </c>
      <c r="BL275" s="83" t="s">
        <v>3878</v>
      </c>
      <c r="BM275" s="245">
        <v>2015</v>
      </c>
      <c r="BN275" s="107">
        <v>0.56999999999999995</v>
      </c>
      <c r="BO275" s="168">
        <v>0.55000000000000004</v>
      </c>
      <c r="BP275" s="107">
        <v>0.6</v>
      </c>
      <c r="BQ275" s="187">
        <f>+BO275-BN275</f>
        <v>-1.9999999999999907E-2</v>
      </c>
      <c r="BR275" s="275">
        <v>5</v>
      </c>
      <c r="BS275" s="188">
        <f>+BN275-(((BQ275)/5)*(-1))</f>
        <v>0.56599999999999995</v>
      </c>
      <c r="BT275" s="188">
        <v>0.49</v>
      </c>
      <c r="BU275" s="188">
        <f t="shared" si="132"/>
        <v>-7.999999999999996E-2</v>
      </c>
      <c r="BV275" s="188">
        <f>+BU275/BQ275</f>
        <v>4.0000000000000169</v>
      </c>
      <c r="BW275" s="188">
        <f>+BN275-(((BQ275)/5)*(-2))</f>
        <v>0.56199999999999994</v>
      </c>
      <c r="BX275" s="188">
        <v>0.42</v>
      </c>
      <c r="BY275" s="188">
        <f>+BX275-BN275</f>
        <v>-0.14999999999999997</v>
      </c>
      <c r="BZ275" s="89">
        <f>+BY275/BQ275</f>
        <v>7.5000000000000338</v>
      </c>
      <c r="CA275" s="188">
        <f>+BN275-(((BQ275)/5)*(-3))</f>
        <v>0.55800000000000005</v>
      </c>
      <c r="CB275" s="188"/>
      <c r="CC275" s="188">
        <f>+CB275-BN275</f>
        <v>-0.56999999999999995</v>
      </c>
      <c r="CD275" s="188">
        <f>+CC275/BQ275</f>
        <v>28.500000000000131</v>
      </c>
      <c r="CE275" s="188">
        <f>+BN275-(((BQ275)/5)*(-4))</f>
        <v>0.55400000000000005</v>
      </c>
      <c r="CF275" s="188"/>
      <c r="CG275" s="188">
        <f>+CF275-BN275</f>
        <v>-0.56999999999999995</v>
      </c>
      <c r="CH275" s="188">
        <f>+CG275/BQ275</f>
        <v>28.500000000000131</v>
      </c>
      <c r="CI275" s="188">
        <f>+BN275-(((BQ275)/5)*(-5))</f>
        <v>0.55000000000000004</v>
      </c>
      <c r="CJ275" s="188"/>
      <c r="CK275" s="188">
        <f>+CJ275-BN275</f>
        <v>-0.56999999999999995</v>
      </c>
      <c r="CL275" s="89">
        <f>+CK275/BQ275</f>
        <v>28.500000000000131</v>
      </c>
      <c r="CM275" s="89"/>
      <c r="CN275" s="188"/>
      <c r="CO275" s="188"/>
      <c r="CP275" s="188"/>
      <c r="CQ275" s="188"/>
      <c r="CS275" s="24">
        <v>275</v>
      </c>
    </row>
    <row r="276" spans="1:97" ht="299.25" x14ac:dyDescent="0.25">
      <c r="A276" s="276">
        <v>26</v>
      </c>
      <c r="B276" s="269" t="s">
        <v>4575</v>
      </c>
      <c r="C276" s="269" t="s">
        <v>1272</v>
      </c>
      <c r="D276" s="189" t="s">
        <v>631</v>
      </c>
      <c r="E276" s="276" t="s">
        <v>678</v>
      </c>
      <c r="F276" s="189" t="s">
        <v>673</v>
      </c>
      <c r="G276" s="172">
        <v>3</v>
      </c>
      <c r="H276" s="276" t="s">
        <v>680</v>
      </c>
      <c r="I276" s="276">
        <v>274</v>
      </c>
      <c r="J276" s="276" t="s">
        <v>681</v>
      </c>
      <c r="K276" s="276" t="s">
        <v>1082</v>
      </c>
      <c r="L276" s="189" t="s">
        <v>682</v>
      </c>
      <c r="M276" s="276" t="s">
        <v>633</v>
      </c>
      <c r="N276" s="189" t="s">
        <v>677</v>
      </c>
      <c r="O276" s="189" t="s">
        <v>62</v>
      </c>
      <c r="P276" s="276" t="s">
        <v>635</v>
      </c>
      <c r="Q276" s="276" t="s">
        <v>677</v>
      </c>
      <c r="R276" s="276">
        <v>1</v>
      </c>
      <c r="S276" s="276"/>
      <c r="T276" s="276" t="s">
        <v>65</v>
      </c>
      <c r="U276" s="276"/>
      <c r="V276" s="276"/>
      <c r="W276" s="78" t="s">
        <v>155</v>
      </c>
      <c r="X276" s="173" t="e">
        <f>100/COUNTIFS(($B$4:$B$5),C276,($D$4:$D$5),E276)</f>
        <v>#DIV/0!</v>
      </c>
      <c r="Y276" s="276">
        <f>COUNTIF(T276,"RS")</f>
        <v>1</v>
      </c>
      <c r="Z276" s="276">
        <v>0</v>
      </c>
      <c r="AA276" s="276" t="s">
        <v>1220</v>
      </c>
      <c r="AB276" s="276">
        <v>1</v>
      </c>
      <c r="AC276" s="275"/>
      <c r="AD276" s="189" t="s">
        <v>3865</v>
      </c>
      <c r="AE276" s="189" t="s">
        <v>3866</v>
      </c>
      <c r="AF276" s="79"/>
      <c r="AG276" s="276" t="s">
        <v>1236</v>
      </c>
      <c r="AH276" s="77"/>
      <c r="AI276" s="275">
        <v>1</v>
      </c>
      <c r="AJ276" s="83" t="str">
        <f>CONCATENATE(K276,AI276)</f>
        <v>09082741</v>
      </c>
      <c r="AK276" s="90" t="s">
        <v>3879</v>
      </c>
      <c r="AL276" s="90" t="s">
        <v>1259</v>
      </c>
      <c r="AM276" s="90"/>
      <c r="AN276" s="90" t="s">
        <v>3880</v>
      </c>
      <c r="AO276" s="90" t="s">
        <v>3731</v>
      </c>
      <c r="AP276" s="189" t="s">
        <v>3881</v>
      </c>
      <c r="AQ276" s="189" t="s">
        <v>3882</v>
      </c>
      <c r="AR276" s="189" t="s">
        <v>3883</v>
      </c>
      <c r="AS276" s="189" t="s">
        <v>3884</v>
      </c>
      <c r="AT276" s="189" t="s">
        <v>3885</v>
      </c>
      <c r="AU276" s="79" t="s">
        <v>3886</v>
      </c>
      <c r="AV276" s="79" t="s">
        <v>1529</v>
      </c>
      <c r="AW276" s="189" t="s">
        <v>3887</v>
      </c>
      <c r="AX276" s="275"/>
      <c r="AY276" s="276" t="str">
        <f>CONCATENATE(AJ276,AX276)</f>
        <v>09082741</v>
      </c>
      <c r="AZ276" s="276" t="s">
        <v>3888</v>
      </c>
      <c r="BA276" s="83" t="s">
        <v>3889</v>
      </c>
      <c r="BB276" s="83" t="s">
        <v>3890</v>
      </c>
      <c r="BC276" s="83" t="s">
        <v>11</v>
      </c>
      <c r="BD276" s="83" t="s">
        <v>1529</v>
      </c>
      <c r="BE276" s="83" t="s">
        <v>3891</v>
      </c>
      <c r="BF276" s="77"/>
      <c r="BG276" s="77"/>
      <c r="BH276" s="77"/>
      <c r="BI276" s="83" t="s">
        <v>3892</v>
      </c>
      <c r="BJ276" s="83" t="s">
        <v>3893</v>
      </c>
      <c r="BK276" s="83" t="s">
        <v>3877</v>
      </c>
      <c r="BL276" s="78" t="s">
        <v>3894</v>
      </c>
      <c r="BM276" s="246">
        <v>2015</v>
      </c>
      <c r="BN276" s="107">
        <v>0.76</v>
      </c>
      <c r="BO276" s="168">
        <v>0.71699999999999997</v>
      </c>
      <c r="BP276" s="107">
        <v>0.53</v>
      </c>
      <c r="BQ276" s="187">
        <f>+BO276-BN276</f>
        <v>-4.3000000000000038E-2</v>
      </c>
      <c r="BR276" s="275">
        <v>5</v>
      </c>
      <c r="BS276" s="188">
        <f>+BN276-(((BQ276)/5)*(-1))</f>
        <v>0.75139999999999996</v>
      </c>
      <c r="BT276" s="188">
        <v>0.76</v>
      </c>
      <c r="BU276" s="188">
        <f t="shared" si="132"/>
        <v>0</v>
      </c>
      <c r="BV276" s="188">
        <f>+BU276/BQ276</f>
        <v>0</v>
      </c>
      <c r="BW276" s="188">
        <f>+BN276-(((BQ276)/5)*(-2))</f>
        <v>0.74280000000000002</v>
      </c>
      <c r="BX276" s="188">
        <v>0.76</v>
      </c>
      <c r="BY276" s="188">
        <f>+BX276-BN276</f>
        <v>0</v>
      </c>
      <c r="BZ276" s="89">
        <f>+BY276/BQ276</f>
        <v>0</v>
      </c>
      <c r="CA276" s="188">
        <f>+BN276-(((BQ276)/5)*(-3))</f>
        <v>0.73419999999999996</v>
      </c>
      <c r="CB276" s="188"/>
      <c r="CC276" s="188">
        <f>+CB276-BN276</f>
        <v>-0.76</v>
      </c>
      <c r="CD276" s="188">
        <f>+CC276/BQ276</f>
        <v>17.674418604651148</v>
      </c>
      <c r="CE276" s="188">
        <f>+BN276-(((BQ276)/5)*(-4))</f>
        <v>0.72560000000000002</v>
      </c>
      <c r="CF276" s="188"/>
      <c r="CG276" s="188">
        <f>+CF276-BN276</f>
        <v>-0.76</v>
      </c>
      <c r="CH276" s="188">
        <f>+CG276/BQ276</f>
        <v>17.674418604651148</v>
      </c>
      <c r="CI276" s="188">
        <f>+BN276-(((BQ276)/5)*(-5))</f>
        <v>0.71699999999999997</v>
      </c>
      <c r="CJ276" s="188"/>
      <c r="CK276" s="188">
        <f>+CJ276-BN276</f>
        <v>-0.76</v>
      </c>
      <c r="CL276" s="89">
        <f>+CK276/BQ276</f>
        <v>17.674418604651148</v>
      </c>
      <c r="CM276" s="89"/>
      <c r="CN276" s="188"/>
      <c r="CO276" s="188"/>
      <c r="CP276" s="188"/>
      <c r="CQ276" s="188"/>
      <c r="CS276" s="2">
        <v>276</v>
      </c>
    </row>
    <row r="277" spans="1:97" ht="409.5" x14ac:dyDescent="0.25">
      <c r="A277" s="276">
        <v>21</v>
      </c>
      <c r="B277" s="269" t="s">
        <v>4575</v>
      </c>
      <c r="C277" s="269">
        <v>10</v>
      </c>
      <c r="D277" s="189" t="s">
        <v>686</v>
      </c>
      <c r="E277" s="276" t="s">
        <v>691</v>
      </c>
      <c r="F277" s="189" t="s">
        <v>687</v>
      </c>
      <c r="G277" s="172">
        <v>1</v>
      </c>
      <c r="H277" s="172"/>
      <c r="I277" s="172"/>
      <c r="J277" s="172"/>
      <c r="K277" s="276" t="s">
        <v>1086</v>
      </c>
      <c r="L277" s="189" t="s">
        <v>688</v>
      </c>
      <c r="M277" s="276" t="s">
        <v>689</v>
      </c>
      <c r="N277" s="189" t="s">
        <v>690</v>
      </c>
      <c r="O277" s="189" t="s">
        <v>78</v>
      </c>
      <c r="P277" s="276" t="s">
        <v>108</v>
      </c>
      <c r="Q277" s="276" t="s">
        <v>690</v>
      </c>
      <c r="R277" s="276"/>
      <c r="S277" s="276"/>
      <c r="T277" s="276" t="s">
        <v>79</v>
      </c>
      <c r="U277" s="276"/>
      <c r="V277" s="276"/>
      <c r="W277" s="276"/>
      <c r="X277" s="173">
        <v>100</v>
      </c>
      <c r="Y277" s="276">
        <v>0</v>
      </c>
      <c r="Z277" s="276">
        <v>1</v>
      </c>
      <c r="AA277" s="276" t="s">
        <v>1220</v>
      </c>
      <c r="AB277" s="276"/>
      <c r="AC277" s="275"/>
      <c r="AD277" s="189"/>
      <c r="AE277" s="189"/>
      <c r="AF277" s="79"/>
      <c r="AG277" s="276" t="s">
        <v>1364</v>
      </c>
      <c r="AH277" s="276"/>
      <c r="AI277" s="275">
        <v>1</v>
      </c>
      <c r="AJ277" s="83" t="s">
        <v>1919</v>
      </c>
      <c r="AK277" s="83" t="s">
        <v>1920</v>
      </c>
      <c r="AL277" s="83" t="s">
        <v>78</v>
      </c>
      <c r="AM277" s="83"/>
      <c r="AN277" s="83" t="s">
        <v>1369</v>
      </c>
      <c r="AO277" s="83" t="s">
        <v>1921</v>
      </c>
      <c r="AP277" s="83" t="s">
        <v>1922</v>
      </c>
      <c r="AQ277" s="83" t="s">
        <v>1923</v>
      </c>
      <c r="AR277" s="275" t="s">
        <v>1924</v>
      </c>
      <c r="AS277" s="92"/>
      <c r="AT277" s="76"/>
      <c r="AU277" s="76"/>
      <c r="AV277" s="76"/>
      <c r="AW277" s="275"/>
      <c r="AX277" s="275"/>
      <c r="AY277" s="276"/>
      <c r="AZ277" s="276" t="s">
        <v>1924</v>
      </c>
      <c r="BA277" s="78" t="s">
        <v>1925</v>
      </c>
      <c r="BB277" s="83" t="s">
        <v>1229</v>
      </c>
      <c r="BC277" s="275" t="s">
        <v>11</v>
      </c>
      <c r="BD277" s="275" t="s">
        <v>11</v>
      </c>
      <c r="BE277" s="275" t="s">
        <v>9</v>
      </c>
      <c r="BF277" s="275" t="s">
        <v>9</v>
      </c>
      <c r="BG277" s="83" t="s">
        <v>1926</v>
      </c>
      <c r="BH277" s="83" t="s">
        <v>1927</v>
      </c>
      <c r="BI277" s="276" t="s">
        <v>1928</v>
      </c>
      <c r="BJ277" s="83" t="s">
        <v>1929</v>
      </c>
      <c r="BK277" s="83" t="s">
        <v>1930</v>
      </c>
      <c r="BL277" s="275">
        <v>2408900</v>
      </c>
      <c r="BM277" s="275">
        <v>2015</v>
      </c>
      <c r="BN277" s="276">
        <v>1</v>
      </c>
      <c r="BO277" s="276">
        <v>5</v>
      </c>
      <c r="BP277" s="77"/>
      <c r="BQ277" s="93">
        <v>4</v>
      </c>
      <c r="BR277" s="275">
        <v>5</v>
      </c>
      <c r="BS277" s="176">
        <v>1.8</v>
      </c>
      <c r="BT277" s="176">
        <v>1</v>
      </c>
      <c r="BU277" s="176">
        <v>0</v>
      </c>
      <c r="BV277" s="188">
        <v>0</v>
      </c>
      <c r="BW277" s="178">
        <v>2.6</v>
      </c>
      <c r="BX277" s="176">
        <v>2</v>
      </c>
      <c r="BY277" s="176">
        <v>1</v>
      </c>
      <c r="BZ277" s="89">
        <v>0.25</v>
      </c>
      <c r="CA277" s="178">
        <v>3.4000000000000004</v>
      </c>
      <c r="CB277" s="176"/>
      <c r="CC277" s="176">
        <v>-1</v>
      </c>
      <c r="CD277" s="188">
        <v>-0.25</v>
      </c>
      <c r="CE277" s="178">
        <v>4.2</v>
      </c>
      <c r="CF277" s="188"/>
      <c r="CG277" s="94">
        <v>-1</v>
      </c>
      <c r="CH277" s="188">
        <v>-0.25</v>
      </c>
      <c r="CI277" s="94">
        <v>5</v>
      </c>
      <c r="CJ277" s="94"/>
      <c r="CK277" s="94">
        <v>-1</v>
      </c>
      <c r="CL277" s="89">
        <v>-0.25</v>
      </c>
      <c r="CM277" s="188"/>
      <c r="CN277" s="188"/>
      <c r="CO277" s="188"/>
      <c r="CP277" s="188"/>
      <c r="CQ277" s="188"/>
      <c r="CS277" s="24">
        <v>277</v>
      </c>
    </row>
    <row r="278" spans="1:97" ht="409.5" x14ac:dyDescent="0.25">
      <c r="A278" s="276">
        <v>21</v>
      </c>
      <c r="B278" s="269" t="s">
        <v>4575</v>
      </c>
      <c r="C278" s="269">
        <v>10</v>
      </c>
      <c r="D278" s="189" t="s">
        <v>686</v>
      </c>
      <c r="E278" s="276" t="s">
        <v>694</v>
      </c>
      <c r="F278" s="189" t="s">
        <v>692</v>
      </c>
      <c r="G278" s="172">
        <v>1</v>
      </c>
      <c r="H278" s="172"/>
      <c r="I278" s="172"/>
      <c r="J278" s="172"/>
      <c r="K278" s="276" t="s">
        <v>1087</v>
      </c>
      <c r="L278" s="189" t="s">
        <v>693</v>
      </c>
      <c r="M278" s="276" t="s">
        <v>689</v>
      </c>
      <c r="N278" s="189" t="s">
        <v>690</v>
      </c>
      <c r="O278" s="189" t="s">
        <v>137</v>
      </c>
      <c r="P278" s="276" t="s">
        <v>108</v>
      </c>
      <c r="Q278" s="276" t="s">
        <v>690</v>
      </c>
      <c r="R278" s="276"/>
      <c r="S278" s="276"/>
      <c r="T278" s="276" t="s">
        <v>138</v>
      </c>
      <c r="U278" s="276"/>
      <c r="V278" s="276"/>
      <c r="W278" s="276"/>
      <c r="X278" s="173">
        <v>50</v>
      </c>
      <c r="Y278" s="276">
        <v>0</v>
      </c>
      <c r="Z278" s="276">
        <v>1</v>
      </c>
      <c r="AA278" s="276" t="s">
        <v>1220</v>
      </c>
      <c r="AB278" s="276"/>
      <c r="AC278" s="275"/>
      <c r="AD278" s="189"/>
      <c r="AE278" s="189"/>
      <c r="AF278" s="79"/>
      <c r="AG278" s="276" t="s">
        <v>1364</v>
      </c>
      <c r="AH278" s="276"/>
      <c r="AI278" s="275">
        <v>1</v>
      </c>
      <c r="AJ278" s="83" t="s">
        <v>1931</v>
      </c>
      <c r="AK278" s="83" t="s">
        <v>1932</v>
      </c>
      <c r="AL278" s="78" t="s">
        <v>78</v>
      </c>
      <c r="AM278" s="78"/>
      <c r="AN278" s="78" t="s">
        <v>1369</v>
      </c>
      <c r="AO278" s="83" t="s">
        <v>1933</v>
      </c>
      <c r="AP278" s="189" t="s">
        <v>1934</v>
      </c>
      <c r="AQ278" s="189" t="s">
        <v>1935</v>
      </c>
      <c r="AR278" s="275" t="s">
        <v>1924</v>
      </c>
      <c r="AS278" s="76"/>
      <c r="AT278" s="76"/>
      <c r="AU278" s="76"/>
      <c r="AV278" s="76"/>
      <c r="AW278" s="76"/>
      <c r="AX278" s="275">
        <v>1</v>
      </c>
      <c r="AY278" s="276" t="s">
        <v>1936</v>
      </c>
      <c r="AZ278" s="276" t="s">
        <v>1924</v>
      </c>
      <c r="BA278" s="78" t="s">
        <v>1925</v>
      </c>
      <c r="BB278" s="83" t="s">
        <v>1229</v>
      </c>
      <c r="BC278" s="275" t="s">
        <v>11</v>
      </c>
      <c r="BD278" s="275" t="s">
        <v>11</v>
      </c>
      <c r="BE278" s="275" t="s">
        <v>9</v>
      </c>
      <c r="BF278" s="275" t="s">
        <v>9</v>
      </c>
      <c r="BG278" s="83" t="s">
        <v>1937</v>
      </c>
      <c r="BH278" s="189" t="s">
        <v>1938</v>
      </c>
      <c r="BI278" s="276" t="s">
        <v>1939</v>
      </c>
      <c r="BJ278" s="83" t="s">
        <v>1929</v>
      </c>
      <c r="BK278" s="83" t="s">
        <v>1930</v>
      </c>
      <c r="BL278" s="275">
        <v>2408900</v>
      </c>
      <c r="BM278" s="275">
        <v>2015</v>
      </c>
      <c r="BN278" s="276">
        <v>0</v>
      </c>
      <c r="BO278" s="276">
        <v>10</v>
      </c>
      <c r="BP278" s="77"/>
      <c r="BQ278" s="172">
        <v>10</v>
      </c>
      <c r="BR278" s="275">
        <v>5</v>
      </c>
      <c r="BS278" s="176">
        <v>2</v>
      </c>
      <c r="BT278" s="176">
        <v>2</v>
      </c>
      <c r="BU278" s="176">
        <v>2</v>
      </c>
      <c r="BV278" s="188">
        <v>0.2</v>
      </c>
      <c r="BW278" s="176">
        <v>4</v>
      </c>
      <c r="BX278" s="176">
        <v>2</v>
      </c>
      <c r="BY278" s="176">
        <v>2</v>
      </c>
      <c r="BZ278" s="89">
        <v>0.2</v>
      </c>
      <c r="CA278" s="176">
        <v>6</v>
      </c>
      <c r="CB278" s="176"/>
      <c r="CC278" s="176">
        <v>0</v>
      </c>
      <c r="CD278" s="188">
        <v>0</v>
      </c>
      <c r="CE278" s="176">
        <v>8</v>
      </c>
      <c r="CF278" s="188"/>
      <c r="CG278" s="176">
        <v>0</v>
      </c>
      <c r="CH278" s="188">
        <v>0</v>
      </c>
      <c r="CI278" s="94">
        <v>10</v>
      </c>
      <c r="CJ278" s="94"/>
      <c r="CK278" s="94">
        <v>0</v>
      </c>
      <c r="CL278" s="89">
        <v>0</v>
      </c>
      <c r="CM278" s="188"/>
      <c r="CN278" s="188"/>
      <c r="CO278" s="188"/>
      <c r="CP278" s="188"/>
      <c r="CQ278" s="188"/>
      <c r="CS278" s="24">
        <v>278</v>
      </c>
    </row>
    <row r="279" spans="1:97" ht="228" x14ac:dyDescent="0.25">
      <c r="A279" s="276">
        <v>21</v>
      </c>
      <c r="B279" s="269" t="s">
        <v>4575</v>
      </c>
      <c r="C279" s="269">
        <v>10</v>
      </c>
      <c r="D279" s="189" t="s">
        <v>686</v>
      </c>
      <c r="E279" s="276" t="s">
        <v>694</v>
      </c>
      <c r="F279" s="189" t="s">
        <v>692</v>
      </c>
      <c r="G279" s="172">
        <v>2</v>
      </c>
      <c r="H279" s="172"/>
      <c r="I279" s="172"/>
      <c r="J279" s="172"/>
      <c r="K279" s="276" t="s">
        <v>1088</v>
      </c>
      <c r="L279" s="189" t="s">
        <v>695</v>
      </c>
      <c r="M279" s="276" t="s">
        <v>689</v>
      </c>
      <c r="N279" s="189" t="s">
        <v>690</v>
      </c>
      <c r="O279" s="189" t="s">
        <v>137</v>
      </c>
      <c r="P279" s="276" t="s">
        <v>108</v>
      </c>
      <c r="Q279" s="276" t="s">
        <v>690</v>
      </c>
      <c r="R279" s="276"/>
      <c r="S279" s="276"/>
      <c r="T279" s="276" t="s">
        <v>138</v>
      </c>
      <c r="U279" s="276"/>
      <c r="V279" s="276"/>
      <c r="W279" s="276"/>
      <c r="X279" s="173">
        <v>50</v>
      </c>
      <c r="Y279" s="276">
        <v>0</v>
      </c>
      <c r="Z279" s="276">
        <v>1</v>
      </c>
      <c r="AA279" s="276" t="s">
        <v>1220</v>
      </c>
      <c r="AB279" s="276"/>
      <c r="AC279" s="275"/>
      <c r="AD279" s="189"/>
      <c r="AE279" s="189"/>
      <c r="AF279" s="79"/>
      <c r="AG279" s="276" t="s">
        <v>1364</v>
      </c>
      <c r="AH279" s="276"/>
      <c r="AI279" s="275">
        <v>1</v>
      </c>
      <c r="AJ279" s="83" t="s">
        <v>1940</v>
      </c>
      <c r="AK279" s="83" t="s">
        <v>1941</v>
      </c>
      <c r="AL279" s="78" t="s">
        <v>137</v>
      </c>
      <c r="AM279" s="78"/>
      <c r="AN279" s="78" t="s">
        <v>1369</v>
      </c>
      <c r="AO279" s="83" t="s">
        <v>1942</v>
      </c>
      <c r="AP279" s="189" t="s">
        <v>1942</v>
      </c>
      <c r="AQ279" s="189" t="s">
        <v>1942</v>
      </c>
      <c r="AR279" s="275" t="s">
        <v>1924</v>
      </c>
      <c r="AS279" s="76"/>
      <c r="AT279" s="76"/>
      <c r="AU279" s="76"/>
      <c r="AV279" s="76"/>
      <c r="AW279" s="76"/>
      <c r="AX279" s="275">
        <v>1</v>
      </c>
      <c r="AY279" s="276" t="s">
        <v>1943</v>
      </c>
      <c r="AZ279" s="276" t="s">
        <v>1924</v>
      </c>
      <c r="BA279" s="78" t="s">
        <v>1925</v>
      </c>
      <c r="BB279" s="83" t="s">
        <v>1229</v>
      </c>
      <c r="BC279" s="275" t="s">
        <v>11</v>
      </c>
      <c r="BD279" s="275" t="s">
        <v>11</v>
      </c>
      <c r="BE279" s="275" t="s">
        <v>9</v>
      </c>
      <c r="BF279" s="275" t="s">
        <v>9</v>
      </c>
      <c r="BG279" s="83" t="s">
        <v>1944</v>
      </c>
      <c r="BH279" s="83" t="s">
        <v>1945</v>
      </c>
      <c r="BI279" s="276" t="s">
        <v>1939</v>
      </c>
      <c r="BJ279" s="83" t="s">
        <v>1929</v>
      </c>
      <c r="BK279" s="83" t="s">
        <v>1930</v>
      </c>
      <c r="BL279" s="275">
        <v>2408900</v>
      </c>
      <c r="BM279" s="275">
        <v>2015</v>
      </c>
      <c r="BN279" s="276">
        <v>0</v>
      </c>
      <c r="BO279" s="276">
        <v>1</v>
      </c>
      <c r="BP279" s="77"/>
      <c r="BQ279" s="172">
        <v>1</v>
      </c>
      <c r="BR279" s="275">
        <v>5</v>
      </c>
      <c r="BS279" s="178">
        <v>0.2</v>
      </c>
      <c r="BT279" s="176">
        <v>0</v>
      </c>
      <c r="BU279" s="176">
        <v>0</v>
      </c>
      <c r="BV279" s="188">
        <v>0</v>
      </c>
      <c r="BW279" s="94">
        <v>0.4</v>
      </c>
      <c r="BX279" s="176">
        <v>0</v>
      </c>
      <c r="BY279" s="176">
        <v>0</v>
      </c>
      <c r="BZ279" s="89">
        <v>0</v>
      </c>
      <c r="CA279" s="94">
        <v>0.60000000000000009</v>
      </c>
      <c r="CB279" s="94"/>
      <c r="CC279" s="94">
        <v>0</v>
      </c>
      <c r="CD279" s="188">
        <v>0</v>
      </c>
      <c r="CE279" s="178">
        <v>0.8</v>
      </c>
      <c r="CF279" s="188"/>
      <c r="CG279" s="176">
        <v>0</v>
      </c>
      <c r="CH279" s="188">
        <v>0</v>
      </c>
      <c r="CI279" s="176">
        <v>1</v>
      </c>
      <c r="CJ279" s="188"/>
      <c r="CK279" s="188">
        <v>0</v>
      </c>
      <c r="CL279" s="89">
        <v>0</v>
      </c>
      <c r="CM279" s="188"/>
      <c r="CN279" s="188"/>
      <c r="CO279" s="188"/>
      <c r="CP279" s="188"/>
      <c r="CQ279" s="188"/>
      <c r="CS279" s="2">
        <v>279</v>
      </c>
    </row>
    <row r="280" spans="1:97" ht="409.5" x14ac:dyDescent="0.25">
      <c r="A280" s="276">
        <v>20</v>
      </c>
      <c r="B280" s="269" t="s">
        <v>4575</v>
      </c>
      <c r="C280" s="269">
        <v>10</v>
      </c>
      <c r="D280" s="189" t="s">
        <v>686</v>
      </c>
      <c r="E280" s="276" t="s">
        <v>699</v>
      </c>
      <c r="F280" s="189" t="s">
        <v>697</v>
      </c>
      <c r="G280" s="172">
        <v>1</v>
      </c>
      <c r="H280" s="172"/>
      <c r="I280" s="172"/>
      <c r="J280" s="172"/>
      <c r="K280" s="276" t="s">
        <v>1089</v>
      </c>
      <c r="L280" s="189" t="s">
        <v>698</v>
      </c>
      <c r="M280" s="276" t="s">
        <v>689</v>
      </c>
      <c r="N280" s="276" t="s">
        <v>690</v>
      </c>
      <c r="O280" s="189" t="s">
        <v>78</v>
      </c>
      <c r="P280" s="276" t="s">
        <v>108</v>
      </c>
      <c r="Q280" s="276" t="s">
        <v>690</v>
      </c>
      <c r="R280" s="276"/>
      <c r="S280" s="276"/>
      <c r="T280" s="276" t="s">
        <v>79</v>
      </c>
      <c r="U280" s="276"/>
      <c r="V280" s="276"/>
      <c r="W280" s="276"/>
      <c r="X280" s="173">
        <v>16.666666666666668</v>
      </c>
      <c r="Y280" s="276">
        <v>0</v>
      </c>
      <c r="Z280" s="276">
        <v>1</v>
      </c>
      <c r="AA280" s="276" t="s">
        <v>1220</v>
      </c>
      <c r="AB280" s="276"/>
      <c r="AC280" s="275"/>
      <c r="AD280" s="189"/>
      <c r="AE280" s="189"/>
      <c r="AF280" s="79"/>
      <c r="AG280" s="276" t="s">
        <v>1364</v>
      </c>
      <c r="AH280" s="276"/>
      <c r="AI280" s="275">
        <v>1</v>
      </c>
      <c r="AJ280" s="83" t="s">
        <v>1946</v>
      </c>
      <c r="AK280" s="83" t="s">
        <v>3570</v>
      </c>
      <c r="AL280" s="83" t="s">
        <v>78</v>
      </c>
      <c r="AM280" s="83"/>
      <c r="AN280" s="83" t="s">
        <v>9</v>
      </c>
      <c r="AO280" s="83" t="s">
        <v>1369</v>
      </c>
      <c r="AP280" s="95" t="s">
        <v>1947</v>
      </c>
      <c r="AQ280" s="83" t="s">
        <v>1948</v>
      </c>
      <c r="AR280" s="83" t="s">
        <v>1949</v>
      </c>
      <c r="AS280" s="83" t="s">
        <v>1950</v>
      </c>
      <c r="AT280" s="189"/>
      <c r="AU280" s="79"/>
      <c r="AV280" s="83" t="s">
        <v>1951</v>
      </c>
      <c r="AW280" s="83"/>
      <c r="AX280" s="275">
        <v>1</v>
      </c>
      <c r="AY280" s="276" t="s">
        <v>1952</v>
      </c>
      <c r="AZ280" s="276" t="s">
        <v>1924</v>
      </c>
      <c r="BA280" s="83" t="s">
        <v>1925</v>
      </c>
      <c r="BB280" s="189" t="s">
        <v>1229</v>
      </c>
      <c r="BC280" s="276" t="s">
        <v>11</v>
      </c>
      <c r="BD280" s="276" t="s">
        <v>11</v>
      </c>
      <c r="BE280" s="83" t="s">
        <v>9</v>
      </c>
      <c r="BF280" s="83" t="s">
        <v>9</v>
      </c>
      <c r="BG280" s="83" t="s">
        <v>1953</v>
      </c>
      <c r="BH280" s="96" t="s">
        <v>1954</v>
      </c>
      <c r="BI280" s="83" t="s">
        <v>1955</v>
      </c>
      <c r="BJ280" s="83" t="s">
        <v>1956</v>
      </c>
      <c r="BK280" s="83" t="s">
        <v>1957</v>
      </c>
      <c r="BL280" s="276">
        <v>2408900</v>
      </c>
      <c r="BM280" s="83">
        <v>2015</v>
      </c>
      <c r="BN280" s="97">
        <v>0</v>
      </c>
      <c r="BO280" s="98">
        <v>25</v>
      </c>
      <c r="BP280" s="83"/>
      <c r="BQ280" s="173">
        <v>25</v>
      </c>
      <c r="BR280" s="275">
        <v>5</v>
      </c>
      <c r="BS280" s="176">
        <v>5</v>
      </c>
      <c r="BT280" s="94">
        <v>9</v>
      </c>
      <c r="BU280" s="94">
        <v>9</v>
      </c>
      <c r="BV280" s="188">
        <v>0.36</v>
      </c>
      <c r="BW280" s="94">
        <v>10</v>
      </c>
      <c r="BX280" s="94">
        <v>17</v>
      </c>
      <c r="BY280" s="94">
        <v>17</v>
      </c>
      <c r="BZ280" s="89">
        <v>0.68</v>
      </c>
      <c r="CA280" s="94">
        <v>15</v>
      </c>
      <c r="CB280" s="94"/>
      <c r="CC280" s="94">
        <v>0</v>
      </c>
      <c r="CD280" s="188">
        <v>0</v>
      </c>
      <c r="CE280" s="94">
        <v>20</v>
      </c>
      <c r="CF280" s="188"/>
      <c r="CG280" s="94">
        <v>0</v>
      </c>
      <c r="CH280" s="188">
        <v>0</v>
      </c>
      <c r="CI280" s="94">
        <v>25</v>
      </c>
      <c r="CJ280" s="188"/>
      <c r="CK280" s="94">
        <v>0</v>
      </c>
      <c r="CL280" s="89">
        <v>0</v>
      </c>
      <c r="CM280" s="189"/>
      <c r="CN280" s="189"/>
      <c r="CO280" s="188"/>
      <c r="CP280" s="188"/>
      <c r="CQ280" s="188"/>
      <c r="CS280" s="24">
        <v>280</v>
      </c>
    </row>
    <row r="281" spans="1:97" ht="409.5" x14ac:dyDescent="0.25">
      <c r="A281" s="276">
        <v>20</v>
      </c>
      <c r="B281" s="269" t="s">
        <v>4575</v>
      </c>
      <c r="C281" s="269">
        <v>10</v>
      </c>
      <c r="D281" s="189" t="s">
        <v>686</v>
      </c>
      <c r="E281" s="276" t="s">
        <v>699</v>
      </c>
      <c r="F281" s="189" t="s">
        <v>697</v>
      </c>
      <c r="G281" s="172">
        <v>1</v>
      </c>
      <c r="H281" s="172"/>
      <c r="I281" s="172"/>
      <c r="J281" s="172"/>
      <c r="K281" s="276" t="s">
        <v>1089</v>
      </c>
      <c r="L281" s="189" t="s">
        <v>698</v>
      </c>
      <c r="M281" s="276" t="s">
        <v>689</v>
      </c>
      <c r="N281" s="276" t="s">
        <v>690</v>
      </c>
      <c r="O281" s="189" t="s">
        <v>78</v>
      </c>
      <c r="P281" s="276" t="s">
        <v>108</v>
      </c>
      <c r="Q281" s="276" t="s">
        <v>690</v>
      </c>
      <c r="R281" s="276"/>
      <c r="S281" s="276"/>
      <c r="T281" s="276"/>
      <c r="U281" s="276"/>
      <c r="V281" s="276"/>
      <c r="W281" s="276"/>
      <c r="X281" s="173"/>
      <c r="Y281" s="276">
        <v>0</v>
      </c>
      <c r="Z281" s="276">
        <v>1</v>
      </c>
      <c r="AA281" s="276" t="s">
        <v>1220</v>
      </c>
      <c r="AB281" s="276"/>
      <c r="AC281" s="275"/>
      <c r="AD281" s="189"/>
      <c r="AE281" s="189"/>
      <c r="AF281" s="79"/>
      <c r="AG281" s="276" t="s">
        <v>1364</v>
      </c>
      <c r="AH281" s="276"/>
      <c r="AI281" s="275">
        <v>2</v>
      </c>
      <c r="AJ281" s="83" t="s">
        <v>1958</v>
      </c>
      <c r="AK281" s="83" t="s">
        <v>3571</v>
      </c>
      <c r="AL281" s="83" t="s">
        <v>78</v>
      </c>
      <c r="AM281" s="83"/>
      <c r="AN281" s="83" t="s">
        <v>9</v>
      </c>
      <c r="AO281" s="83" t="s">
        <v>1369</v>
      </c>
      <c r="AP281" s="83" t="s">
        <v>1959</v>
      </c>
      <c r="AQ281" s="83" t="s">
        <v>1960</v>
      </c>
      <c r="AR281" s="189" t="s">
        <v>1961</v>
      </c>
      <c r="AS281" s="79" t="s">
        <v>1924</v>
      </c>
      <c r="AT281" s="189"/>
      <c r="AU281" s="79"/>
      <c r="AV281" s="83" t="s">
        <v>1951</v>
      </c>
      <c r="AW281" s="76"/>
      <c r="AX281" s="275">
        <v>1</v>
      </c>
      <c r="AY281" s="276" t="s">
        <v>1962</v>
      </c>
      <c r="AZ281" s="276" t="s">
        <v>1924</v>
      </c>
      <c r="BA281" s="276" t="s">
        <v>1925</v>
      </c>
      <c r="BB281" s="189" t="s">
        <v>1229</v>
      </c>
      <c r="BC281" s="276" t="s">
        <v>11</v>
      </c>
      <c r="BD281" s="276" t="s">
        <v>11</v>
      </c>
      <c r="BE281" s="83" t="s">
        <v>9</v>
      </c>
      <c r="BF281" s="83" t="s">
        <v>9</v>
      </c>
      <c r="BG281" s="83" t="s">
        <v>1963</v>
      </c>
      <c r="BH281" s="96" t="s">
        <v>1964</v>
      </c>
      <c r="BI281" s="83" t="s">
        <v>1955</v>
      </c>
      <c r="BJ281" s="83" t="s">
        <v>1965</v>
      </c>
      <c r="BK281" s="83" t="s">
        <v>1966</v>
      </c>
      <c r="BL281" s="276">
        <v>2408900</v>
      </c>
      <c r="BM281" s="275">
        <v>2015</v>
      </c>
      <c r="BN281" s="97">
        <v>0</v>
      </c>
      <c r="BO281" s="98">
        <v>5</v>
      </c>
      <c r="BP281" s="83"/>
      <c r="BQ281" s="173">
        <v>5</v>
      </c>
      <c r="BR281" s="275">
        <v>5</v>
      </c>
      <c r="BS281" s="99">
        <v>1</v>
      </c>
      <c r="BT281" s="99">
        <v>1</v>
      </c>
      <c r="BU281" s="94">
        <v>1</v>
      </c>
      <c r="BV281" s="188">
        <v>0.2</v>
      </c>
      <c r="BW281" s="94">
        <v>2</v>
      </c>
      <c r="BX281" s="176">
        <v>2</v>
      </c>
      <c r="BY281" s="94">
        <v>2</v>
      </c>
      <c r="BZ281" s="188">
        <v>0.4</v>
      </c>
      <c r="CA281" s="94">
        <v>3</v>
      </c>
      <c r="CB281" s="94">
        <v>3</v>
      </c>
      <c r="CC281" s="94">
        <v>3</v>
      </c>
      <c r="CD281" s="188">
        <v>0.6</v>
      </c>
      <c r="CE281" s="94">
        <v>4</v>
      </c>
      <c r="CF281" s="188"/>
      <c r="CG281" s="94">
        <v>0</v>
      </c>
      <c r="CH281" s="188">
        <v>0</v>
      </c>
      <c r="CI281" s="94">
        <v>5</v>
      </c>
      <c r="CJ281" s="188"/>
      <c r="CK281" s="188">
        <v>0</v>
      </c>
      <c r="CL281" s="188">
        <v>0</v>
      </c>
      <c r="CM281" s="89"/>
      <c r="CN281" s="188"/>
      <c r="CO281" s="188"/>
      <c r="CP281" s="188"/>
      <c r="CQ281" s="188"/>
      <c r="CS281" s="24">
        <v>281</v>
      </c>
    </row>
    <row r="282" spans="1:97" ht="285" customHeight="1" x14ac:dyDescent="0.25">
      <c r="A282" s="276">
        <v>20</v>
      </c>
      <c r="B282" s="269" t="s">
        <v>4575</v>
      </c>
      <c r="C282" s="269">
        <v>10</v>
      </c>
      <c r="D282" s="189" t="s">
        <v>686</v>
      </c>
      <c r="E282" s="276" t="s">
        <v>699</v>
      </c>
      <c r="F282" s="189" t="s">
        <v>697</v>
      </c>
      <c r="G282" s="172">
        <v>1</v>
      </c>
      <c r="H282" s="172"/>
      <c r="I282" s="172"/>
      <c r="J282" s="172"/>
      <c r="K282" s="276" t="s">
        <v>1089</v>
      </c>
      <c r="L282" s="189" t="s">
        <v>698</v>
      </c>
      <c r="M282" s="276" t="s">
        <v>689</v>
      </c>
      <c r="N282" s="276" t="s">
        <v>690</v>
      </c>
      <c r="O282" s="189" t="s">
        <v>78</v>
      </c>
      <c r="P282" s="276" t="s">
        <v>108</v>
      </c>
      <c r="Q282" s="276" t="s">
        <v>690</v>
      </c>
      <c r="R282" s="276"/>
      <c r="S282" s="276"/>
      <c r="T282" s="276"/>
      <c r="U282" s="276"/>
      <c r="V282" s="276"/>
      <c r="W282" s="276"/>
      <c r="X282" s="173"/>
      <c r="Y282" s="276">
        <v>0</v>
      </c>
      <c r="Z282" s="276">
        <v>1</v>
      </c>
      <c r="AA282" s="276" t="s">
        <v>1220</v>
      </c>
      <c r="AB282" s="276"/>
      <c r="AC282" s="275">
        <v>17</v>
      </c>
      <c r="AD282" s="83" t="s">
        <v>1967</v>
      </c>
      <c r="AE282" s="83" t="s">
        <v>1968</v>
      </c>
      <c r="AF282" s="83" t="s">
        <v>1969</v>
      </c>
      <c r="AG282" s="189" t="s">
        <v>1970</v>
      </c>
      <c r="AH282" s="189"/>
      <c r="AI282" s="275">
        <v>3</v>
      </c>
      <c r="AJ282" s="83" t="s">
        <v>1971</v>
      </c>
      <c r="AK282" s="83" t="s">
        <v>3572</v>
      </c>
      <c r="AL282" s="189" t="s">
        <v>78</v>
      </c>
      <c r="AM282" s="189"/>
      <c r="AN282" s="83" t="s">
        <v>9</v>
      </c>
      <c r="AO282" s="83" t="s">
        <v>10</v>
      </c>
      <c r="AP282" s="83" t="s">
        <v>1972</v>
      </c>
      <c r="AQ282" s="83" t="s">
        <v>1973</v>
      </c>
      <c r="AR282" s="189" t="s">
        <v>1974</v>
      </c>
      <c r="AS282" s="189" t="s">
        <v>1975</v>
      </c>
      <c r="AT282" s="189" t="s">
        <v>1976</v>
      </c>
      <c r="AU282" s="189" t="s">
        <v>1975</v>
      </c>
      <c r="AV282" s="275" t="s">
        <v>1977</v>
      </c>
      <c r="AW282" s="96" t="s">
        <v>1978</v>
      </c>
      <c r="AX282" s="275">
        <v>1</v>
      </c>
      <c r="AY282" s="276" t="s">
        <v>1979</v>
      </c>
      <c r="AZ282" s="276" t="s">
        <v>1980</v>
      </c>
      <c r="BA282" s="189" t="s">
        <v>1981</v>
      </c>
      <c r="BB282" s="83" t="s">
        <v>1982</v>
      </c>
      <c r="BC282" s="189" t="s">
        <v>1983</v>
      </c>
      <c r="BD282" s="275" t="s">
        <v>1977</v>
      </c>
      <c r="BE282" s="275" t="s">
        <v>9</v>
      </c>
      <c r="BF282" s="275" t="s">
        <v>9</v>
      </c>
      <c r="BG282" s="95" t="s">
        <v>1984</v>
      </c>
      <c r="BH282" s="96" t="s">
        <v>1985</v>
      </c>
      <c r="BI282" s="189" t="s">
        <v>1986</v>
      </c>
      <c r="BJ282" s="189" t="s">
        <v>1987</v>
      </c>
      <c r="BK282" s="189" t="s">
        <v>1988</v>
      </c>
      <c r="BL282" s="276" t="s">
        <v>1989</v>
      </c>
      <c r="BM282" s="275">
        <v>2015</v>
      </c>
      <c r="BN282" s="100">
        <v>0.66666666666666663</v>
      </c>
      <c r="BO282" s="100">
        <v>1</v>
      </c>
      <c r="BP282" s="100">
        <v>1</v>
      </c>
      <c r="BQ282" s="187">
        <v>0.33333333333333337</v>
      </c>
      <c r="BR282" s="101">
        <v>5</v>
      </c>
      <c r="BS282" s="102">
        <v>0.73333333333333328</v>
      </c>
      <c r="BT282" s="103">
        <v>0.77777777777777779</v>
      </c>
      <c r="BU282" s="102">
        <v>0.11111111111111116</v>
      </c>
      <c r="BV282" s="102">
        <v>0.33333333333333343</v>
      </c>
      <c r="BW282" s="102">
        <v>0.8</v>
      </c>
      <c r="BX282" s="102">
        <v>0.88888888888888884</v>
      </c>
      <c r="BY282" s="102">
        <v>0.22222222222222221</v>
      </c>
      <c r="BZ282" s="104">
        <v>0.66666666666666652</v>
      </c>
      <c r="CA282" s="102">
        <v>0.8666666666666667</v>
      </c>
      <c r="CB282" s="102"/>
      <c r="CC282" s="94">
        <v>-0.66666666666666663</v>
      </c>
      <c r="CD282" s="188">
        <v>-1.9999999999999998</v>
      </c>
      <c r="CE282" s="102">
        <v>0.93333333333333335</v>
      </c>
      <c r="CF282" s="102"/>
      <c r="CG282" s="102">
        <v>-0.66666666666666663</v>
      </c>
      <c r="CH282" s="102">
        <v>-1.9999999999999998</v>
      </c>
      <c r="CI282" s="102">
        <v>1</v>
      </c>
      <c r="CJ282" s="102"/>
      <c r="CK282" s="102">
        <v>-0.66666666666666663</v>
      </c>
      <c r="CL282" s="102">
        <v>-1.9999999999999998</v>
      </c>
      <c r="CM282" s="89"/>
      <c r="CN282" s="188"/>
      <c r="CO282" s="188"/>
      <c r="CP282" s="188"/>
      <c r="CQ282" s="188"/>
      <c r="CS282" s="2">
        <v>282</v>
      </c>
    </row>
    <row r="283" spans="1:97" ht="256.5" customHeight="1" x14ac:dyDescent="0.25">
      <c r="A283" s="276">
        <v>20</v>
      </c>
      <c r="B283" s="269" t="s">
        <v>4575</v>
      </c>
      <c r="C283" s="83">
        <v>10</v>
      </c>
      <c r="D283" s="83" t="s">
        <v>686</v>
      </c>
      <c r="E283" s="83" t="s">
        <v>699</v>
      </c>
      <c r="F283" s="83" t="s">
        <v>697</v>
      </c>
      <c r="G283" s="83">
        <v>3</v>
      </c>
      <c r="H283" s="83"/>
      <c r="I283" s="83"/>
      <c r="J283" s="83"/>
      <c r="K283" s="83" t="s">
        <v>1091</v>
      </c>
      <c r="L283" s="83" t="s">
        <v>701</v>
      </c>
      <c r="M283" s="276" t="s">
        <v>689</v>
      </c>
      <c r="N283" s="276" t="s">
        <v>690</v>
      </c>
      <c r="O283" s="83" t="s">
        <v>78</v>
      </c>
      <c r="P283" s="83" t="s">
        <v>108</v>
      </c>
      <c r="Q283" s="83" t="s">
        <v>690</v>
      </c>
      <c r="R283" s="83"/>
      <c r="S283" s="83"/>
      <c r="T283" s="83" t="s">
        <v>79</v>
      </c>
      <c r="U283" s="83"/>
      <c r="V283" s="83"/>
      <c r="W283" s="83"/>
      <c r="X283" s="83">
        <v>16.666666666666668</v>
      </c>
      <c r="Y283" s="83">
        <v>0</v>
      </c>
      <c r="Z283" s="83">
        <v>1</v>
      </c>
      <c r="AA283" s="276" t="s">
        <v>1220</v>
      </c>
      <c r="AB283" s="83"/>
      <c r="AC283" s="83"/>
      <c r="AD283" s="83"/>
      <c r="AE283" s="83"/>
      <c r="AF283" s="83"/>
      <c r="AG283" s="276" t="s">
        <v>1364</v>
      </c>
      <c r="AH283" s="83"/>
      <c r="AI283" s="83">
        <v>1</v>
      </c>
      <c r="AJ283" s="83" t="s">
        <v>1990</v>
      </c>
      <c r="AK283" s="83" t="s">
        <v>1991</v>
      </c>
      <c r="AL283" s="83" t="s">
        <v>78</v>
      </c>
      <c r="AM283" s="83"/>
      <c r="AN283" s="83" t="s">
        <v>9</v>
      </c>
      <c r="AO283" s="189" t="s">
        <v>1369</v>
      </c>
      <c r="AP283" s="83" t="s">
        <v>1992</v>
      </c>
      <c r="AQ283" s="83" t="s">
        <v>1993</v>
      </c>
      <c r="AR283" s="83" t="s">
        <v>1992</v>
      </c>
      <c r="AS283" s="83" t="s">
        <v>1924</v>
      </c>
      <c r="AT283" s="83"/>
      <c r="AU283" s="83"/>
      <c r="AV283" s="83" t="s">
        <v>1951</v>
      </c>
      <c r="AW283" s="83"/>
      <c r="AX283" s="276">
        <v>1</v>
      </c>
      <c r="AY283" s="83" t="s">
        <v>1994</v>
      </c>
      <c r="AZ283" s="83" t="s">
        <v>1924</v>
      </c>
      <c r="BA283" s="83" t="s">
        <v>1995</v>
      </c>
      <c r="BB283" s="83" t="s">
        <v>1229</v>
      </c>
      <c r="BC283" s="83" t="s">
        <v>11</v>
      </c>
      <c r="BD283" s="83" t="s">
        <v>11</v>
      </c>
      <c r="BE283" s="83" t="s">
        <v>9</v>
      </c>
      <c r="BF283" s="83" t="s">
        <v>9</v>
      </c>
      <c r="BG283" s="83" t="s">
        <v>1996</v>
      </c>
      <c r="BH283" s="96" t="s">
        <v>1997</v>
      </c>
      <c r="BI283" s="83" t="s">
        <v>1955</v>
      </c>
      <c r="BJ283" s="83" t="s">
        <v>1956</v>
      </c>
      <c r="BK283" s="83" t="s">
        <v>1957</v>
      </c>
      <c r="BL283" s="276">
        <v>2408900</v>
      </c>
      <c r="BM283" s="83">
        <v>2015</v>
      </c>
      <c r="BN283" s="83">
        <v>0</v>
      </c>
      <c r="BO283" s="276">
        <v>12</v>
      </c>
      <c r="BP283" s="83"/>
      <c r="BQ283" s="173">
        <v>12</v>
      </c>
      <c r="BR283" s="97">
        <v>5</v>
      </c>
      <c r="BS283" s="97">
        <v>2.4</v>
      </c>
      <c r="BT283" s="97">
        <v>2</v>
      </c>
      <c r="BU283" s="102">
        <v>2</v>
      </c>
      <c r="BV283" s="102">
        <v>0.16666666666666666</v>
      </c>
      <c r="BW283" s="97">
        <v>4.8</v>
      </c>
      <c r="BX283" s="97">
        <v>6</v>
      </c>
      <c r="BY283" s="97">
        <v>6</v>
      </c>
      <c r="BZ283" s="104">
        <v>0.5</v>
      </c>
      <c r="CA283" s="97">
        <v>7.1999999999999993</v>
      </c>
      <c r="CB283" s="173">
        <v>8</v>
      </c>
      <c r="CC283" s="97">
        <v>8</v>
      </c>
      <c r="CD283" s="102">
        <v>0.66666666666666663</v>
      </c>
      <c r="CE283" s="97">
        <v>9.6</v>
      </c>
      <c r="CF283" s="97"/>
      <c r="CG283" s="97">
        <v>0</v>
      </c>
      <c r="CH283" s="102">
        <v>0</v>
      </c>
      <c r="CI283" s="97">
        <v>12</v>
      </c>
      <c r="CJ283" s="97"/>
      <c r="CK283" s="97">
        <v>0</v>
      </c>
      <c r="CL283" s="104">
        <v>0</v>
      </c>
      <c r="CM283" s="97"/>
      <c r="CN283" s="97"/>
      <c r="CO283" s="97"/>
      <c r="CP283" s="97"/>
      <c r="CQ283" s="97"/>
      <c r="CS283" s="24">
        <v>283</v>
      </c>
    </row>
    <row r="284" spans="1:97" ht="409.5" x14ac:dyDescent="0.25">
      <c r="A284" s="276">
        <v>20</v>
      </c>
      <c r="B284" s="269" t="s">
        <v>4575</v>
      </c>
      <c r="C284" s="83">
        <v>10</v>
      </c>
      <c r="D284" s="83" t="s">
        <v>686</v>
      </c>
      <c r="E284" s="83" t="s">
        <v>699</v>
      </c>
      <c r="F284" s="83" t="s">
        <v>697</v>
      </c>
      <c r="G284" s="83">
        <v>3</v>
      </c>
      <c r="H284" s="83"/>
      <c r="I284" s="83"/>
      <c r="J284" s="83"/>
      <c r="K284" s="83" t="s">
        <v>1091</v>
      </c>
      <c r="L284" s="83" t="s">
        <v>701</v>
      </c>
      <c r="M284" s="276" t="s">
        <v>689</v>
      </c>
      <c r="N284" s="276" t="s">
        <v>690</v>
      </c>
      <c r="O284" s="83" t="s">
        <v>78</v>
      </c>
      <c r="P284" s="83" t="s">
        <v>108</v>
      </c>
      <c r="Q284" s="83" t="s">
        <v>690</v>
      </c>
      <c r="R284" s="83"/>
      <c r="S284" s="83"/>
      <c r="T284" s="83"/>
      <c r="U284" s="83"/>
      <c r="V284" s="83"/>
      <c r="W284" s="83"/>
      <c r="X284" s="83"/>
      <c r="Y284" s="83">
        <v>0</v>
      </c>
      <c r="Z284" s="83">
        <v>1</v>
      </c>
      <c r="AA284" s="276" t="s">
        <v>1220</v>
      </c>
      <c r="AB284" s="83"/>
      <c r="AC284" s="83"/>
      <c r="AD284" s="83"/>
      <c r="AE284" s="83"/>
      <c r="AF284" s="83"/>
      <c r="AG284" s="276" t="s">
        <v>1364</v>
      </c>
      <c r="AH284" s="83"/>
      <c r="AI284" s="83">
        <v>2</v>
      </c>
      <c r="AJ284" s="83" t="s">
        <v>1998</v>
      </c>
      <c r="AK284" s="83" t="s">
        <v>1999</v>
      </c>
      <c r="AL284" s="83" t="s">
        <v>78</v>
      </c>
      <c r="AM284" s="83"/>
      <c r="AN284" s="83" t="s">
        <v>9</v>
      </c>
      <c r="AO284" s="83" t="s">
        <v>1369</v>
      </c>
      <c r="AP284" s="83" t="s">
        <v>2000</v>
      </c>
      <c r="AQ284" s="83" t="s">
        <v>2001</v>
      </c>
      <c r="AR284" s="83" t="s">
        <v>2002</v>
      </c>
      <c r="AS284" s="83" t="s">
        <v>1924</v>
      </c>
      <c r="AT284" s="276"/>
      <c r="AU284" s="83"/>
      <c r="AV284" s="83" t="s">
        <v>1951</v>
      </c>
      <c r="AW284" s="83"/>
      <c r="AX284" s="276">
        <v>1</v>
      </c>
      <c r="AY284" s="83" t="s">
        <v>2003</v>
      </c>
      <c r="AZ284" s="83" t="s">
        <v>1924</v>
      </c>
      <c r="BA284" s="83" t="s">
        <v>1925</v>
      </c>
      <c r="BB284" s="83" t="s">
        <v>1229</v>
      </c>
      <c r="BC284" s="83" t="s">
        <v>11</v>
      </c>
      <c r="BD284" s="83" t="s">
        <v>11</v>
      </c>
      <c r="BE284" s="83" t="s">
        <v>9</v>
      </c>
      <c r="BF284" s="83" t="s">
        <v>9</v>
      </c>
      <c r="BG284" s="83" t="s">
        <v>2004</v>
      </c>
      <c r="BH284" s="96" t="s">
        <v>2005</v>
      </c>
      <c r="BI284" s="83" t="s">
        <v>1955</v>
      </c>
      <c r="BJ284" s="83" t="s">
        <v>2006</v>
      </c>
      <c r="BK284" s="83" t="s">
        <v>1966</v>
      </c>
      <c r="BL284" s="276">
        <v>2408900</v>
      </c>
      <c r="BM284" s="83">
        <v>2015</v>
      </c>
      <c r="BN284" s="83">
        <v>0</v>
      </c>
      <c r="BO284" s="105">
        <v>8</v>
      </c>
      <c r="BP284" s="83"/>
      <c r="BQ284" s="173">
        <v>8</v>
      </c>
      <c r="BR284" s="97">
        <v>5</v>
      </c>
      <c r="BS284" s="97">
        <v>1.6</v>
      </c>
      <c r="BT284" s="97">
        <v>1</v>
      </c>
      <c r="BU284" s="97">
        <v>1</v>
      </c>
      <c r="BV284" s="97">
        <v>0.125</v>
      </c>
      <c r="BW284" s="97">
        <v>3.2</v>
      </c>
      <c r="BX284" s="97">
        <v>4</v>
      </c>
      <c r="BY284" s="97">
        <v>4</v>
      </c>
      <c r="BZ284" s="97">
        <v>0.5</v>
      </c>
      <c r="CA284" s="97">
        <v>4.8000000000000007</v>
      </c>
      <c r="CB284" s="173">
        <v>5</v>
      </c>
      <c r="CC284" s="97">
        <v>5</v>
      </c>
      <c r="CD284" s="97">
        <v>0.625</v>
      </c>
      <c r="CE284" s="97">
        <v>6.4</v>
      </c>
      <c r="CF284" s="97"/>
      <c r="CG284" s="97">
        <v>0</v>
      </c>
      <c r="CH284" s="97">
        <v>0</v>
      </c>
      <c r="CI284" s="97">
        <v>8</v>
      </c>
      <c r="CJ284" s="97"/>
      <c r="CK284" s="97">
        <v>0</v>
      </c>
      <c r="CL284" s="97">
        <v>0</v>
      </c>
      <c r="CM284" s="97"/>
      <c r="CN284" s="97"/>
      <c r="CO284" s="97"/>
      <c r="CP284" s="83"/>
      <c r="CQ284" s="83"/>
      <c r="CS284" s="24">
        <v>284</v>
      </c>
    </row>
    <row r="285" spans="1:97" ht="384.75" x14ac:dyDescent="0.25">
      <c r="A285" s="276">
        <v>20</v>
      </c>
      <c r="B285" s="269" t="s">
        <v>4575</v>
      </c>
      <c r="C285" s="83">
        <v>10</v>
      </c>
      <c r="D285" s="83" t="s">
        <v>686</v>
      </c>
      <c r="E285" s="83" t="s">
        <v>699</v>
      </c>
      <c r="F285" s="83" t="s">
        <v>697</v>
      </c>
      <c r="G285" s="83">
        <v>4</v>
      </c>
      <c r="H285" s="83"/>
      <c r="I285" s="83"/>
      <c r="J285" s="83"/>
      <c r="K285" s="83" t="s">
        <v>1092</v>
      </c>
      <c r="L285" s="83" t="s">
        <v>702</v>
      </c>
      <c r="M285" s="276" t="s">
        <v>689</v>
      </c>
      <c r="N285" s="276" t="s">
        <v>690</v>
      </c>
      <c r="O285" s="83" t="s">
        <v>78</v>
      </c>
      <c r="P285" s="83" t="s">
        <v>108</v>
      </c>
      <c r="Q285" s="83" t="s">
        <v>690</v>
      </c>
      <c r="R285" s="83"/>
      <c r="S285" s="83"/>
      <c r="T285" s="83" t="s">
        <v>79</v>
      </c>
      <c r="U285" s="83"/>
      <c r="V285" s="83"/>
      <c r="W285" s="83"/>
      <c r="X285" s="83">
        <v>16.666666666666668</v>
      </c>
      <c r="Y285" s="83">
        <v>0</v>
      </c>
      <c r="Z285" s="83">
        <v>1</v>
      </c>
      <c r="AA285" s="276" t="s">
        <v>1220</v>
      </c>
      <c r="AB285" s="83"/>
      <c r="AC285" s="83"/>
      <c r="AD285" s="83"/>
      <c r="AE285" s="83"/>
      <c r="AF285" s="83"/>
      <c r="AG285" s="276" t="s">
        <v>1364</v>
      </c>
      <c r="AH285" s="83"/>
      <c r="AI285" s="83">
        <v>1</v>
      </c>
      <c r="AJ285" s="83" t="s">
        <v>2007</v>
      </c>
      <c r="AK285" s="83" t="s">
        <v>2008</v>
      </c>
      <c r="AL285" s="83" t="s">
        <v>137</v>
      </c>
      <c r="AM285" s="83"/>
      <c r="AN285" s="83" t="s">
        <v>9</v>
      </c>
      <c r="AO285" s="83" t="s">
        <v>10</v>
      </c>
      <c r="AP285" s="83" t="s">
        <v>2009</v>
      </c>
      <c r="AQ285" s="83" t="s">
        <v>2010</v>
      </c>
      <c r="AR285" s="83" t="s">
        <v>2011</v>
      </c>
      <c r="AS285" s="83" t="s">
        <v>1924</v>
      </c>
      <c r="AT285" s="83" t="s">
        <v>2012</v>
      </c>
      <c r="AU285" s="83" t="s">
        <v>1924</v>
      </c>
      <c r="AV285" s="83" t="s">
        <v>1573</v>
      </c>
      <c r="AW285" s="83"/>
      <c r="AX285" s="276">
        <v>1</v>
      </c>
      <c r="AY285" s="83" t="s">
        <v>2013</v>
      </c>
      <c r="AZ285" s="83" t="s">
        <v>1924</v>
      </c>
      <c r="BA285" s="83" t="s">
        <v>1925</v>
      </c>
      <c r="BB285" s="83" t="s">
        <v>1229</v>
      </c>
      <c r="BC285" s="83" t="s">
        <v>11</v>
      </c>
      <c r="BD285" s="83" t="s">
        <v>11</v>
      </c>
      <c r="BE285" s="83" t="s">
        <v>9</v>
      </c>
      <c r="BF285" s="83" t="s">
        <v>9</v>
      </c>
      <c r="BG285" s="83" t="s">
        <v>2014</v>
      </c>
      <c r="BH285" s="96" t="s">
        <v>2015</v>
      </c>
      <c r="BI285" s="83" t="s">
        <v>1955</v>
      </c>
      <c r="BJ285" s="83" t="s">
        <v>1956</v>
      </c>
      <c r="BK285" s="83" t="s">
        <v>1957</v>
      </c>
      <c r="BL285" s="276">
        <v>2408900</v>
      </c>
      <c r="BM285" s="83">
        <v>2015</v>
      </c>
      <c r="BN285" s="83">
        <v>0</v>
      </c>
      <c r="BO285" s="105">
        <v>1</v>
      </c>
      <c r="BP285" s="83"/>
      <c r="BQ285" s="276">
        <v>1</v>
      </c>
      <c r="BR285" s="83">
        <v>5</v>
      </c>
      <c r="BS285" s="106">
        <v>0.33333333333333331</v>
      </c>
      <c r="BT285" s="107">
        <v>0.2</v>
      </c>
      <c r="BU285" s="106">
        <v>0.2</v>
      </c>
      <c r="BV285" s="106">
        <v>0.2</v>
      </c>
      <c r="BW285" s="106">
        <v>0.66666666666666663</v>
      </c>
      <c r="BX285" s="107">
        <v>0.5</v>
      </c>
      <c r="BY285" s="106">
        <v>0.5</v>
      </c>
      <c r="BZ285" s="106">
        <v>0.5</v>
      </c>
      <c r="CA285" s="106">
        <v>1</v>
      </c>
      <c r="CB285" s="107"/>
      <c r="CC285" s="106">
        <v>0</v>
      </c>
      <c r="CD285" s="106">
        <v>0</v>
      </c>
      <c r="CE285" s="106"/>
      <c r="CF285" s="107"/>
      <c r="CG285" s="106"/>
      <c r="CH285" s="106"/>
      <c r="CI285" s="83"/>
      <c r="CJ285" s="83"/>
      <c r="CK285" s="83"/>
      <c r="CL285" s="83"/>
      <c r="CM285" s="83"/>
      <c r="CN285" s="83"/>
      <c r="CO285" s="83"/>
      <c r="CP285" s="83"/>
      <c r="CQ285" s="83"/>
      <c r="CS285" s="2">
        <v>285</v>
      </c>
    </row>
    <row r="286" spans="1:97" ht="409.5" x14ac:dyDescent="0.25">
      <c r="A286" s="276">
        <v>20</v>
      </c>
      <c r="B286" s="269" t="s">
        <v>4575</v>
      </c>
      <c r="C286" s="269">
        <v>10</v>
      </c>
      <c r="D286" s="189" t="s">
        <v>686</v>
      </c>
      <c r="E286" s="276" t="s">
        <v>705</v>
      </c>
      <c r="F286" s="189" t="s">
        <v>703</v>
      </c>
      <c r="G286" s="172">
        <v>1</v>
      </c>
      <c r="H286" s="172"/>
      <c r="I286" s="172"/>
      <c r="J286" s="172"/>
      <c r="K286" s="276" t="s">
        <v>1093</v>
      </c>
      <c r="L286" s="189" t="s">
        <v>704</v>
      </c>
      <c r="M286" s="276" t="s">
        <v>689</v>
      </c>
      <c r="N286" s="276" t="s">
        <v>690</v>
      </c>
      <c r="O286" s="189" t="s">
        <v>78</v>
      </c>
      <c r="P286" s="276" t="s">
        <v>108</v>
      </c>
      <c r="Q286" s="276" t="s">
        <v>690</v>
      </c>
      <c r="R286" s="276"/>
      <c r="S286" s="276"/>
      <c r="T286" s="276" t="s">
        <v>79</v>
      </c>
      <c r="U286" s="276"/>
      <c r="V286" s="276"/>
      <c r="W286" s="276"/>
      <c r="X286" s="173">
        <v>10</v>
      </c>
      <c r="Y286" s="276">
        <v>0</v>
      </c>
      <c r="Z286" s="276">
        <v>1</v>
      </c>
      <c r="AA286" s="276" t="s">
        <v>1220</v>
      </c>
      <c r="AB286" s="276"/>
      <c r="AC286" s="275"/>
      <c r="AD286" s="189"/>
      <c r="AE286" s="189"/>
      <c r="AF286" s="79"/>
      <c r="AG286" s="276" t="s">
        <v>1364</v>
      </c>
      <c r="AH286" s="276"/>
      <c r="AI286" s="275">
        <v>1</v>
      </c>
      <c r="AJ286" s="83" t="s">
        <v>2016</v>
      </c>
      <c r="AK286" s="83" t="s">
        <v>2017</v>
      </c>
      <c r="AL286" s="189" t="s">
        <v>78</v>
      </c>
      <c r="AM286" s="189"/>
      <c r="AN286" s="83" t="s">
        <v>9</v>
      </c>
      <c r="AO286" s="83" t="s">
        <v>1369</v>
      </c>
      <c r="AP286" s="83" t="s">
        <v>2018</v>
      </c>
      <c r="AQ286" s="83" t="s">
        <v>2019</v>
      </c>
      <c r="AR286" s="83" t="s">
        <v>2020</v>
      </c>
      <c r="AS286" s="83" t="s">
        <v>1924</v>
      </c>
      <c r="AT286" s="83"/>
      <c r="AU286" s="83"/>
      <c r="AV286" s="79" t="s">
        <v>1951</v>
      </c>
      <c r="AW286" s="76"/>
      <c r="AX286" s="275">
        <v>1</v>
      </c>
      <c r="AY286" s="276" t="s">
        <v>2021</v>
      </c>
      <c r="AZ286" s="276" t="s">
        <v>1924</v>
      </c>
      <c r="BA286" s="78" t="s">
        <v>1925</v>
      </c>
      <c r="BB286" s="189" t="s">
        <v>1229</v>
      </c>
      <c r="BC286" s="276" t="s">
        <v>11</v>
      </c>
      <c r="BD286" s="276" t="s">
        <v>11</v>
      </c>
      <c r="BE286" s="83" t="s">
        <v>9</v>
      </c>
      <c r="BF286" s="83" t="s">
        <v>9</v>
      </c>
      <c r="BG286" s="83" t="s">
        <v>2022</v>
      </c>
      <c r="BH286" s="96" t="s">
        <v>2023</v>
      </c>
      <c r="BI286" s="83" t="s">
        <v>1955</v>
      </c>
      <c r="BJ286" s="83" t="s">
        <v>1965</v>
      </c>
      <c r="BK286" s="83" t="s">
        <v>1966</v>
      </c>
      <c r="BL286" s="276">
        <v>2408900</v>
      </c>
      <c r="BM286" s="83">
        <v>2015</v>
      </c>
      <c r="BN286" s="83">
        <v>0</v>
      </c>
      <c r="BO286" s="105">
        <v>16</v>
      </c>
      <c r="BP286" s="83"/>
      <c r="BQ286" s="173">
        <v>16</v>
      </c>
      <c r="BR286" s="275">
        <v>5</v>
      </c>
      <c r="BS286" s="176">
        <v>3.2</v>
      </c>
      <c r="BT286" s="94">
        <v>5</v>
      </c>
      <c r="BU286" s="94">
        <v>5</v>
      </c>
      <c r="BV286" s="188">
        <v>0.3125</v>
      </c>
      <c r="BW286" s="176">
        <v>6.4</v>
      </c>
      <c r="BX286" s="94">
        <v>10</v>
      </c>
      <c r="BY286" s="94">
        <v>10</v>
      </c>
      <c r="BZ286" s="89">
        <v>0.625</v>
      </c>
      <c r="CA286" s="176">
        <v>9.6000000000000014</v>
      </c>
      <c r="CB286" s="94">
        <v>11</v>
      </c>
      <c r="CC286" s="94">
        <v>11</v>
      </c>
      <c r="CD286" s="188">
        <v>0.6875</v>
      </c>
      <c r="CE286" s="176">
        <v>12.8</v>
      </c>
      <c r="CF286" s="94"/>
      <c r="CG286" s="94">
        <v>0</v>
      </c>
      <c r="CH286" s="188">
        <v>0</v>
      </c>
      <c r="CI286" s="94">
        <v>16</v>
      </c>
      <c r="CJ286" s="94"/>
      <c r="CK286" s="188">
        <v>0</v>
      </c>
      <c r="CL286" s="89">
        <v>0</v>
      </c>
      <c r="CM286" s="89"/>
      <c r="CN286" s="188"/>
      <c r="CO286" s="188"/>
      <c r="CP286" s="188"/>
      <c r="CQ286" s="188"/>
      <c r="CS286" s="24">
        <v>286</v>
      </c>
    </row>
    <row r="287" spans="1:97" ht="409.5" x14ac:dyDescent="0.25">
      <c r="A287" s="276">
        <v>20</v>
      </c>
      <c r="B287" s="269" t="s">
        <v>4575</v>
      </c>
      <c r="C287" s="269">
        <v>10</v>
      </c>
      <c r="D287" s="189" t="s">
        <v>686</v>
      </c>
      <c r="E287" s="276" t="s">
        <v>705</v>
      </c>
      <c r="F287" s="189" t="s">
        <v>703</v>
      </c>
      <c r="G287" s="172">
        <v>2</v>
      </c>
      <c r="H287" s="172"/>
      <c r="I287" s="172"/>
      <c r="J287" s="172"/>
      <c r="K287" s="276" t="s">
        <v>1094</v>
      </c>
      <c r="L287" s="189" t="s">
        <v>706</v>
      </c>
      <c r="M287" s="276" t="s">
        <v>689</v>
      </c>
      <c r="N287" s="276" t="s">
        <v>690</v>
      </c>
      <c r="O287" s="189" t="s">
        <v>78</v>
      </c>
      <c r="P287" s="276" t="s">
        <v>108</v>
      </c>
      <c r="Q287" s="276" t="s">
        <v>690</v>
      </c>
      <c r="R287" s="276"/>
      <c r="S287" s="276"/>
      <c r="T287" s="276" t="s">
        <v>79</v>
      </c>
      <c r="U287" s="276"/>
      <c r="V287" s="276"/>
      <c r="W287" s="276"/>
      <c r="X287" s="173">
        <v>10</v>
      </c>
      <c r="Y287" s="276">
        <v>0</v>
      </c>
      <c r="Z287" s="276">
        <v>1</v>
      </c>
      <c r="AA287" s="276" t="s">
        <v>1220</v>
      </c>
      <c r="AB287" s="276"/>
      <c r="AC287" s="275"/>
      <c r="AD287" s="189"/>
      <c r="AE287" s="189"/>
      <c r="AF287" s="79"/>
      <c r="AG287" s="276" t="s">
        <v>1364</v>
      </c>
      <c r="AH287" s="276"/>
      <c r="AI287" s="275">
        <v>1</v>
      </c>
      <c r="AJ287" s="83" t="s">
        <v>2024</v>
      </c>
      <c r="AK287" s="83" t="s">
        <v>2025</v>
      </c>
      <c r="AL287" s="189" t="s">
        <v>78</v>
      </c>
      <c r="AM287" s="189"/>
      <c r="AN287" s="83" t="s">
        <v>9</v>
      </c>
      <c r="AO287" s="78" t="s">
        <v>2026</v>
      </c>
      <c r="AP287" s="83" t="s">
        <v>2027</v>
      </c>
      <c r="AQ287" s="83" t="s">
        <v>2028</v>
      </c>
      <c r="AR287" s="83" t="s">
        <v>2029</v>
      </c>
      <c r="AS287" s="275" t="s">
        <v>1924</v>
      </c>
      <c r="AT287" s="76"/>
      <c r="AU287" s="76"/>
      <c r="AV287" s="76"/>
      <c r="AW287" s="76"/>
      <c r="AX287" s="275">
        <v>1</v>
      </c>
      <c r="AY287" s="276" t="s">
        <v>2030</v>
      </c>
      <c r="AZ287" s="83" t="s">
        <v>1924</v>
      </c>
      <c r="BA287" s="83" t="s">
        <v>1925</v>
      </c>
      <c r="BB287" s="83" t="s">
        <v>1229</v>
      </c>
      <c r="BC287" s="83" t="s">
        <v>11</v>
      </c>
      <c r="BD287" s="83" t="s">
        <v>11</v>
      </c>
      <c r="BE287" s="83" t="s">
        <v>9</v>
      </c>
      <c r="BF287" s="83" t="s">
        <v>9</v>
      </c>
      <c r="BG287" s="83" t="s">
        <v>2031</v>
      </c>
      <c r="BH287" s="96" t="s">
        <v>2032</v>
      </c>
      <c r="BI287" s="83" t="s">
        <v>1955</v>
      </c>
      <c r="BJ287" s="83" t="s">
        <v>1956</v>
      </c>
      <c r="BK287" s="83" t="s">
        <v>1957</v>
      </c>
      <c r="BL287" s="276">
        <v>2408900</v>
      </c>
      <c r="BM287" s="83">
        <v>2015</v>
      </c>
      <c r="BN287" s="189">
        <v>0</v>
      </c>
      <c r="BO287" s="105">
        <v>110</v>
      </c>
      <c r="BP287" s="77"/>
      <c r="BQ287" s="173">
        <v>110</v>
      </c>
      <c r="BR287" s="275">
        <v>5</v>
      </c>
      <c r="BS287" s="94">
        <v>22</v>
      </c>
      <c r="BT287" s="94">
        <v>11</v>
      </c>
      <c r="BU287" s="94">
        <v>11</v>
      </c>
      <c r="BV287" s="188">
        <v>0.1</v>
      </c>
      <c r="BW287" s="94">
        <v>44</v>
      </c>
      <c r="BX287" s="94">
        <v>46</v>
      </c>
      <c r="BY287" s="94">
        <v>46</v>
      </c>
      <c r="BZ287" s="89">
        <v>0.41818181818181815</v>
      </c>
      <c r="CA287" s="94">
        <v>66</v>
      </c>
      <c r="CB287" s="94"/>
      <c r="CC287" s="94">
        <v>0</v>
      </c>
      <c r="CD287" s="188">
        <v>0</v>
      </c>
      <c r="CE287" s="94">
        <v>88</v>
      </c>
      <c r="CF287" s="94"/>
      <c r="CG287" s="94">
        <v>0</v>
      </c>
      <c r="CH287" s="188">
        <v>0</v>
      </c>
      <c r="CI287" s="94">
        <v>110</v>
      </c>
      <c r="CJ287" s="94"/>
      <c r="CK287" s="94">
        <v>0</v>
      </c>
      <c r="CL287" s="89">
        <v>0</v>
      </c>
      <c r="CM287" s="89"/>
      <c r="CN287" s="188"/>
      <c r="CO287" s="188"/>
      <c r="CP287" s="188"/>
      <c r="CQ287" s="188"/>
      <c r="CS287" s="24">
        <v>287</v>
      </c>
    </row>
    <row r="288" spans="1:97" ht="270.75" customHeight="1" x14ac:dyDescent="0.25">
      <c r="A288" s="276">
        <v>20</v>
      </c>
      <c r="B288" s="269" t="s">
        <v>4575</v>
      </c>
      <c r="C288" s="269">
        <v>10</v>
      </c>
      <c r="D288" s="189" t="s">
        <v>686</v>
      </c>
      <c r="E288" s="276" t="s">
        <v>705</v>
      </c>
      <c r="F288" s="189" t="s">
        <v>703</v>
      </c>
      <c r="G288" s="172">
        <v>3</v>
      </c>
      <c r="H288" s="172"/>
      <c r="I288" s="172"/>
      <c r="J288" s="172"/>
      <c r="K288" s="276" t="s">
        <v>1095</v>
      </c>
      <c r="L288" s="189" t="s">
        <v>707</v>
      </c>
      <c r="M288" s="276" t="s">
        <v>689</v>
      </c>
      <c r="N288" s="276" t="s">
        <v>690</v>
      </c>
      <c r="O288" s="189" t="s">
        <v>78</v>
      </c>
      <c r="P288" s="276" t="s">
        <v>108</v>
      </c>
      <c r="Q288" s="276" t="s">
        <v>690</v>
      </c>
      <c r="R288" s="276"/>
      <c r="S288" s="276"/>
      <c r="T288" s="276" t="s">
        <v>79</v>
      </c>
      <c r="U288" s="276"/>
      <c r="V288" s="276"/>
      <c r="W288" s="276"/>
      <c r="X288" s="173">
        <v>10</v>
      </c>
      <c r="Y288" s="276">
        <v>0</v>
      </c>
      <c r="Z288" s="276">
        <v>1</v>
      </c>
      <c r="AA288" s="276" t="s">
        <v>1220</v>
      </c>
      <c r="AB288" s="276"/>
      <c r="AC288" s="275"/>
      <c r="AD288" s="189"/>
      <c r="AE288" s="189"/>
      <c r="AF288" s="79"/>
      <c r="AG288" s="276" t="s">
        <v>1364</v>
      </c>
      <c r="AH288" s="276"/>
      <c r="AI288" s="275">
        <v>1</v>
      </c>
      <c r="AJ288" s="83" t="s">
        <v>2033</v>
      </c>
      <c r="AK288" s="83" t="s">
        <v>2034</v>
      </c>
      <c r="AL288" s="189" t="s">
        <v>78</v>
      </c>
      <c r="AM288" s="189"/>
      <c r="AN288" s="83" t="s">
        <v>9</v>
      </c>
      <c r="AO288" s="78" t="s">
        <v>2026</v>
      </c>
      <c r="AP288" s="83" t="s">
        <v>2035</v>
      </c>
      <c r="AQ288" s="189" t="s">
        <v>2036</v>
      </c>
      <c r="AR288" s="189" t="s">
        <v>2037</v>
      </c>
      <c r="AS288" s="79" t="s">
        <v>1924</v>
      </c>
      <c r="AT288" s="76"/>
      <c r="AU288" s="76"/>
      <c r="AV288" s="76"/>
      <c r="AW288" s="76"/>
      <c r="AX288" s="275">
        <v>1</v>
      </c>
      <c r="AY288" s="276" t="s">
        <v>2038</v>
      </c>
      <c r="AZ288" s="276" t="s">
        <v>1924</v>
      </c>
      <c r="BA288" s="78" t="s">
        <v>1925</v>
      </c>
      <c r="BB288" s="189" t="s">
        <v>1229</v>
      </c>
      <c r="BC288" s="276" t="s">
        <v>11</v>
      </c>
      <c r="BD288" s="276" t="s">
        <v>11</v>
      </c>
      <c r="BE288" s="83" t="s">
        <v>9</v>
      </c>
      <c r="BF288" s="83" t="s">
        <v>9</v>
      </c>
      <c r="BG288" s="83" t="s">
        <v>2039</v>
      </c>
      <c r="BH288" s="96" t="s">
        <v>2040</v>
      </c>
      <c r="BI288" s="83" t="s">
        <v>1955</v>
      </c>
      <c r="BJ288" s="83" t="s">
        <v>1965</v>
      </c>
      <c r="BK288" s="83" t="s">
        <v>1966</v>
      </c>
      <c r="BL288" s="276">
        <v>2408900</v>
      </c>
      <c r="BM288" s="83">
        <v>2015</v>
      </c>
      <c r="BN288" s="83">
        <v>0</v>
      </c>
      <c r="BO288" s="105">
        <v>14</v>
      </c>
      <c r="BP288" s="77"/>
      <c r="BQ288" s="173">
        <v>14</v>
      </c>
      <c r="BR288" s="180">
        <v>5</v>
      </c>
      <c r="BS288" s="94">
        <v>2.8</v>
      </c>
      <c r="BT288" s="94">
        <v>4</v>
      </c>
      <c r="BU288" s="94">
        <v>4</v>
      </c>
      <c r="BV288" s="188">
        <v>0.2857142857142857</v>
      </c>
      <c r="BW288" s="94">
        <v>5.6</v>
      </c>
      <c r="BX288" s="94">
        <v>7</v>
      </c>
      <c r="BY288" s="94">
        <v>7</v>
      </c>
      <c r="BZ288" s="89">
        <v>0.5</v>
      </c>
      <c r="CA288" s="94">
        <v>8.3999999999999986</v>
      </c>
      <c r="CB288" s="94">
        <v>8</v>
      </c>
      <c r="CC288" s="94">
        <v>8</v>
      </c>
      <c r="CD288" s="188">
        <v>0.5714285714285714</v>
      </c>
      <c r="CE288" s="94">
        <v>11.2</v>
      </c>
      <c r="CF288" s="94"/>
      <c r="CG288" s="94">
        <v>0</v>
      </c>
      <c r="CH288" s="188">
        <v>0</v>
      </c>
      <c r="CI288" s="94">
        <v>14</v>
      </c>
      <c r="CJ288" s="94"/>
      <c r="CK288" s="94">
        <v>0</v>
      </c>
      <c r="CL288" s="89">
        <v>0</v>
      </c>
      <c r="CM288" s="89"/>
      <c r="CN288" s="188"/>
      <c r="CO288" s="188"/>
      <c r="CP288" s="188"/>
      <c r="CQ288" s="188"/>
      <c r="CS288" s="2">
        <v>288</v>
      </c>
    </row>
    <row r="289" spans="1:97" ht="409.5" x14ac:dyDescent="0.25">
      <c r="A289" s="276">
        <v>20</v>
      </c>
      <c r="B289" s="269" t="s">
        <v>4575</v>
      </c>
      <c r="C289" s="269">
        <v>10</v>
      </c>
      <c r="D289" s="189" t="s">
        <v>686</v>
      </c>
      <c r="E289" s="276" t="s">
        <v>705</v>
      </c>
      <c r="F289" s="189" t="s">
        <v>703</v>
      </c>
      <c r="G289" s="172">
        <v>4</v>
      </c>
      <c r="H289" s="172"/>
      <c r="I289" s="172"/>
      <c r="J289" s="172"/>
      <c r="K289" s="276" t="s">
        <v>1096</v>
      </c>
      <c r="L289" s="189" t="s">
        <v>708</v>
      </c>
      <c r="M289" s="276" t="s">
        <v>689</v>
      </c>
      <c r="N289" s="276" t="s">
        <v>690</v>
      </c>
      <c r="O289" s="189" t="s">
        <v>78</v>
      </c>
      <c r="P289" s="276" t="s">
        <v>108</v>
      </c>
      <c r="Q289" s="276" t="s">
        <v>690</v>
      </c>
      <c r="R289" s="276"/>
      <c r="S289" s="276"/>
      <c r="T289" s="276" t="s">
        <v>79</v>
      </c>
      <c r="U289" s="276"/>
      <c r="V289" s="276"/>
      <c r="W289" s="276"/>
      <c r="X289" s="173">
        <v>10</v>
      </c>
      <c r="Y289" s="276">
        <v>0</v>
      </c>
      <c r="Z289" s="276">
        <v>1</v>
      </c>
      <c r="AA289" s="276" t="s">
        <v>1220</v>
      </c>
      <c r="AB289" s="276"/>
      <c r="AC289" s="189">
        <v>17</v>
      </c>
      <c r="AD289" s="189"/>
      <c r="AE289" s="189"/>
      <c r="AF289" s="108"/>
      <c r="AG289" s="276" t="s">
        <v>1364</v>
      </c>
      <c r="AH289" s="109"/>
      <c r="AI289" s="275">
        <v>1</v>
      </c>
      <c r="AJ289" s="83" t="s">
        <v>2041</v>
      </c>
      <c r="AK289" s="83" t="s">
        <v>2042</v>
      </c>
      <c r="AL289" s="83" t="s">
        <v>78</v>
      </c>
      <c r="AM289" s="83"/>
      <c r="AN289" s="83" t="s">
        <v>9</v>
      </c>
      <c r="AO289" s="78" t="s">
        <v>2026</v>
      </c>
      <c r="AP289" s="83" t="s">
        <v>2043</v>
      </c>
      <c r="AQ289" s="189" t="s">
        <v>2044</v>
      </c>
      <c r="AR289" s="189" t="s">
        <v>2045</v>
      </c>
      <c r="AS289" s="276" t="s">
        <v>1924</v>
      </c>
      <c r="AT289" s="276"/>
      <c r="AU289" s="276"/>
      <c r="AV289" s="276" t="s">
        <v>1951</v>
      </c>
      <c r="AW289" s="76"/>
      <c r="AX289" s="275">
        <v>1</v>
      </c>
      <c r="AY289" s="276" t="s">
        <v>2046</v>
      </c>
      <c r="AZ289" s="276" t="s">
        <v>1924</v>
      </c>
      <c r="BA289" s="189" t="s">
        <v>2047</v>
      </c>
      <c r="BB289" s="189" t="s">
        <v>1229</v>
      </c>
      <c r="BC289" s="276" t="s">
        <v>11</v>
      </c>
      <c r="BD289" s="276" t="s">
        <v>11</v>
      </c>
      <c r="BE289" s="276" t="s">
        <v>9</v>
      </c>
      <c r="BF289" s="276" t="s">
        <v>9</v>
      </c>
      <c r="BG289" s="189" t="s">
        <v>2048</v>
      </c>
      <c r="BH289" s="96" t="s">
        <v>2049</v>
      </c>
      <c r="BI289" s="83" t="s">
        <v>1955</v>
      </c>
      <c r="BJ289" s="83" t="s">
        <v>1965</v>
      </c>
      <c r="BK289" s="189" t="s">
        <v>2050</v>
      </c>
      <c r="BL289" s="276">
        <v>2408900</v>
      </c>
      <c r="BM289" s="276">
        <v>2015</v>
      </c>
      <c r="BN289" s="172">
        <v>0</v>
      </c>
      <c r="BO289" s="110">
        <v>63</v>
      </c>
      <c r="BP289" s="276"/>
      <c r="BQ289" s="173">
        <v>63</v>
      </c>
      <c r="BR289" s="275">
        <v>5</v>
      </c>
      <c r="BS289" s="178">
        <v>12.6</v>
      </c>
      <c r="BT289" s="178">
        <v>27</v>
      </c>
      <c r="BU289" s="94">
        <v>27</v>
      </c>
      <c r="BV289" s="188">
        <v>0.42857142857142855</v>
      </c>
      <c r="BW289" s="178">
        <v>25.2</v>
      </c>
      <c r="BX289" s="178">
        <v>39</v>
      </c>
      <c r="BY289" s="94">
        <v>39</v>
      </c>
      <c r="BZ289" s="89">
        <v>0.61904761904761907</v>
      </c>
      <c r="CA289" s="178">
        <v>37.799999999999997</v>
      </c>
      <c r="CB289" s="178">
        <v>42</v>
      </c>
      <c r="CC289" s="94">
        <v>42</v>
      </c>
      <c r="CD289" s="188">
        <v>0.66666666666666663</v>
      </c>
      <c r="CE289" s="178">
        <v>50.4</v>
      </c>
      <c r="CF289" s="178"/>
      <c r="CG289" s="94">
        <v>0</v>
      </c>
      <c r="CH289" s="188">
        <v>0</v>
      </c>
      <c r="CI289" s="178">
        <v>63</v>
      </c>
      <c r="CJ289" s="178"/>
      <c r="CK289" s="94">
        <v>0</v>
      </c>
      <c r="CL289" s="89">
        <v>0</v>
      </c>
      <c r="CM289" s="89"/>
      <c r="CN289" s="188"/>
      <c r="CO289" s="188"/>
      <c r="CP289" s="188"/>
      <c r="CQ289" s="188"/>
      <c r="CS289" s="24">
        <v>289</v>
      </c>
    </row>
    <row r="290" spans="1:97" ht="409.5" x14ac:dyDescent="0.25">
      <c r="A290" s="276">
        <v>20</v>
      </c>
      <c r="B290" s="269" t="s">
        <v>4575</v>
      </c>
      <c r="C290" s="269">
        <v>10</v>
      </c>
      <c r="D290" s="189" t="s">
        <v>686</v>
      </c>
      <c r="E290" s="276" t="s">
        <v>705</v>
      </c>
      <c r="F290" s="189" t="s">
        <v>703</v>
      </c>
      <c r="G290" s="172">
        <v>4</v>
      </c>
      <c r="H290" s="172"/>
      <c r="I290" s="172"/>
      <c r="J290" s="172"/>
      <c r="K290" s="276" t="s">
        <v>1096</v>
      </c>
      <c r="L290" s="189" t="s">
        <v>708</v>
      </c>
      <c r="M290" s="276" t="s">
        <v>689</v>
      </c>
      <c r="N290" s="276" t="s">
        <v>690</v>
      </c>
      <c r="O290" s="189" t="s">
        <v>78</v>
      </c>
      <c r="P290" s="276" t="s">
        <v>108</v>
      </c>
      <c r="Q290" s="276" t="s">
        <v>690</v>
      </c>
      <c r="R290" s="276"/>
      <c r="S290" s="276"/>
      <c r="T290" s="276"/>
      <c r="U290" s="276"/>
      <c r="V290" s="276"/>
      <c r="W290" s="276"/>
      <c r="X290" s="173"/>
      <c r="Y290" s="276">
        <v>0</v>
      </c>
      <c r="Z290" s="276">
        <v>1</v>
      </c>
      <c r="AA290" s="276" t="s">
        <v>1220</v>
      </c>
      <c r="AB290" s="276"/>
      <c r="AC290" s="275"/>
      <c r="AD290" s="189"/>
      <c r="AE290" s="189"/>
      <c r="AF290" s="79"/>
      <c r="AG290" s="276" t="s">
        <v>1364</v>
      </c>
      <c r="AH290" s="276"/>
      <c r="AI290" s="275">
        <v>2</v>
      </c>
      <c r="AJ290" s="83" t="s">
        <v>2051</v>
      </c>
      <c r="AK290" s="83" t="s">
        <v>2052</v>
      </c>
      <c r="AL290" s="83" t="s">
        <v>78</v>
      </c>
      <c r="AM290" s="83"/>
      <c r="AN290" s="83" t="s">
        <v>9</v>
      </c>
      <c r="AO290" s="78" t="s">
        <v>2026</v>
      </c>
      <c r="AP290" s="189" t="s">
        <v>2053</v>
      </c>
      <c r="AQ290" s="189" t="s">
        <v>2054</v>
      </c>
      <c r="AR290" s="189" t="s">
        <v>2055</v>
      </c>
      <c r="AS290" s="276" t="s">
        <v>1924</v>
      </c>
      <c r="AT290" s="276"/>
      <c r="AU290" s="276"/>
      <c r="AV290" s="276" t="s">
        <v>1951</v>
      </c>
      <c r="AW290" s="76"/>
      <c r="AX290" s="275">
        <v>1</v>
      </c>
      <c r="AY290" s="276" t="s">
        <v>2056</v>
      </c>
      <c r="AZ290" s="276" t="s">
        <v>1924</v>
      </c>
      <c r="BA290" s="189" t="s">
        <v>2057</v>
      </c>
      <c r="BB290" s="189" t="s">
        <v>1229</v>
      </c>
      <c r="BC290" s="276" t="s">
        <v>11</v>
      </c>
      <c r="BD290" s="276" t="s">
        <v>11</v>
      </c>
      <c r="BE290" s="276" t="s">
        <v>9</v>
      </c>
      <c r="BF290" s="276" t="s">
        <v>9</v>
      </c>
      <c r="BG290" s="189" t="s">
        <v>2058</v>
      </c>
      <c r="BH290" s="96" t="s">
        <v>2059</v>
      </c>
      <c r="BI290" s="83" t="s">
        <v>1955</v>
      </c>
      <c r="BJ290" s="83" t="s">
        <v>1965</v>
      </c>
      <c r="BK290" s="189" t="s">
        <v>2050</v>
      </c>
      <c r="BL290" s="276">
        <v>2408900</v>
      </c>
      <c r="BM290" s="276">
        <v>2015</v>
      </c>
      <c r="BN290" s="276">
        <v>0</v>
      </c>
      <c r="BO290" s="105">
        <v>120</v>
      </c>
      <c r="BP290" s="276"/>
      <c r="BQ290" s="172">
        <v>120</v>
      </c>
      <c r="BR290" s="275">
        <v>5</v>
      </c>
      <c r="BS290" s="178">
        <v>24</v>
      </c>
      <c r="BT290" s="178">
        <v>47</v>
      </c>
      <c r="BU290" s="94">
        <v>47</v>
      </c>
      <c r="BV290" s="188">
        <v>0.39166666666666666</v>
      </c>
      <c r="BW290" s="178">
        <v>48</v>
      </c>
      <c r="BX290" s="178">
        <v>84</v>
      </c>
      <c r="BY290" s="94">
        <v>84</v>
      </c>
      <c r="BZ290" s="89">
        <v>0.7</v>
      </c>
      <c r="CA290" s="178">
        <v>72</v>
      </c>
      <c r="CB290" s="178">
        <v>87</v>
      </c>
      <c r="CC290" s="94">
        <v>87</v>
      </c>
      <c r="CD290" s="188">
        <v>0.72499999999999998</v>
      </c>
      <c r="CE290" s="178">
        <v>96</v>
      </c>
      <c r="CF290" s="178"/>
      <c r="CG290" s="94">
        <v>0</v>
      </c>
      <c r="CH290" s="188">
        <v>0</v>
      </c>
      <c r="CI290" s="178">
        <v>120</v>
      </c>
      <c r="CJ290" s="178"/>
      <c r="CK290" s="94">
        <v>0</v>
      </c>
      <c r="CL290" s="89">
        <v>0</v>
      </c>
      <c r="CM290" s="89"/>
      <c r="CN290" s="188"/>
      <c r="CO290" s="188"/>
      <c r="CP290" s="188"/>
      <c r="CQ290" s="188"/>
      <c r="CS290" s="24">
        <v>290</v>
      </c>
    </row>
    <row r="291" spans="1:97" ht="409.5" x14ac:dyDescent="0.25">
      <c r="A291" s="276">
        <v>20</v>
      </c>
      <c r="B291" s="269" t="s">
        <v>4575</v>
      </c>
      <c r="C291" s="269">
        <v>10</v>
      </c>
      <c r="D291" s="189" t="s">
        <v>686</v>
      </c>
      <c r="E291" s="276" t="s">
        <v>705</v>
      </c>
      <c r="F291" s="189" t="s">
        <v>703</v>
      </c>
      <c r="G291" s="172">
        <v>4</v>
      </c>
      <c r="H291" s="172"/>
      <c r="I291" s="172"/>
      <c r="J291" s="172"/>
      <c r="K291" s="276" t="s">
        <v>1096</v>
      </c>
      <c r="L291" s="189" t="s">
        <v>708</v>
      </c>
      <c r="M291" s="276" t="s">
        <v>689</v>
      </c>
      <c r="N291" s="276" t="s">
        <v>690</v>
      </c>
      <c r="O291" s="189" t="s">
        <v>78</v>
      </c>
      <c r="P291" s="276" t="s">
        <v>108</v>
      </c>
      <c r="Q291" s="276" t="s">
        <v>690</v>
      </c>
      <c r="R291" s="276"/>
      <c r="S291" s="276"/>
      <c r="T291" s="276"/>
      <c r="U291" s="276"/>
      <c r="V291" s="276"/>
      <c r="W291" s="276"/>
      <c r="X291" s="173"/>
      <c r="Y291" s="276">
        <v>0</v>
      </c>
      <c r="Z291" s="276">
        <v>1</v>
      </c>
      <c r="AA291" s="276" t="s">
        <v>1220</v>
      </c>
      <c r="AB291" s="276"/>
      <c r="AC291" s="275"/>
      <c r="AD291" s="189"/>
      <c r="AE291" s="189"/>
      <c r="AF291" s="79"/>
      <c r="AG291" s="276" t="s">
        <v>1364</v>
      </c>
      <c r="AH291" s="276"/>
      <c r="AI291" s="275">
        <v>3</v>
      </c>
      <c r="AJ291" s="83" t="s">
        <v>2060</v>
      </c>
      <c r="AK291" s="83" t="s">
        <v>2061</v>
      </c>
      <c r="AL291" s="83" t="s">
        <v>78</v>
      </c>
      <c r="AM291" s="83"/>
      <c r="AN291" s="83" t="s">
        <v>9</v>
      </c>
      <c r="AO291" s="78" t="s">
        <v>2026</v>
      </c>
      <c r="AP291" s="189" t="s">
        <v>2062</v>
      </c>
      <c r="AQ291" s="189" t="s">
        <v>2063</v>
      </c>
      <c r="AR291" s="189" t="s">
        <v>2064</v>
      </c>
      <c r="AS291" s="276" t="s">
        <v>1924</v>
      </c>
      <c r="AT291" s="276"/>
      <c r="AU291" s="276"/>
      <c r="AV291" s="276" t="s">
        <v>1951</v>
      </c>
      <c r="AW291" s="76"/>
      <c r="AX291" s="275">
        <v>1</v>
      </c>
      <c r="AY291" s="276" t="s">
        <v>2065</v>
      </c>
      <c r="AZ291" s="276" t="s">
        <v>1924</v>
      </c>
      <c r="BA291" s="189" t="s">
        <v>2066</v>
      </c>
      <c r="BB291" s="189" t="s">
        <v>1229</v>
      </c>
      <c r="BC291" s="276" t="s">
        <v>11</v>
      </c>
      <c r="BD291" s="276" t="s">
        <v>11</v>
      </c>
      <c r="BE291" s="276" t="s">
        <v>9</v>
      </c>
      <c r="BF291" s="276" t="s">
        <v>9</v>
      </c>
      <c r="BG291" s="189" t="s">
        <v>2067</v>
      </c>
      <c r="BH291" s="96" t="s">
        <v>2068</v>
      </c>
      <c r="BI291" s="83" t="s">
        <v>1955</v>
      </c>
      <c r="BJ291" s="83" t="s">
        <v>1965</v>
      </c>
      <c r="BK291" s="189" t="s">
        <v>2050</v>
      </c>
      <c r="BL291" s="276">
        <v>2408900</v>
      </c>
      <c r="BM291" s="276">
        <v>2015</v>
      </c>
      <c r="BN291" s="276">
        <v>0</v>
      </c>
      <c r="BO291" s="105">
        <v>78</v>
      </c>
      <c r="BP291" s="276"/>
      <c r="BQ291" s="172">
        <v>78</v>
      </c>
      <c r="BR291" s="275">
        <v>5</v>
      </c>
      <c r="BS291" s="178">
        <v>15.6</v>
      </c>
      <c r="BT291" s="178">
        <v>12</v>
      </c>
      <c r="BU291" s="94">
        <v>12</v>
      </c>
      <c r="BV291" s="188">
        <v>0.15384615384615385</v>
      </c>
      <c r="BW291" s="178">
        <v>31.2</v>
      </c>
      <c r="BX291" s="178">
        <v>42</v>
      </c>
      <c r="BY291" s="94">
        <v>42</v>
      </c>
      <c r="BZ291" s="89">
        <v>0.53846153846153844</v>
      </c>
      <c r="CA291" s="178">
        <v>46.8</v>
      </c>
      <c r="CB291" s="178">
        <v>44</v>
      </c>
      <c r="CC291" s="94">
        <v>44</v>
      </c>
      <c r="CD291" s="188">
        <v>0.5641025641025641</v>
      </c>
      <c r="CE291" s="178">
        <v>62.4</v>
      </c>
      <c r="CF291" s="178"/>
      <c r="CG291" s="94">
        <v>0</v>
      </c>
      <c r="CH291" s="188">
        <v>0</v>
      </c>
      <c r="CI291" s="178">
        <v>78</v>
      </c>
      <c r="CJ291" s="178"/>
      <c r="CK291" s="94">
        <v>0</v>
      </c>
      <c r="CL291" s="89">
        <v>0</v>
      </c>
      <c r="CM291" s="89"/>
      <c r="CN291" s="188"/>
      <c r="CO291" s="188"/>
      <c r="CP291" s="188"/>
      <c r="CQ291" s="188"/>
      <c r="CS291" s="2">
        <v>291</v>
      </c>
    </row>
    <row r="292" spans="1:97" ht="256.5" x14ac:dyDescent="0.25">
      <c r="A292" s="276">
        <v>20</v>
      </c>
      <c r="B292" s="269" t="s">
        <v>4575</v>
      </c>
      <c r="C292" s="269">
        <v>10</v>
      </c>
      <c r="D292" s="189" t="s">
        <v>686</v>
      </c>
      <c r="E292" s="276" t="s">
        <v>705</v>
      </c>
      <c r="F292" s="189" t="s">
        <v>703</v>
      </c>
      <c r="G292" s="172">
        <v>4</v>
      </c>
      <c r="H292" s="172"/>
      <c r="I292" s="172"/>
      <c r="J292" s="172"/>
      <c r="K292" s="276" t="s">
        <v>1096</v>
      </c>
      <c r="L292" s="189" t="s">
        <v>708</v>
      </c>
      <c r="M292" s="276"/>
      <c r="N292" s="276"/>
      <c r="O292" s="189" t="s">
        <v>78</v>
      </c>
      <c r="P292" s="276"/>
      <c r="Q292" s="276"/>
      <c r="R292" s="276"/>
      <c r="S292" s="276"/>
      <c r="T292" s="276"/>
      <c r="U292" s="276"/>
      <c r="V292" s="276"/>
      <c r="W292" s="276"/>
      <c r="X292" s="173"/>
      <c r="Y292" s="276"/>
      <c r="Z292" s="276"/>
      <c r="AA292" s="276" t="s">
        <v>1220</v>
      </c>
      <c r="AB292" s="276"/>
      <c r="AC292" s="275">
        <v>17</v>
      </c>
      <c r="AD292" s="189" t="s">
        <v>1967</v>
      </c>
      <c r="AE292" s="189" t="s">
        <v>1968</v>
      </c>
      <c r="AF292" s="189" t="s">
        <v>2069</v>
      </c>
      <c r="AG292" s="276" t="s">
        <v>2070</v>
      </c>
      <c r="AH292" s="276"/>
      <c r="AI292" s="275">
        <v>4</v>
      </c>
      <c r="AJ292" s="83" t="s">
        <v>2071</v>
      </c>
      <c r="AK292" s="189" t="s">
        <v>2072</v>
      </c>
      <c r="AL292" s="189" t="s">
        <v>78</v>
      </c>
      <c r="AM292" s="189"/>
      <c r="AN292" s="189" t="s">
        <v>9</v>
      </c>
      <c r="AO292" s="189" t="s">
        <v>1369</v>
      </c>
      <c r="AP292" s="189" t="s">
        <v>2073</v>
      </c>
      <c r="AQ292" s="189" t="s">
        <v>2074</v>
      </c>
      <c r="AR292" s="189" t="s">
        <v>2075</v>
      </c>
      <c r="AS292" s="189" t="s">
        <v>1924</v>
      </c>
      <c r="AT292" s="189"/>
      <c r="AU292" s="189"/>
      <c r="AV292" s="276" t="s">
        <v>1951</v>
      </c>
      <c r="AW292" s="76"/>
      <c r="AX292" s="275">
        <v>1</v>
      </c>
      <c r="AY292" s="276" t="s">
        <v>2076</v>
      </c>
      <c r="AZ292" s="189" t="s">
        <v>1924</v>
      </c>
      <c r="BA292" s="83" t="s">
        <v>1925</v>
      </c>
      <c r="BB292" s="189" t="s">
        <v>1229</v>
      </c>
      <c r="BC292" s="189" t="s">
        <v>11</v>
      </c>
      <c r="BD292" s="189" t="s">
        <v>11</v>
      </c>
      <c r="BE292" s="189" t="s">
        <v>9</v>
      </c>
      <c r="BF292" s="189" t="s">
        <v>9</v>
      </c>
      <c r="BG292" s="189" t="s">
        <v>2077</v>
      </c>
      <c r="BH292" s="95" t="s">
        <v>2078</v>
      </c>
      <c r="BI292" s="83" t="s">
        <v>1955</v>
      </c>
      <c r="BJ292" s="189" t="s">
        <v>2079</v>
      </c>
      <c r="BK292" s="189" t="s">
        <v>2050</v>
      </c>
      <c r="BL292" s="276">
        <v>2408900</v>
      </c>
      <c r="BM292" s="276">
        <v>2015</v>
      </c>
      <c r="BN292" s="83">
        <v>12</v>
      </c>
      <c r="BO292" s="111"/>
      <c r="BP292" s="77"/>
      <c r="BQ292" s="173">
        <v>-12</v>
      </c>
      <c r="BR292" s="275">
        <v>5</v>
      </c>
      <c r="BS292" s="94">
        <v>9.6</v>
      </c>
      <c r="BT292" s="94">
        <v>12</v>
      </c>
      <c r="BU292" s="94">
        <v>0</v>
      </c>
      <c r="BV292" s="188">
        <v>0</v>
      </c>
      <c r="BW292" s="94">
        <v>7.2</v>
      </c>
      <c r="BX292" s="94">
        <v>16</v>
      </c>
      <c r="BY292" s="94">
        <v>4</v>
      </c>
      <c r="BZ292" s="89">
        <v>-0.33333333333333331</v>
      </c>
      <c r="CA292" s="94">
        <v>4.8000000000000007</v>
      </c>
      <c r="CB292" s="94"/>
      <c r="CC292" s="94">
        <v>-12</v>
      </c>
      <c r="CD292" s="188">
        <v>1</v>
      </c>
      <c r="CE292" s="94">
        <v>2.4000000000000004</v>
      </c>
      <c r="CF292" s="94"/>
      <c r="CG292" s="94">
        <v>-12</v>
      </c>
      <c r="CH292" s="188">
        <v>1</v>
      </c>
      <c r="CI292" s="94">
        <v>0</v>
      </c>
      <c r="CJ292" s="94"/>
      <c r="CK292" s="94">
        <v>-12</v>
      </c>
      <c r="CL292" s="89">
        <v>1</v>
      </c>
      <c r="CM292" s="89"/>
      <c r="CN292" s="188"/>
      <c r="CO292" s="188"/>
      <c r="CP292" s="188"/>
      <c r="CQ292" s="188"/>
      <c r="CS292" s="24">
        <v>292</v>
      </c>
    </row>
    <row r="293" spans="1:97" ht="313.5" x14ac:dyDescent="0.25">
      <c r="A293" s="276">
        <v>20</v>
      </c>
      <c r="B293" s="269" t="s">
        <v>4575</v>
      </c>
      <c r="C293" s="83">
        <v>10</v>
      </c>
      <c r="D293" s="83" t="s">
        <v>686</v>
      </c>
      <c r="E293" s="83" t="s">
        <v>705</v>
      </c>
      <c r="F293" s="83" t="s">
        <v>703</v>
      </c>
      <c r="G293" s="83">
        <v>5</v>
      </c>
      <c r="H293" s="83"/>
      <c r="I293" s="83"/>
      <c r="J293" s="83"/>
      <c r="K293" s="83" t="s">
        <v>1097</v>
      </c>
      <c r="L293" s="83" t="s">
        <v>709</v>
      </c>
      <c r="M293" s="276" t="s">
        <v>689</v>
      </c>
      <c r="N293" s="276" t="s">
        <v>690</v>
      </c>
      <c r="O293" s="189" t="s">
        <v>78</v>
      </c>
      <c r="P293" s="276" t="s">
        <v>108</v>
      </c>
      <c r="Q293" s="276" t="s">
        <v>690</v>
      </c>
      <c r="R293" s="83"/>
      <c r="S293" s="83"/>
      <c r="T293" s="83" t="s">
        <v>79</v>
      </c>
      <c r="U293" s="83"/>
      <c r="V293" s="83"/>
      <c r="W293" s="83"/>
      <c r="X293" s="83">
        <v>10</v>
      </c>
      <c r="Y293" s="83">
        <v>0</v>
      </c>
      <c r="Z293" s="83">
        <v>1</v>
      </c>
      <c r="AA293" s="276" t="s">
        <v>1220</v>
      </c>
      <c r="AB293" s="83"/>
      <c r="AC293" s="83">
        <v>17</v>
      </c>
      <c r="AD293" s="83" t="s">
        <v>1312</v>
      </c>
      <c r="AE293" s="83" t="s">
        <v>1313</v>
      </c>
      <c r="AF293" s="83"/>
      <c r="AG293" s="83" t="s">
        <v>1236</v>
      </c>
      <c r="AH293" s="83"/>
      <c r="AI293" s="83">
        <v>1</v>
      </c>
      <c r="AJ293" s="83" t="s">
        <v>2080</v>
      </c>
      <c r="AK293" s="83" t="s">
        <v>2081</v>
      </c>
      <c r="AL293" s="83" t="s">
        <v>137</v>
      </c>
      <c r="AM293" s="83"/>
      <c r="AN293" s="83" t="s">
        <v>9</v>
      </c>
      <c r="AO293" s="83" t="s">
        <v>2026</v>
      </c>
      <c r="AP293" s="189" t="s">
        <v>2082</v>
      </c>
      <c r="AQ293" s="189" t="s">
        <v>2083</v>
      </c>
      <c r="AR293" s="189" t="s">
        <v>2084</v>
      </c>
      <c r="AS293" s="83" t="s">
        <v>1924</v>
      </c>
      <c r="AT293" s="83"/>
      <c r="AU293" s="83"/>
      <c r="AV293" s="276" t="s">
        <v>1951</v>
      </c>
      <c r="AW293" s="83"/>
      <c r="AX293" s="276">
        <v>1</v>
      </c>
      <c r="AY293" s="83" t="s">
        <v>2085</v>
      </c>
      <c r="AZ293" s="83" t="s">
        <v>1924</v>
      </c>
      <c r="BA293" s="189" t="s">
        <v>1925</v>
      </c>
      <c r="BB293" s="189" t="s">
        <v>1229</v>
      </c>
      <c r="BC293" s="83" t="s">
        <v>11</v>
      </c>
      <c r="BD293" s="83" t="s">
        <v>11</v>
      </c>
      <c r="BE293" s="83" t="s">
        <v>9</v>
      </c>
      <c r="BF293" s="83" t="s">
        <v>9</v>
      </c>
      <c r="BG293" s="83" t="s">
        <v>2086</v>
      </c>
      <c r="BH293" s="96" t="s">
        <v>2087</v>
      </c>
      <c r="BI293" s="83" t="s">
        <v>1955</v>
      </c>
      <c r="BJ293" s="83" t="s">
        <v>1956</v>
      </c>
      <c r="BK293" s="83" t="s">
        <v>2088</v>
      </c>
      <c r="BL293" s="276">
        <v>2408900</v>
      </c>
      <c r="BM293" s="83">
        <v>2015</v>
      </c>
      <c r="BN293" s="173">
        <v>0</v>
      </c>
      <c r="BO293" s="98">
        <v>5</v>
      </c>
      <c r="BP293" s="83"/>
      <c r="BQ293" s="183">
        <v>5</v>
      </c>
      <c r="BR293" s="83">
        <v>5</v>
      </c>
      <c r="BS293" s="178">
        <v>1</v>
      </c>
      <c r="BT293" s="178">
        <v>0</v>
      </c>
      <c r="BU293" s="94">
        <v>0</v>
      </c>
      <c r="BV293" s="188">
        <v>0</v>
      </c>
      <c r="BW293" s="178">
        <v>2</v>
      </c>
      <c r="BX293" s="178">
        <v>1</v>
      </c>
      <c r="BY293" s="94">
        <v>1</v>
      </c>
      <c r="BZ293" s="89">
        <v>0.2</v>
      </c>
      <c r="CA293" s="178">
        <v>3</v>
      </c>
      <c r="CB293" s="178"/>
      <c r="CC293" s="94">
        <v>0</v>
      </c>
      <c r="CD293" s="188">
        <v>0</v>
      </c>
      <c r="CE293" s="178">
        <v>4</v>
      </c>
      <c r="CF293" s="178"/>
      <c r="CG293" s="94">
        <v>0</v>
      </c>
      <c r="CH293" s="188">
        <v>0</v>
      </c>
      <c r="CI293" s="178">
        <v>5</v>
      </c>
      <c r="CJ293" s="178"/>
      <c r="CK293" s="94">
        <v>0</v>
      </c>
      <c r="CL293" s="89">
        <v>0</v>
      </c>
      <c r="CM293" s="83"/>
      <c r="CN293" s="83"/>
      <c r="CO293" s="83"/>
      <c r="CP293" s="83"/>
      <c r="CQ293" s="83"/>
      <c r="CS293" s="24">
        <v>293</v>
      </c>
    </row>
    <row r="294" spans="1:97" ht="242.25" x14ac:dyDescent="0.25">
      <c r="A294" s="276">
        <v>20</v>
      </c>
      <c r="B294" s="269" t="s">
        <v>4575</v>
      </c>
      <c r="C294" s="269">
        <v>10</v>
      </c>
      <c r="D294" s="189" t="s">
        <v>686</v>
      </c>
      <c r="E294" s="276" t="s">
        <v>705</v>
      </c>
      <c r="F294" s="189" t="s">
        <v>703</v>
      </c>
      <c r="G294" s="172">
        <v>5</v>
      </c>
      <c r="H294" s="172"/>
      <c r="I294" s="172"/>
      <c r="J294" s="172"/>
      <c r="K294" s="276" t="s">
        <v>1097</v>
      </c>
      <c r="L294" s="189" t="s">
        <v>709</v>
      </c>
      <c r="M294" s="276" t="s">
        <v>689</v>
      </c>
      <c r="N294" s="276" t="s">
        <v>690</v>
      </c>
      <c r="O294" s="189" t="s">
        <v>78</v>
      </c>
      <c r="P294" s="276" t="s">
        <v>108</v>
      </c>
      <c r="Q294" s="276" t="s">
        <v>690</v>
      </c>
      <c r="R294" s="83"/>
      <c r="S294" s="83"/>
      <c r="T294" s="83"/>
      <c r="U294" s="83"/>
      <c r="V294" s="83"/>
      <c r="W294" s="83"/>
      <c r="X294" s="83"/>
      <c r="Y294" s="276">
        <v>0</v>
      </c>
      <c r="Z294" s="276">
        <v>1</v>
      </c>
      <c r="AA294" s="276" t="s">
        <v>1220</v>
      </c>
      <c r="AB294" s="83"/>
      <c r="AC294" s="275">
        <v>17</v>
      </c>
      <c r="AD294" s="189" t="s">
        <v>1312</v>
      </c>
      <c r="AE294" s="189" t="s">
        <v>3085</v>
      </c>
      <c r="AF294" s="189" t="s">
        <v>2089</v>
      </c>
      <c r="AG294" s="77" t="s">
        <v>1236</v>
      </c>
      <c r="AH294" s="77"/>
      <c r="AI294" s="83">
        <v>2</v>
      </c>
      <c r="AJ294" s="83" t="s">
        <v>2090</v>
      </c>
      <c r="AK294" s="189" t="s">
        <v>2091</v>
      </c>
      <c r="AL294" s="189" t="s">
        <v>1259</v>
      </c>
      <c r="AM294" s="189"/>
      <c r="AN294" s="96" t="s">
        <v>2092</v>
      </c>
      <c r="AO294" s="189" t="s">
        <v>10</v>
      </c>
      <c r="AP294" s="189" t="s">
        <v>2093</v>
      </c>
      <c r="AQ294" s="189" t="s">
        <v>2094</v>
      </c>
      <c r="AR294" s="189" t="s">
        <v>2095</v>
      </c>
      <c r="AS294" s="189" t="s">
        <v>2096</v>
      </c>
      <c r="AT294" s="189" t="s">
        <v>2097</v>
      </c>
      <c r="AU294" s="189" t="s">
        <v>2096</v>
      </c>
      <c r="AV294" s="189" t="s">
        <v>1529</v>
      </c>
      <c r="AW294" s="189" t="s">
        <v>2098</v>
      </c>
      <c r="AX294" s="276">
        <v>1</v>
      </c>
      <c r="AY294" s="83" t="s">
        <v>2099</v>
      </c>
      <c r="AZ294" s="189" t="s">
        <v>2100</v>
      </c>
      <c r="BA294" s="189" t="s">
        <v>2101</v>
      </c>
      <c r="BB294" s="189" t="s">
        <v>1229</v>
      </c>
      <c r="BC294" s="83" t="s">
        <v>11</v>
      </c>
      <c r="BD294" s="189" t="s">
        <v>1529</v>
      </c>
      <c r="BE294" s="189" t="s">
        <v>9</v>
      </c>
      <c r="BF294" s="189" t="s">
        <v>9</v>
      </c>
      <c r="BG294" s="96" t="s">
        <v>2102</v>
      </c>
      <c r="BH294" s="189" t="s">
        <v>2103</v>
      </c>
      <c r="BI294" s="189" t="s">
        <v>1860</v>
      </c>
      <c r="BJ294" s="189" t="s">
        <v>2104</v>
      </c>
      <c r="BK294" s="189" t="s">
        <v>2104</v>
      </c>
      <c r="BL294" s="276" t="s">
        <v>2105</v>
      </c>
      <c r="BM294" s="105">
        <v>2015</v>
      </c>
      <c r="BN294" s="112">
        <v>1.4880064148305944E-2</v>
      </c>
      <c r="BO294" s="105"/>
      <c r="BP294" s="189"/>
      <c r="BQ294" s="187">
        <v>-1.4880064148305944E-2</v>
      </c>
      <c r="BR294" s="101">
        <v>5</v>
      </c>
      <c r="BS294" s="102">
        <v>1.1904051318644755E-2</v>
      </c>
      <c r="BT294" s="188">
        <v>1.7753473373196313E-2</v>
      </c>
      <c r="BU294" s="102">
        <v>2.8734092248903689E-3</v>
      </c>
      <c r="BV294" s="102">
        <v>-0.19310462617982052</v>
      </c>
      <c r="BW294" s="102">
        <v>8.9280384889835664E-3</v>
      </c>
      <c r="BX294" s="188">
        <v>1.9847511641813909E-2</v>
      </c>
      <c r="BY294" s="102">
        <v>4.9674474935079652E-3</v>
      </c>
      <c r="BZ294" s="104">
        <v>-0.33383239776378892</v>
      </c>
      <c r="CA294" s="102">
        <v>5.9520256593223776E-3</v>
      </c>
      <c r="CB294" s="189"/>
      <c r="CC294" s="102">
        <v>-1.4880064148305944E-2</v>
      </c>
      <c r="CD294" s="102">
        <v>1</v>
      </c>
      <c r="CE294" s="102">
        <v>2.9760128296611888E-3</v>
      </c>
      <c r="CF294" s="102"/>
      <c r="CG294" s="102">
        <v>-1.4880064148305944E-2</v>
      </c>
      <c r="CH294" s="102">
        <v>1</v>
      </c>
      <c r="CI294" s="102">
        <v>0</v>
      </c>
      <c r="CJ294" s="102"/>
      <c r="CK294" s="102">
        <v>-1.4880064148305944E-2</v>
      </c>
      <c r="CL294" s="102">
        <v>1</v>
      </c>
      <c r="CM294" s="83"/>
      <c r="CN294" s="83"/>
      <c r="CO294" s="83"/>
      <c r="CP294" s="83"/>
      <c r="CQ294" s="83"/>
      <c r="CS294" s="2">
        <v>294</v>
      </c>
    </row>
    <row r="295" spans="1:97" ht="242.25" x14ac:dyDescent="0.25">
      <c r="A295" s="276">
        <v>20</v>
      </c>
      <c r="B295" s="269" t="s">
        <v>4575</v>
      </c>
      <c r="C295" s="269">
        <v>10</v>
      </c>
      <c r="D295" s="189" t="s">
        <v>686</v>
      </c>
      <c r="E295" s="276" t="s">
        <v>705</v>
      </c>
      <c r="F295" s="189" t="s">
        <v>703</v>
      </c>
      <c r="G295" s="172">
        <v>5</v>
      </c>
      <c r="H295" s="172"/>
      <c r="I295" s="172"/>
      <c r="J295" s="172"/>
      <c r="K295" s="276" t="s">
        <v>1097</v>
      </c>
      <c r="L295" s="189" t="s">
        <v>709</v>
      </c>
      <c r="M295" s="276" t="s">
        <v>773</v>
      </c>
      <c r="N295" s="189" t="s">
        <v>783</v>
      </c>
      <c r="O295" s="189" t="s">
        <v>78</v>
      </c>
      <c r="P295" s="276" t="s">
        <v>91</v>
      </c>
      <c r="Q295" s="276" t="s">
        <v>784</v>
      </c>
      <c r="R295" s="276"/>
      <c r="S295" s="276"/>
      <c r="T295" s="276" t="s">
        <v>79</v>
      </c>
      <c r="U295" s="276"/>
      <c r="V295" s="276"/>
      <c r="W295" s="276"/>
      <c r="X295" s="173">
        <v>10</v>
      </c>
      <c r="Y295" s="276">
        <v>0</v>
      </c>
      <c r="Z295" s="276">
        <v>1</v>
      </c>
      <c r="AA295" s="276" t="s">
        <v>1220</v>
      </c>
      <c r="AB295" s="276"/>
      <c r="AC295" s="275">
        <v>17</v>
      </c>
      <c r="AD295" s="189" t="s">
        <v>1312</v>
      </c>
      <c r="AE295" s="189" t="s">
        <v>3085</v>
      </c>
      <c r="AF295" s="189" t="s">
        <v>2089</v>
      </c>
      <c r="AG295" s="77" t="s">
        <v>1236</v>
      </c>
      <c r="AH295" s="77"/>
      <c r="AI295" s="275">
        <v>3</v>
      </c>
      <c r="AJ295" s="83" t="s">
        <v>2106</v>
      </c>
      <c r="AK295" s="189" t="s">
        <v>2107</v>
      </c>
      <c r="AL295" s="189" t="s">
        <v>1259</v>
      </c>
      <c r="AM295" s="189"/>
      <c r="AN295" s="96" t="s">
        <v>2108</v>
      </c>
      <c r="AO295" s="189" t="s">
        <v>10</v>
      </c>
      <c r="AP295" s="189" t="s">
        <v>2109</v>
      </c>
      <c r="AQ295" s="189" t="s">
        <v>2110</v>
      </c>
      <c r="AR295" s="189" t="s">
        <v>2111</v>
      </c>
      <c r="AS295" s="189" t="s">
        <v>2096</v>
      </c>
      <c r="AT295" s="189" t="s">
        <v>2097</v>
      </c>
      <c r="AU295" s="189" t="s">
        <v>2096</v>
      </c>
      <c r="AV295" s="189" t="s">
        <v>1529</v>
      </c>
      <c r="AW295" s="189" t="s">
        <v>2098</v>
      </c>
      <c r="AX295" s="276">
        <v>1</v>
      </c>
      <c r="AY295" s="83" t="s">
        <v>2112</v>
      </c>
      <c r="AZ295" s="189" t="s">
        <v>2100</v>
      </c>
      <c r="BA295" s="189" t="s">
        <v>2101</v>
      </c>
      <c r="BB295" s="189" t="s">
        <v>1229</v>
      </c>
      <c r="BC295" s="83" t="s">
        <v>11</v>
      </c>
      <c r="BD295" s="189" t="s">
        <v>1529</v>
      </c>
      <c r="BE295" s="189" t="s">
        <v>9</v>
      </c>
      <c r="BF295" s="189" t="s">
        <v>9</v>
      </c>
      <c r="BG295" s="96" t="s">
        <v>2113</v>
      </c>
      <c r="BH295" s="189" t="s">
        <v>2103</v>
      </c>
      <c r="BI295" s="189" t="s">
        <v>1860</v>
      </c>
      <c r="BJ295" s="189" t="s">
        <v>2104</v>
      </c>
      <c r="BK295" s="189" t="s">
        <v>2104</v>
      </c>
      <c r="BL295" s="276" t="s">
        <v>2105</v>
      </c>
      <c r="BM295" s="105">
        <v>2015</v>
      </c>
      <c r="BN295" s="112">
        <v>1.4874522497442802E-2</v>
      </c>
      <c r="BO295" s="111"/>
      <c r="BP295" s="77"/>
      <c r="BQ295" s="187">
        <v>-1.4874522497442802E-2</v>
      </c>
      <c r="BR295" s="101">
        <v>5</v>
      </c>
      <c r="BS295" s="102">
        <v>1.1899617997954241E-2</v>
      </c>
      <c r="BT295" s="188">
        <v>1.7342509912457792E-2</v>
      </c>
      <c r="BU295" s="102">
        <v>2.4679874150149907E-3</v>
      </c>
      <c r="BV295" s="102">
        <v>-0.16592044655142929</v>
      </c>
      <c r="BW295" s="102">
        <v>8.924713498465681E-3</v>
      </c>
      <c r="BX295" s="188">
        <v>1.53311901782401E-2</v>
      </c>
      <c r="BY295" s="102">
        <v>4.5666768079729789E-4</v>
      </c>
      <c r="BZ295" s="104">
        <v>-3.0701333832787392E-2</v>
      </c>
      <c r="CA295" s="102">
        <v>5.9498089989771206E-3</v>
      </c>
      <c r="CB295" s="188"/>
      <c r="CC295" s="102">
        <v>-1.4874522497442802E-2</v>
      </c>
      <c r="CD295" s="102">
        <v>1</v>
      </c>
      <c r="CE295" s="102">
        <v>2.9749044994885603E-3</v>
      </c>
      <c r="CF295" s="102"/>
      <c r="CG295" s="102">
        <v>-1.4874522497442802E-2</v>
      </c>
      <c r="CH295" s="102">
        <v>1</v>
      </c>
      <c r="CI295" s="102">
        <v>0</v>
      </c>
      <c r="CJ295" s="102"/>
      <c r="CK295" s="102">
        <v>-1.4874522497442802E-2</v>
      </c>
      <c r="CL295" s="102">
        <v>1</v>
      </c>
      <c r="CM295" s="89"/>
      <c r="CN295" s="188"/>
      <c r="CO295" s="188"/>
      <c r="CP295" s="188"/>
      <c r="CQ295" s="188"/>
      <c r="CS295" s="24">
        <v>295</v>
      </c>
    </row>
    <row r="296" spans="1:97" ht="342" x14ac:dyDescent="0.25">
      <c r="A296" s="276">
        <v>21</v>
      </c>
      <c r="B296" s="269" t="s">
        <v>4575</v>
      </c>
      <c r="C296" s="269">
        <v>10</v>
      </c>
      <c r="D296" s="189" t="s">
        <v>686</v>
      </c>
      <c r="E296" s="276" t="s">
        <v>712</v>
      </c>
      <c r="F296" s="189" t="s">
        <v>710</v>
      </c>
      <c r="G296" s="172">
        <v>1</v>
      </c>
      <c r="H296" s="172"/>
      <c r="I296" s="172"/>
      <c r="J296" s="172"/>
      <c r="K296" s="276" t="s">
        <v>1098</v>
      </c>
      <c r="L296" s="189" t="s">
        <v>711</v>
      </c>
      <c r="M296" s="276" t="s">
        <v>689</v>
      </c>
      <c r="N296" s="189" t="s">
        <v>690</v>
      </c>
      <c r="O296" s="189" t="s">
        <v>78</v>
      </c>
      <c r="P296" s="276" t="s">
        <v>108</v>
      </c>
      <c r="Q296" s="276" t="s">
        <v>690</v>
      </c>
      <c r="R296" s="276"/>
      <c r="S296" s="276"/>
      <c r="T296" s="276" t="s">
        <v>79</v>
      </c>
      <c r="U296" s="276"/>
      <c r="V296" s="276"/>
      <c r="W296" s="276"/>
      <c r="X296" s="173">
        <v>33.333333333333336</v>
      </c>
      <c r="Y296" s="276">
        <v>0</v>
      </c>
      <c r="Z296" s="276">
        <v>1</v>
      </c>
      <c r="AA296" s="276" t="s">
        <v>1220</v>
      </c>
      <c r="AB296" s="276"/>
      <c r="AC296" s="275"/>
      <c r="AD296" s="77"/>
      <c r="AE296" s="77"/>
      <c r="AF296" s="77"/>
      <c r="AG296" s="77" t="s">
        <v>1364</v>
      </c>
      <c r="AH296" s="77"/>
      <c r="AI296" s="275">
        <v>1</v>
      </c>
      <c r="AJ296" s="83" t="s">
        <v>2114</v>
      </c>
      <c r="AK296" s="83" t="s">
        <v>2115</v>
      </c>
      <c r="AL296" s="189" t="s">
        <v>78</v>
      </c>
      <c r="AM296" s="189"/>
      <c r="AN296" s="78" t="s">
        <v>1369</v>
      </c>
      <c r="AO296" s="83" t="s">
        <v>2116</v>
      </c>
      <c r="AP296" s="189" t="s">
        <v>2117</v>
      </c>
      <c r="AQ296" s="189" t="s">
        <v>2118</v>
      </c>
      <c r="AR296" s="79" t="s">
        <v>1924</v>
      </c>
      <c r="AS296" s="189"/>
      <c r="AT296" s="79"/>
      <c r="AU296" s="76"/>
      <c r="AV296" s="76"/>
      <c r="AW296" s="76"/>
      <c r="AX296" s="275">
        <v>1</v>
      </c>
      <c r="AY296" s="276" t="s">
        <v>2119</v>
      </c>
      <c r="AZ296" s="276" t="s">
        <v>1939</v>
      </c>
      <c r="BA296" s="275" t="s">
        <v>2120</v>
      </c>
      <c r="BB296" s="276" t="s">
        <v>2121</v>
      </c>
      <c r="BC296" s="275" t="s">
        <v>11</v>
      </c>
      <c r="BD296" s="275" t="s">
        <v>11</v>
      </c>
      <c r="BE296" s="275" t="s">
        <v>9</v>
      </c>
      <c r="BF296" s="275" t="s">
        <v>9</v>
      </c>
      <c r="BG296" s="276" t="s">
        <v>2122</v>
      </c>
      <c r="BH296" s="83" t="s">
        <v>2123</v>
      </c>
      <c r="BI296" s="276" t="s">
        <v>1939</v>
      </c>
      <c r="BJ296" s="276" t="s">
        <v>2124</v>
      </c>
      <c r="BK296" s="276" t="s">
        <v>2125</v>
      </c>
      <c r="BL296" s="275">
        <v>2408900</v>
      </c>
      <c r="BM296" s="275">
        <v>2015</v>
      </c>
      <c r="BN296" s="276">
        <v>0</v>
      </c>
      <c r="BO296" s="276">
        <v>10</v>
      </c>
      <c r="BP296" s="276"/>
      <c r="BQ296" s="172">
        <v>10</v>
      </c>
      <c r="BR296" s="275">
        <v>5</v>
      </c>
      <c r="BS296" s="176">
        <v>2</v>
      </c>
      <c r="BT296" s="176">
        <v>2</v>
      </c>
      <c r="BU296" s="94">
        <v>2</v>
      </c>
      <c r="BV296" s="188">
        <v>0.2</v>
      </c>
      <c r="BW296" s="176">
        <v>4</v>
      </c>
      <c r="BX296" s="176">
        <v>2</v>
      </c>
      <c r="BY296" s="176">
        <v>2</v>
      </c>
      <c r="BZ296" s="89">
        <v>0.2</v>
      </c>
      <c r="CA296" s="176">
        <v>6</v>
      </c>
      <c r="CB296" s="176"/>
      <c r="CC296" s="176">
        <v>0</v>
      </c>
      <c r="CD296" s="188">
        <v>0</v>
      </c>
      <c r="CE296" s="176">
        <v>8</v>
      </c>
      <c r="CF296" s="176"/>
      <c r="CG296" s="176">
        <v>0</v>
      </c>
      <c r="CH296" s="188">
        <v>0</v>
      </c>
      <c r="CI296" s="188">
        <v>10</v>
      </c>
      <c r="CJ296" s="188"/>
      <c r="CK296" s="188">
        <v>0</v>
      </c>
      <c r="CL296" s="89">
        <v>0</v>
      </c>
      <c r="CM296" s="188"/>
      <c r="CN296" s="188"/>
      <c r="CO296" s="188"/>
      <c r="CP296" s="188"/>
      <c r="CQ296" s="77"/>
      <c r="CS296" s="24">
        <v>296</v>
      </c>
    </row>
    <row r="297" spans="1:97" ht="285" x14ac:dyDescent="0.25">
      <c r="A297" s="276">
        <v>21</v>
      </c>
      <c r="B297" s="269" t="s">
        <v>4575</v>
      </c>
      <c r="C297" s="269">
        <v>10</v>
      </c>
      <c r="D297" s="189" t="s">
        <v>686</v>
      </c>
      <c r="E297" s="276" t="s">
        <v>712</v>
      </c>
      <c r="F297" s="189" t="s">
        <v>710</v>
      </c>
      <c r="G297" s="172">
        <v>2</v>
      </c>
      <c r="H297" s="172"/>
      <c r="I297" s="172"/>
      <c r="J297" s="172"/>
      <c r="K297" s="276" t="s">
        <v>1099</v>
      </c>
      <c r="L297" s="189" t="s">
        <v>713</v>
      </c>
      <c r="M297" s="276" t="s">
        <v>689</v>
      </c>
      <c r="N297" s="189" t="s">
        <v>690</v>
      </c>
      <c r="O297" s="189" t="s">
        <v>78</v>
      </c>
      <c r="P297" s="276" t="s">
        <v>108</v>
      </c>
      <c r="Q297" s="276" t="s">
        <v>690</v>
      </c>
      <c r="R297" s="276"/>
      <c r="S297" s="276"/>
      <c r="T297" s="276" t="s">
        <v>79</v>
      </c>
      <c r="U297" s="276"/>
      <c r="V297" s="276"/>
      <c r="W297" s="276"/>
      <c r="X297" s="173">
        <v>33.333333333333336</v>
      </c>
      <c r="Y297" s="276">
        <v>0</v>
      </c>
      <c r="Z297" s="276">
        <v>1</v>
      </c>
      <c r="AA297" s="276" t="s">
        <v>1220</v>
      </c>
      <c r="AB297" s="276"/>
      <c r="AC297" s="275"/>
      <c r="AD297" s="77"/>
      <c r="AE297" s="77"/>
      <c r="AF297" s="77"/>
      <c r="AG297" s="77" t="s">
        <v>1364</v>
      </c>
      <c r="AH297" s="77"/>
      <c r="AI297" s="275">
        <v>1</v>
      </c>
      <c r="AJ297" s="83" t="s">
        <v>2126</v>
      </c>
      <c r="AK297" s="83" t="s">
        <v>2127</v>
      </c>
      <c r="AL297" s="189" t="s">
        <v>78</v>
      </c>
      <c r="AM297" s="189"/>
      <c r="AN297" s="78" t="s">
        <v>10</v>
      </c>
      <c r="AO297" s="189" t="s">
        <v>2128</v>
      </c>
      <c r="AP297" s="189" t="s">
        <v>2129</v>
      </c>
      <c r="AQ297" s="189" t="s">
        <v>2130</v>
      </c>
      <c r="AR297" s="79" t="s">
        <v>1924</v>
      </c>
      <c r="AS297" s="79">
        <v>5</v>
      </c>
      <c r="AT297" s="79"/>
      <c r="AU297" s="76"/>
      <c r="AV297" s="76"/>
      <c r="AW297" s="76"/>
      <c r="AX297" s="275">
        <v>1</v>
      </c>
      <c r="AY297" s="276" t="s">
        <v>2131</v>
      </c>
      <c r="AZ297" s="276" t="s">
        <v>1939</v>
      </c>
      <c r="BA297" s="275" t="s">
        <v>2120</v>
      </c>
      <c r="BB297" s="276" t="s">
        <v>2121</v>
      </c>
      <c r="BC297" s="275" t="s">
        <v>11</v>
      </c>
      <c r="BD297" s="275" t="s">
        <v>11</v>
      </c>
      <c r="BE297" s="275" t="s">
        <v>9</v>
      </c>
      <c r="BF297" s="275" t="s">
        <v>9</v>
      </c>
      <c r="BG297" s="276" t="s">
        <v>2132</v>
      </c>
      <c r="BH297" s="83" t="s">
        <v>2133</v>
      </c>
      <c r="BI297" s="276" t="s">
        <v>1939</v>
      </c>
      <c r="BJ297" s="276" t="s">
        <v>1929</v>
      </c>
      <c r="BK297" s="276" t="s">
        <v>2125</v>
      </c>
      <c r="BL297" s="275">
        <v>2408900</v>
      </c>
      <c r="BM297" s="275">
        <v>2015</v>
      </c>
      <c r="BN297" s="276">
        <v>0</v>
      </c>
      <c r="BO297" s="276">
        <v>5</v>
      </c>
      <c r="BP297" s="83"/>
      <c r="BQ297" s="172">
        <v>5</v>
      </c>
      <c r="BR297" s="275">
        <v>5</v>
      </c>
      <c r="BS297" s="176">
        <v>1</v>
      </c>
      <c r="BT297" s="176">
        <v>1</v>
      </c>
      <c r="BU297" s="94">
        <v>1</v>
      </c>
      <c r="BV297" s="188">
        <v>0.2</v>
      </c>
      <c r="BW297" s="176">
        <v>2</v>
      </c>
      <c r="BX297" s="176">
        <v>1</v>
      </c>
      <c r="BY297" s="176">
        <v>1</v>
      </c>
      <c r="BZ297" s="89">
        <v>0.2</v>
      </c>
      <c r="CA297" s="176">
        <v>3</v>
      </c>
      <c r="CB297" s="176"/>
      <c r="CC297" s="176">
        <v>0</v>
      </c>
      <c r="CD297" s="188">
        <v>0</v>
      </c>
      <c r="CE297" s="176">
        <v>4</v>
      </c>
      <c r="CF297" s="176"/>
      <c r="CG297" s="176">
        <v>0</v>
      </c>
      <c r="CH297" s="188">
        <v>0</v>
      </c>
      <c r="CI297" s="176">
        <v>5</v>
      </c>
      <c r="CJ297" s="176"/>
      <c r="CK297" s="176">
        <v>0</v>
      </c>
      <c r="CL297" s="89">
        <v>0</v>
      </c>
      <c r="CM297" s="77"/>
      <c r="CN297" s="77"/>
      <c r="CO297" s="77"/>
      <c r="CP297" s="77"/>
      <c r="CQ297" s="77"/>
      <c r="CS297" s="2">
        <v>297</v>
      </c>
    </row>
    <row r="298" spans="1:97" ht="270.75" x14ac:dyDescent="0.25">
      <c r="A298" s="276">
        <v>21</v>
      </c>
      <c r="B298" s="269" t="s">
        <v>4575</v>
      </c>
      <c r="C298" s="269">
        <v>10</v>
      </c>
      <c r="D298" s="189" t="s">
        <v>686</v>
      </c>
      <c r="E298" s="276" t="s">
        <v>712</v>
      </c>
      <c r="F298" s="189" t="s">
        <v>710</v>
      </c>
      <c r="G298" s="172">
        <v>3</v>
      </c>
      <c r="H298" s="172"/>
      <c r="I298" s="172"/>
      <c r="J298" s="172"/>
      <c r="K298" s="276" t="s">
        <v>1100</v>
      </c>
      <c r="L298" s="189" t="s">
        <v>714</v>
      </c>
      <c r="M298" s="276" t="s">
        <v>689</v>
      </c>
      <c r="N298" s="189" t="s">
        <v>690</v>
      </c>
      <c r="O298" s="189" t="s">
        <v>78</v>
      </c>
      <c r="P298" s="276" t="s">
        <v>108</v>
      </c>
      <c r="Q298" s="276" t="s">
        <v>690</v>
      </c>
      <c r="R298" s="276"/>
      <c r="S298" s="276"/>
      <c r="T298" s="276" t="s">
        <v>79</v>
      </c>
      <c r="U298" s="276"/>
      <c r="V298" s="276"/>
      <c r="W298" s="276"/>
      <c r="X298" s="173">
        <v>33.333333333333336</v>
      </c>
      <c r="Y298" s="276">
        <v>0</v>
      </c>
      <c r="Z298" s="276">
        <v>1</v>
      </c>
      <c r="AA298" s="276" t="s">
        <v>1220</v>
      </c>
      <c r="AB298" s="276"/>
      <c r="AC298" s="275"/>
      <c r="AD298" s="77"/>
      <c r="AE298" s="77"/>
      <c r="AF298" s="77"/>
      <c r="AG298" s="77" t="s">
        <v>1364</v>
      </c>
      <c r="AH298" s="77"/>
      <c r="AI298" s="275">
        <v>1</v>
      </c>
      <c r="AJ298" s="83" t="s">
        <v>2134</v>
      </c>
      <c r="AK298" s="83" t="s">
        <v>2135</v>
      </c>
      <c r="AL298" s="78" t="s">
        <v>137</v>
      </c>
      <c r="AM298" s="78"/>
      <c r="AN298" s="78" t="s">
        <v>1369</v>
      </c>
      <c r="AO298" s="83" t="s">
        <v>2135</v>
      </c>
      <c r="AP298" s="189" t="s">
        <v>2136</v>
      </c>
      <c r="AQ298" s="189" t="s">
        <v>2136</v>
      </c>
      <c r="AR298" s="275" t="s">
        <v>1924</v>
      </c>
      <c r="AS298" s="76"/>
      <c r="AT298" s="76"/>
      <c r="AU298" s="76"/>
      <c r="AV298" s="76"/>
      <c r="AW298" s="76"/>
      <c r="AX298" s="275">
        <v>1</v>
      </c>
      <c r="AY298" s="276" t="s">
        <v>2137</v>
      </c>
      <c r="AZ298" s="276" t="s">
        <v>1924</v>
      </c>
      <c r="BA298" s="78" t="s">
        <v>1925</v>
      </c>
      <c r="BB298" s="83" t="s">
        <v>1229</v>
      </c>
      <c r="BC298" s="275" t="s">
        <v>11</v>
      </c>
      <c r="BD298" s="275" t="s">
        <v>11</v>
      </c>
      <c r="BE298" s="278" t="s">
        <v>9</v>
      </c>
      <c r="BF298" s="278" t="s">
        <v>9</v>
      </c>
      <c r="BG298" s="280" t="s">
        <v>2138</v>
      </c>
      <c r="BH298" s="83" t="s">
        <v>2139</v>
      </c>
      <c r="BI298" s="279" t="s">
        <v>1939</v>
      </c>
      <c r="BJ298" s="280" t="s">
        <v>1929</v>
      </c>
      <c r="BK298" s="280" t="s">
        <v>1930</v>
      </c>
      <c r="BL298" s="281">
        <v>2408900</v>
      </c>
      <c r="BM298" s="275">
        <v>2015</v>
      </c>
      <c r="BN298" s="276">
        <v>0</v>
      </c>
      <c r="BO298" s="276">
        <v>1</v>
      </c>
      <c r="BP298" s="283"/>
      <c r="BQ298" s="172">
        <v>1</v>
      </c>
      <c r="BR298" s="275">
        <v>5</v>
      </c>
      <c r="BS298" s="178">
        <v>0.2</v>
      </c>
      <c r="BT298" s="176">
        <v>0</v>
      </c>
      <c r="BU298" s="176">
        <v>0</v>
      </c>
      <c r="BV298" s="188">
        <v>0</v>
      </c>
      <c r="BW298" s="94">
        <v>0.4</v>
      </c>
      <c r="BX298" s="176">
        <v>0</v>
      </c>
      <c r="BY298" s="176">
        <v>0</v>
      </c>
      <c r="BZ298" s="89">
        <v>0</v>
      </c>
      <c r="CA298" s="94">
        <v>0.60000000000000009</v>
      </c>
      <c r="CB298" s="94"/>
      <c r="CC298" s="94">
        <v>0</v>
      </c>
      <c r="CD298" s="188">
        <v>0</v>
      </c>
      <c r="CE298" s="178">
        <v>0.8</v>
      </c>
      <c r="CF298" s="176"/>
      <c r="CG298" s="176">
        <v>0</v>
      </c>
      <c r="CH298" s="188">
        <v>0</v>
      </c>
      <c r="CI298" s="176">
        <v>1</v>
      </c>
      <c r="CJ298" s="188"/>
      <c r="CK298" s="188">
        <v>0</v>
      </c>
      <c r="CL298" s="89">
        <v>0</v>
      </c>
      <c r="CM298" s="77"/>
      <c r="CN298" s="77"/>
      <c r="CO298" s="77"/>
      <c r="CP298" s="77"/>
      <c r="CQ298" s="77"/>
      <c r="CS298" s="24">
        <v>298</v>
      </c>
    </row>
    <row r="299" spans="1:97" ht="285" x14ac:dyDescent="0.25">
      <c r="A299" s="276">
        <v>21</v>
      </c>
      <c r="B299" s="269" t="s">
        <v>4575</v>
      </c>
      <c r="C299" s="269">
        <v>10</v>
      </c>
      <c r="D299" s="189" t="s">
        <v>686</v>
      </c>
      <c r="E299" s="276" t="s">
        <v>718</v>
      </c>
      <c r="F299" s="189" t="s">
        <v>715</v>
      </c>
      <c r="G299" s="172">
        <v>1</v>
      </c>
      <c r="H299" s="172"/>
      <c r="I299" s="172"/>
      <c r="J299" s="172"/>
      <c r="K299" s="276" t="s">
        <v>1101</v>
      </c>
      <c r="L299" s="189" t="s">
        <v>716</v>
      </c>
      <c r="M299" s="276" t="s">
        <v>689</v>
      </c>
      <c r="N299" s="189" t="s">
        <v>717</v>
      </c>
      <c r="O299" s="189" t="s">
        <v>78</v>
      </c>
      <c r="P299" s="276" t="s">
        <v>108</v>
      </c>
      <c r="Q299" s="276" t="s">
        <v>109</v>
      </c>
      <c r="R299" s="276"/>
      <c r="S299" s="276"/>
      <c r="T299" s="276" t="s">
        <v>79</v>
      </c>
      <c r="U299" s="276"/>
      <c r="V299" s="276"/>
      <c r="W299" s="276"/>
      <c r="X299" s="173">
        <v>33.333333333333336</v>
      </c>
      <c r="Y299" s="276">
        <v>0</v>
      </c>
      <c r="Z299" s="276">
        <v>1</v>
      </c>
      <c r="AA299" s="276" t="s">
        <v>1220</v>
      </c>
      <c r="AB299" s="276"/>
      <c r="AC299" s="275"/>
      <c r="AD299" s="77"/>
      <c r="AE299" s="77"/>
      <c r="AF299" s="77"/>
      <c r="AG299" s="77" t="s">
        <v>1364</v>
      </c>
      <c r="AH299" s="77"/>
      <c r="AI299" s="83">
        <v>1</v>
      </c>
      <c r="AJ299" s="83" t="s">
        <v>2140</v>
      </c>
      <c r="AK299" s="83" t="s">
        <v>2141</v>
      </c>
      <c r="AL299" s="78" t="s">
        <v>78</v>
      </c>
      <c r="AM299" s="78"/>
      <c r="AN299" s="78" t="s">
        <v>2142</v>
      </c>
      <c r="AO299" s="83" t="s">
        <v>2143</v>
      </c>
      <c r="AP299" s="83" t="s">
        <v>2144</v>
      </c>
      <c r="AQ299" s="83" t="s">
        <v>2145</v>
      </c>
      <c r="AR299" s="79" t="s">
        <v>1924</v>
      </c>
      <c r="AS299" s="79"/>
      <c r="AT299" s="79"/>
      <c r="AU299" s="76"/>
      <c r="AV299" s="76"/>
      <c r="AW299" s="76"/>
      <c r="AX299" s="275"/>
      <c r="AY299" s="276"/>
      <c r="AZ299" s="276" t="s">
        <v>1939</v>
      </c>
      <c r="BA299" s="78" t="s">
        <v>2146</v>
      </c>
      <c r="BB299" s="276" t="s">
        <v>1392</v>
      </c>
      <c r="BC299" s="275" t="s">
        <v>11</v>
      </c>
      <c r="BD299" s="275" t="s">
        <v>11</v>
      </c>
      <c r="BE299" s="278" t="s">
        <v>9</v>
      </c>
      <c r="BF299" s="278" t="s">
        <v>9</v>
      </c>
      <c r="BG299" s="279" t="s">
        <v>2147</v>
      </c>
      <c r="BH299" s="83" t="s">
        <v>2148</v>
      </c>
      <c r="BI299" s="279" t="s">
        <v>1939</v>
      </c>
      <c r="BJ299" s="280" t="s">
        <v>2149</v>
      </c>
      <c r="BK299" s="280" t="s">
        <v>2150</v>
      </c>
      <c r="BL299" s="281">
        <v>2408900</v>
      </c>
      <c r="BM299" s="275">
        <v>2015</v>
      </c>
      <c r="BN299" s="276">
        <v>0</v>
      </c>
      <c r="BO299" s="276">
        <v>3</v>
      </c>
      <c r="BP299" s="282"/>
      <c r="BQ299" s="172">
        <v>3</v>
      </c>
      <c r="BR299" s="275">
        <v>5</v>
      </c>
      <c r="BS299" s="176">
        <v>0.6</v>
      </c>
      <c r="BT299" s="176">
        <v>0</v>
      </c>
      <c r="BU299" s="94">
        <v>0</v>
      </c>
      <c r="BV299" s="188">
        <v>0</v>
      </c>
      <c r="BW299" s="176">
        <v>1.2</v>
      </c>
      <c r="BX299" s="176">
        <v>0</v>
      </c>
      <c r="BY299" s="176">
        <v>0</v>
      </c>
      <c r="BZ299" s="89">
        <v>0</v>
      </c>
      <c r="CA299" s="176">
        <v>1.7999999999999998</v>
      </c>
      <c r="CB299" s="176"/>
      <c r="CC299" s="176">
        <v>0</v>
      </c>
      <c r="CD299" s="188">
        <v>0</v>
      </c>
      <c r="CE299" s="176">
        <v>2.4</v>
      </c>
      <c r="CF299" s="176"/>
      <c r="CG299" s="176">
        <v>0</v>
      </c>
      <c r="CH299" s="188">
        <v>0</v>
      </c>
      <c r="CI299" s="176">
        <v>3</v>
      </c>
      <c r="CJ299" s="176"/>
      <c r="CK299" s="176">
        <v>0</v>
      </c>
      <c r="CL299" s="89">
        <v>0</v>
      </c>
      <c r="CM299" s="77"/>
      <c r="CN299" s="77"/>
      <c r="CO299" s="77"/>
      <c r="CP299" s="77"/>
      <c r="CQ299" s="77"/>
      <c r="CS299" s="24">
        <v>299</v>
      </c>
    </row>
    <row r="300" spans="1:97" ht="114" x14ac:dyDescent="0.25">
      <c r="A300" s="276">
        <v>21</v>
      </c>
      <c r="B300" s="269" t="s">
        <v>4575</v>
      </c>
      <c r="C300" s="269">
        <v>10</v>
      </c>
      <c r="D300" s="189" t="s">
        <v>686</v>
      </c>
      <c r="E300" s="276" t="s">
        <v>718</v>
      </c>
      <c r="F300" s="189" t="s">
        <v>715</v>
      </c>
      <c r="G300" s="172">
        <v>2</v>
      </c>
      <c r="H300" s="172"/>
      <c r="I300" s="172"/>
      <c r="J300" s="172"/>
      <c r="K300" s="276" t="s">
        <v>1102</v>
      </c>
      <c r="L300" s="189" t="s">
        <v>719</v>
      </c>
      <c r="M300" s="276" t="s">
        <v>689</v>
      </c>
      <c r="N300" s="189" t="s">
        <v>717</v>
      </c>
      <c r="O300" s="189" t="s">
        <v>78</v>
      </c>
      <c r="P300" s="276" t="s">
        <v>108</v>
      </c>
      <c r="Q300" s="276" t="s">
        <v>109</v>
      </c>
      <c r="R300" s="276"/>
      <c r="S300" s="276"/>
      <c r="T300" s="276" t="s">
        <v>79</v>
      </c>
      <c r="U300" s="276"/>
      <c r="V300" s="276"/>
      <c r="W300" s="276"/>
      <c r="X300" s="173">
        <v>33.333333333333336</v>
      </c>
      <c r="Y300" s="276">
        <v>0</v>
      </c>
      <c r="Z300" s="276">
        <v>1</v>
      </c>
      <c r="AA300" s="276" t="s">
        <v>1220</v>
      </c>
      <c r="AB300" s="276"/>
      <c r="AC300" s="275"/>
      <c r="AD300" s="77"/>
      <c r="AE300" s="77"/>
      <c r="AF300" s="77"/>
      <c r="AG300" s="77" t="s">
        <v>1364</v>
      </c>
      <c r="AH300" s="77"/>
      <c r="AI300" s="275">
        <v>1</v>
      </c>
      <c r="AJ300" s="83" t="s">
        <v>2151</v>
      </c>
      <c r="AK300" s="189" t="s">
        <v>2152</v>
      </c>
      <c r="AL300" s="189" t="s">
        <v>1322</v>
      </c>
      <c r="AM300" s="189"/>
      <c r="AN300" s="78" t="s">
        <v>2142</v>
      </c>
      <c r="AO300" s="83" t="s">
        <v>2153</v>
      </c>
      <c r="AP300" s="189" t="s">
        <v>2154</v>
      </c>
      <c r="AQ300" s="189" t="s">
        <v>2155</v>
      </c>
      <c r="AR300" s="79" t="s">
        <v>1924</v>
      </c>
      <c r="AS300" s="189" t="s">
        <v>2156</v>
      </c>
      <c r="AT300" s="79" t="s">
        <v>1924</v>
      </c>
      <c r="AU300" s="189"/>
      <c r="AV300" s="76"/>
      <c r="AW300" s="76"/>
      <c r="AX300" s="275">
        <v>1</v>
      </c>
      <c r="AY300" s="276" t="s">
        <v>2157</v>
      </c>
      <c r="AZ300" s="276" t="s">
        <v>1939</v>
      </c>
      <c r="BA300" s="78" t="s">
        <v>2158</v>
      </c>
      <c r="BB300" s="78" t="s">
        <v>2159</v>
      </c>
      <c r="BC300" s="275" t="s">
        <v>11</v>
      </c>
      <c r="BD300" s="275" t="s">
        <v>11</v>
      </c>
      <c r="BE300" s="275" t="s">
        <v>9</v>
      </c>
      <c r="BF300" s="275" t="s">
        <v>9</v>
      </c>
      <c r="BG300" s="83" t="s">
        <v>2160</v>
      </c>
      <c r="BH300" s="113" t="s">
        <v>2161</v>
      </c>
      <c r="BI300" s="276" t="s">
        <v>1939</v>
      </c>
      <c r="BJ300" s="83" t="s">
        <v>2149</v>
      </c>
      <c r="BK300" s="83" t="s">
        <v>2150</v>
      </c>
      <c r="BL300" s="275">
        <v>2408900</v>
      </c>
      <c r="BM300" s="275">
        <v>2015</v>
      </c>
      <c r="BN300" s="113">
        <v>0</v>
      </c>
      <c r="BO300" s="113">
        <v>250000</v>
      </c>
      <c r="BP300" s="83"/>
      <c r="BQ300" s="176">
        <v>250000</v>
      </c>
      <c r="BR300" s="176">
        <v>5</v>
      </c>
      <c r="BS300" s="176">
        <v>50000</v>
      </c>
      <c r="BT300" s="176">
        <v>53064</v>
      </c>
      <c r="BU300" s="176">
        <v>53064</v>
      </c>
      <c r="BV300" s="188">
        <v>0.212256</v>
      </c>
      <c r="BW300" s="176">
        <v>100000</v>
      </c>
      <c r="BX300" s="176">
        <v>117176</v>
      </c>
      <c r="BY300" s="176">
        <v>117176</v>
      </c>
      <c r="BZ300" s="89">
        <v>0.46870400000000001</v>
      </c>
      <c r="CA300" s="176">
        <v>150000</v>
      </c>
      <c r="CB300" s="176"/>
      <c r="CC300" s="176">
        <v>0</v>
      </c>
      <c r="CD300" s="188">
        <v>0</v>
      </c>
      <c r="CE300" s="176">
        <v>200000</v>
      </c>
      <c r="CF300" s="176"/>
      <c r="CG300" s="176">
        <v>0</v>
      </c>
      <c r="CH300" s="188">
        <v>0</v>
      </c>
      <c r="CI300" s="176">
        <v>250000</v>
      </c>
      <c r="CJ300" s="176"/>
      <c r="CK300" s="176">
        <v>0</v>
      </c>
      <c r="CL300" s="89">
        <v>0</v>
      </c>
      <c r="CM300" s="77"/>
      <c r="CN300" s="77"/>
      <c r="CO300" s="77"/>
      <c r="CP300" s="77"/>
      <c r="CQ300" s="77"/>
      <c r="CS300" s="2">
        <v>300</v>
      </c>
    </row>
    <row r="301" spans="1:97" ht="256.5" customHeight="1" x14ac:dyDescent="0.25">
      <c r="A301" s="276">
        <v>21</v>
      </c>
      <c r="B301" s="269" t="s">
        <v>4575</v>
      </c>
      <c r="C301" s="269">
        <v>10</v>
      </c>
      <c r="D301" s="189" t="s">
        <v>686</v>
      </c>
      <c r="E301" s="276" t="s">
        <v>718</v>
      </c>
      <c r="F301" s="189" t="s">
        <v>715</v>
      </c>
      <c r="G301" s="172">
        <v>3</v>
      </c>
      <c r="H301" s="172"/>
      <c r="I301" s="172"/>
      <c r="J301" s="172"/>
      <c r="K301" s="276" t="s">
        <v>1103</v>
      </c>
      <c r="L301" s="189" t="s">
        <v>720</v>
      </c>
      <c r="M301" s="276" t="s">
        <v>689</v>
      </c>
      <c r="N301" s="189" t="s">
        <v>717</v>
      </c>
      <c r="O301" s="189" t="s">
        <v>78</v>
      </c>
      <c r="P301" s="276" t="s">
        <v>108</v>
      </c>
      <c r="Q301" s="276" t="s">
        <v>109</v>
      </c>
      <c r="R301" s="276"/>
      <c r="S301" s="276"/>
      <c r="T301" s="276" t="s">
        <v>79</v>
      </c>
      <c r="U301" s="276"/>
      <c r="V301" s="276"/>
      <c r="W301" s="276"/>
      <c r="X301" s="173">
        <v>33.333333333333336</v>
      </c>
      <c r="Y301" s="276">
        <v>0</v>
      </c>
      <c r="Z301" s="276">
        <v>1</v>
      </c>
      <c r="AA301" s="276" t="s">
        <v>1220</v>
      </c>
      <c r="AB301" s="276"/>
      <c r="AC301" s="275"/>
      <c r="AD301" s="77"/>
      <c r="AE301" s="77"/>
      <c r="AF301" s="77"/>
      <c r="AG301" s="77" t="s">
        <v>1364</v>
      </c>
      <c r="AH301" s="77"/>
      <c r="AI301" s="275">
        <v>1</v>
      </c>
      <c r="AJ301" s="83" t="s">
        <v>2162</v>
      </c>
      <c r="AK301" s="189" t="s">
        <v>2163</v>
      </c>
      <c r="AL301" s="78" t="s">
        <v>137</v>
      </c>
      <c r="AM301" s="78"/>
      <c r="AN301" s="78" t="s">
        <v>2142</v>
      </c>
      <c r="AO301" s="83" t="s">
        <v>2164</v>
      </c>
      <c r="AP301" s="83" t="s">
        <v>2165</v>
      </c>
      <c r="AQ301" s="189" t="s">
        <v>2164</v>
      </c>
      <c r="AR301" s="79" t="s">
        <v>1924</v>
      </c>
      <c r="AS301" s="189" t="s">
        <v>2166</v>
      </c>
      <c r="AT301" s="79" t="s">
        <v>1924</v>
      </c>
      <c r="AU301" s="189"/>
      <c r="AV301" s="76"/>
      <c r="AW301" s="76"/>
      <c r="AX301" s="275">
        <v>1</v>
      </c>
      <c r="AY301" s="276" t="s">
        <v>2167</v>
      </c>
      <c r="AZ301" s="276" t="s">
        <v>1939</v>
      </c>
      <c r="BA301" s="78" t="s">
        <v>2146</v>
      </c>
      <c r="BB301" s="83" t="s">
        <v>1392</v>
      </c>
      <c r="BC301" s="275" t="s">
        <v>1324</v>
      </c>
      <c r="BD301" s="275" t="s">
        <v>1324</v>
      </c>
      <c r="BE301" s="275" t="s">
        <v>9</v>
      </c>
      <c r="BF301" s="275" t="s">
        <v>9</v>
      </c>
      <c r="BG301" s="83" t="s">
        <v>2168</v>
      </c>
      <c r="BH301" s="83" t="s">
        <v>2169</v>
      </c>
      <c r="BI301" s="276" t="s">
        <v>1939</v>
      </c>
      <c r="BJ301" s="83" t="s">
        <v>2149</v>
      </c>
      <c r="BK301" s="83" t="s">
        <v>2150</v>
      </c>
      <c r="BL301" s="275">
        <v>2408900</v>
      </c>
      <c r="BM301" s="78">
        <v>2015</v>
      </c>
      <c r="BN301" s="276">
        <v>42</v>
      </c>
      <c r="BO301" s="276">
        <v>46</v>
      </c>
      <c r="BP301" s="83"/>
      <c r="BQ301" s="176">
        <v>4</v>
      </c>
      <c r="BR301" s="176">
        <v>5</v>
      </c>
      <c r="BS301" s="94">
        <v>42.8</v>
      </c>
      <c r="BT301" s="176">
        <v>43</v>
      </c>
      <c r="BU301" s="94">
        <v>1</v>
      </c>
      <c r="BV301" s="188">
        <v>0.25</v>
      </c>
      <c r="BW301" s="176">
        <v>43.6</v>
      </c>
      <c r="BX301" s="176">
        <v>43</v>
      </c>
      <c r="BY301" s="176">
        <v>1</v>
      </c>
      <c r="BZ301" s="89">
        <v>0.25</v>
      </c>
      <c r="CA301" s="176">
        <v>44.4</v>
      </c>
      <c r="CB301" s="176"/>
      <c r="CC301" s="176">
        <v>-42</v>
      </c>
      <c r="CD301" s="188">
        <v>-10.5</v>
      </c>
      <c r="CE301" s="176">
        <v>45.2</v>
      </c>
      <c r="CF301" s="176"/>
      <c r="CG301" s="176">
        <v>-42</v>
      </c>
      <c r="CH301" s="188">
        <v>-10.5</v>
      </c>
      <c r="CI301" s="176">
        <v>46</v>
      </c>
      <c r="CJ301" s="176"/>
      <c r="CK301" s="176">
        <v>-42</v>
      </c>
      <c r="CL301" s="89">
        <v>-10.5</v>
      </c>
      <c r="CM301" s="77"/>
      <c r="CN301" s="77"/>
      <c r="CO301" s="77"/>
      <c r="CP301" s="77"/>
      <c r="CQ301" s="77"/>
      <c r="CS301" s="24">
        <v>301</v>
      </c>
    </row>
    <row r="302" spans="1:97" ht="299.25" x14ac:dyDescent="0.25">
      <c r="A302" s="276">
        <v>11</v>
      </c>
      <c r="B302" s="269" t="s">
        <v>4575</v>
      </c>
      <c r="C302" s="269">
        <v>11</v>
      </c>
      <c r="D302" s="189" t="s">
        <v>721</v>
      </c>
      <c r="E302" s="276" t="s">
        <v>728</v>
      </c>
      <c r="F302" s="189" t="s">
        <v>722</v>
      </c>
      <c r="G302" s="172">
        <v>1</v>
      </c>
      <c r="H302" s="276" t="s">
        <v>723</v>
      </c>
      <c r="I302" s="276">
        <v>296</v>
      </c>
      <c r="J302" s="276" t="s">
        <v>724</v>
      </c>
      <c r="K302" s="276" t="s">
        <v>1104</v>
      </c>
      <c r="L302" s="189" t="s">
        <v>725</v>
      </c>
      <c r="M302" s="276" t="s">
        <v>726</v>
      </c>
      <c r="N302" s="189" t="s">
        <v>727</v>
      </c>
      <c r="O302" s="189" t="s">
        <v>78</v>
      </c>
      <c r="P302" s="276" t="s">
        <v>108</v>
      </c>
      <c r="Q302" s="276" t="s">
        <v>146</v>
      </c>
      <c r="R302" s="276"/>
      <c r="S302" s="276"/>
      <c r="T302" s="276" t="s">
        <v>79</v>
      </c>
      <c r="U302" s="276"/>
      <c r="V302" s="276"/>
      <c r="W302" s="276"/>
      <c r="X302" s="173" t="e">
        <f>100/COUNTIFS(($B$7:$B$8),C302,($D$7:$D$8),E302)</f>
        <v>#DIV/0!</v>
      </c>
      <c r="Y302" s="276">
        <v>0</v>
      </c>
      <c r="Z302" s="276">
        <v>1</v>
      </c>
      <c r="AA302" s="276" t="s">
        <v>1220</v>
      </c>
      <c r="AB302" s="276"/>
      <c r="AC302" s="275">
        <v>16</v>
      </c>
      <c r="AD302" s="189" t="s">
        <v>1314</v>
      </c>
      <c r="AE302" s="189" t="s">
        <v>2621</v>
      </c>
      <c r="AF302" s="79"/>
      <c r="AG302" s="276" t="s">
        <v>1236</v>
      </c>
      <c r="AH302" s="78"/>
      <c r="AI302" s="275">
        <v>1</v>
      </c>
      <c r="AJ302" s="83" t="s">
        <v>2622</v>
      </c>
      <c r="AK302" s="189" t="s">
        <v>2623</v>
      </c>
      <c r="AL302" s="189" t="s">
        <v>2624</v>
      </c>
      <c r="AM302" s="189" t="s">
        <v>78</v>
      </c>
      <c r="AN302" s="189"/>
      <c r="AO302" s="83" t="s">
        <v>9</v>
      </c>
      <c r="AP302" s="83" t="s">
        <v>2625</v>
      </c>
      <c r="AQ302" s="189" t="s">
        <v>2626</v>
      </c>
      <c r="AR302" s="189" t="s">
        <v>2627</v>
      </c>
      <c r="AS302" s="189" t="s">
        <v>2627</v>
      </c>
      <c r="AT302" s="189" t="s">
        <v>2628</v>
      </c>
      <c r="AU302" s="189"/>
      <c r="AV302" s="189"/>
      <c r="AW302" s="189" t="s">
        <v>2453</v>
      </c>
      <c r="AX302" s="189" t="s">
        <v>2629</v>
      </c>
      <c r="AY302" s="276"/>
      <c r="AZ302" s="276" t="s">
        <v>2628</v>
      </c>
      <c r="BA302" s="276" t="s">
        <v>2630</v>
      </c>
      <c r="BB302" s="83" t="s">
        <v>1392</v>
      </c>
      <c r="BC302" s="83" t="s">
        <v>11</v>
      </c>
      <c r="BD302" s="83" t="s">
        <v>2453</v>
      </c>
      <c r="BE302" s="83" t="s">
        <v>9</v>
      </c>
      <c r="BF302" s="83" t="s">
        <v>9</v>
      </c>
      <c r="BG302" s="83" t="s">
        <v>2631</v>
      </c>
      <c r="BH302" s="189" t="s">
        <v>2632</v>
      </c>
      <c r="BI302" s="83" t="s">
        <v>2633</v>
      </c>
      <c r="BJ302" s="83" t="s">
        <v>2634</v>
      </c>
      <c r="BK302" s="83" t="s">
        <v>2634</v>
      </c>
      <c r="BL302" s="276" t="s">
        <v>2635</v>
      </c>
      <c r="BM302" s="105">
        <v>2015</v>
      </c>
      <c r="BN302" s="167">
        <v>1298</v>
      </c>
      <c r="BO302" s="167">
        <v>1500</v>
      </c>
      <c r="BP302" s="167">
        <v>1800</v>
      </c>
      <c r="BQ302" s="167">
        <f t="shared" ref="BQ302:BQ312" si="143">+BO302-BN302</f>
        <v>202</v>
      </c>
      <c r="BR302" s="275">
        <v>5</v>
      </c>
      <c r="BS302" s="167">
        <f>+BN302-(((BQ302)/5)*(-1))</f>
        <v>1338.4</v>
      </c>
      <c r="BT302" s="167"/>
      <c r="BU302" s="167">
        <f>+BT302-BN302</f>
        <v>-1298</v>
      </c>
      <c r="BV302" s="188">
        <f>+BU302/BQ302</f>
        <v>-6.4257425742574261</v>
      </c>
      <c r="BW302" s="167">
        <f>+BN302-(((BQ302)/5)*(-2))</f>
        <v>1378.8</v>
      </c>
      <c r="BX302" s="167"/>
      <c r="BY302" s="167">
        <f t="shared" ref="BY302:BY312" si="144">+BX302-BN302</f>
        <v>-1298</v>
      </c>
      <c r="BZ302" s="188">
        <f t="shared" ref="BZ302:BZ312" si="145">+BY302/BQ302</f>
        <v>-6.4257425742574261</v>
      </c>
      <c r="CA302" s="167"/>
      <c r="CB302" s="167"/>
      <c r="CC302" s="167">
        <f t="shared" ref="CC302:CC312" si="146">+CB302-BN302</f>
        <v>-1298</v>
      </c>
      <c r="CD302" s="188">
        <f t="shared" ref="CD302:CD312" si="147">+CC302/BQ302</f>
        <v>-6.4257425742574261</v>
      </c>
      <c r="CE302" s="167"/>
      <c r="CF302" s="167"/>
      <c r="CG302" s="167">
        <f t="shared" ref="CG302:CG312" si="148">+CF302-BN302</f>
        <v>-1298</v>
      </c>
      <c r="CH302" s="188">
        <f t="shared" ref="CH302:CH312" si="149">+CG302/BQ302</f>
        <v>-6.4257425742574261</v>
      </c>
      <c r="CI302" s="167"/>
      <c r="CJ302" s="167"/>
      <c r="CK302" s="167">
        <f t="shared" ref="CK302:CK312" si="150">+CJ302-BN302</f>
        <v>-1298</v>
      </c>
      <c r="CL302" s="188">
        <f t="shared" ref="CL302:CL312" si="151">+CK302/BQ302</f>
        <v>-6.4257425742574261</v>
      </c>
      <c r="CM302" s="89"/>
      <c r="CN302" s="188"/>
      <c r="CO302" s="188"/>
      <c r="CP302" s="188"/>
      <c r="CQ302" s="286"/>
      <c r="CS302" s="24">
        <v>302</v>
      </c>
    </row>
    <row r="303" spans="1:97" ht="199.5" x14ac:dyDescent="0.25">
      <c r="A303" s="276">
        <v>11</v>
      </c>
      <c r="B303" s="269" t="s">
        <v>4575</v>
      </c>
      <c r="C303" s="269">
        <v>11</v>
      </c>
      <c r="D303" s="189" t="s">
        <v>721</v>
      </c>
      <c r="E303" s="276" t="s">
        <v>728</v>
      </c>
      <c r="F303" s="189" t="s">
        <v>722</v>
      </c>
      <c r="G303" s="172">
        <v>2</v>
      </c>
      <c r="H303" s="276" t="s">
        <v>729</v>
      </c>
      <c r="I303" s="276">
        <v>297</v>
      </c>
      <c r="J303" s="276" t="s">
        <v>730</v>
      </c>
      <c r="K303" s="276" t="s">
        <v>1105</v>
      </c>
      <c r="L303" s="189" t="s">
        <v>731</v>
      </c>
      <c r="M303" s="276" t="s">
        <v>726</v>
      </c>
      <c r="N303" s="189" t="s">
        <v>727</v>
      </c>
      <c r="O303" s="189" t="s">
        <v>62</v>
      </c>
      <c r="P303" s="276" t="s">
        <v>108</v>
      </c>
      <c r="Q303" s="276" t="s">
        <v>146</v>
      </c>
      <c r="R303" s="276">
        <v>1</v>
      </c>
      <c r="S303" s="276"/>
      <c r="T303" s="276" t="s">
        <v>65</v>
      </c>
      <c r="U303" s="276"/>
      <c r="V303" s="276"/>
      <c r="W303" s="276" t="s">
        <v>732</v>
      </c>
      <c r="X303" s="173" t="e">
        <f>100/COUNTIFS(($B$7:$B$8),C303,($D$7:$D$8),E303)</f>
        <v>#DIV/0!</v>
      </c>
      <c r="Y303" s="276">
        <v>1</v>
      </c>
      <c r="Z303" s="276">
        <v>0</v>
      </c>
      <c r="AA303" s="276" t="s">
        <v>1220</v>
      </c>
      <c r="AB303" s="276"/>
      <c r="AC303" s="275">
        <v>16</v>
      </c>
      <c r="AD303" s="189" t="s">
        <v>1314</v>
      </c>
      <c r="AE303" s="189"/>
      <c r="AF303" s="79"/>
      <c r="AG303" s="276" t="s">
        <v>1364</v>
      </c>
      <c r="AH303" s="78"/>
      <c r="AI303" s="275">
        <v>1</v>
      </c>
      <c r="AJ303" s="83" t="s">
        <v>2636</v>
      </c>
      <c r="AK303" s="189" t="s">
        <v>2637</v>
      </c>
      <c r="AL303" s="189" t="s">
        <v>2624</v>
      </c>
      <c r="AM303" s="189" t="s">
        <v>1259</v>
      </c>
      <c r="AN303" s="189"/>
      <c r="AO303" s="83" t="s">
        <v>9</v>
      </c>
      <c r="AP303" s="83" t="s">
        <v>2638</v>
      </c>
      <c r="AQ303" s="189" t="s">
        <v>2639</v>
      </c>
      <c r="AR303" s="189" t="s">
        <v>2640</v>
      </c>
      <c r="AS303" s="189" t="s">
        <v>2641</v>
      </c>
      <c r="AT303" s="189" t="s">
        <v>2642</v>
      </c>
      <c r="AU303" s="189"/>
      <c r="AV303" s="189"/>
      <c r="AW303" s="189" t="s">
        <v>2643</v>
      </c>
      <c r="AX303" s="189" t="s">
        <v>2644</v>
      </c>
      <c r="AY303" s="276"/>
      <c r="AZ303" s="276" t="s">
        <v>2645</v>
      </c>
      <c r="BA303" s="276" t="s">
        <v>2642</v>
      </c>
      <c r="BB303" s="83" t="s">
        <v>1392</v>
      </c>
      <c r="BC303" s="83" t="s">
        <v>11</v>
      </c>
      <c r="BD303" s="83" t="s">
        <v>2514</v>
      </c>
      <c r="BE303" s="83" t="s">
        <v>9</v>
      </c>
      <c r="BF303" s="83" t="s">
        <v>9</v>
      </c>
      <c r="BG303" s="83" t="s">
        <v>2646</v>
      </c>
      <c r="BH303" s="189" t="s">
        <v>2647</v>
      </c>
      <c r="BI303" s="83" t="s">
        <v>2633</v>
      </c>
      <c r="BJ303" s="83" t="s">
        <v>2634</v>
      </c>
      <c r="BK303" s="83" t="s">
        <v>2648</v>
      </c>
      <c r="BL303" s="276" t="s">
        <v>2649</v>
      </c>
      <c r="BM303" s="105">
        <v>2015</v>
      </c>
      <c r="BN303" s="130">
        <v>852059206</v>
      </c>
      <c r="BO303" s="167">
        <v>930000000</v>
      </c>
      <c r="BP303" s="167">
        <v>1000000000</v>
      </c>
      <c r="BQ303" s="167">
        <f t="shared" si="143"/>
        <v>77940794</v>
      </c>
      <c r="BR303" s="275">
        <v>5</v>
      </c>
      <c r="BS303" s="167">
        <f>+BN303-(((BQ303)/5)*(-1))</f>
        <v>867647364.79999995</v>
      </c>
      <c r="BT303" s="167"/>
      <c r="BU303" s="167">
        <f>+BT303-BN303</f>
        <v>-852059206</v>
      </c>
      <c r="BV303" s="188">
        <f>+BU303/BQ303</f>
        <v>-10.932134024705984</v>
      </c>
      <c r="BW303" s="167">
        <f>+BN303-(((BQ303)/5)*(-2))</f>
        <v>883235523.60000002</v>
      </c>
      <c r="BX303" s="167"/>
      <c r="BY303" s="167">
        <f t="shared" si="144"/>
        <v>-852059206</v>
      </c>
      <c r="BZ303" s="89">
        <f t="shared" si="145"/>
        <v>-10.932134024705984</v>
      </c>
      <c r="CA303" s="167"/>
      <c r="CB303" s="167"/>
      <c r="CC303" s="167">
        <f t="shared" si="146"/>
        <v>-852059206</v>
      </c>
      <c r="CD303" s="188">
        <f t="shared" si="147"/>
        <v>-10.932134024705984</v>
      </c>
      <c r="CE303" s="167"/>
      <c r="CF303" s="167"/>
      <c r="CG303" s="167">
        <f t="shared" si="148"/>
        <v>-852059206</v>
      </c>
      <c r="CH303" s="188">
        <f t="shared" si="149"/>
        <v>-10.932134024705984</v>
      </c>
      <c r="CI303" s="167"/>
      <c r="CJ303" s="167"/>
      <c r="CK303" s="167">
        <f t="shared" si="150"/>
        <v>-852059206</v>
      </c>
      <c r="CL303" s="89">
        <f t="shared" si="151"/>
        <v>-10.932134024705984</v>
      </c>
      <c r="CM303" s="89"/>
      <c r="CN303" s="188"/>
      <c r="CO303" s="188"/>
      <c r="CP303" s="188"/>
      <c r="CQ303" s="286"/>
      <c r="CS303" s="2">
        <v>303</v>
      </c>
    </row>
    <row r="304" spans="1:97" ht="270.75" customHeight="1" x14ac:dyDescent="0.25">
      <c r="A304" s="276">
        <v>11</v>
      </c>
      <c r="B304" s="269" t="s">
        <v>4575</v>
      </c>
      <c r="C304" s="269">
        <v>11</v>
      </c>
      <c r="D304" s="189" t="s">
        <v>2650</v>
      </c>
      <c r="E304" s="276" t="s">
        <v>728</v>
      </c>
      <c r="F304" s="189" t="s">
        <v>722</v>
      </c>
      <c r="G304" s="172">
        <v>4</v>
      </c>
      <c r="H304" s="276"/>
      <c r="I304" s="276"/>
      <c r="J304" s="276"/>
      <c r="K304" s="276" t="s">
        <v>1107</v>
      </c>
      <c r="L304" s="189" t="s">
        <v>734</v>
      </c>
      <c r="M304" s="276"/>
      <c r="N304" s="189"/>
      <c r="O304" s="189" t="s">
        <v>78</v>
      </c>
      <c r="P304" s="276"/>
      <c r="Q304" s="276"/>
      <c r="R304" s="276"/>
      <c r="S304" s="276"/>
      <c r="T304" s="276"/>
      <c r="U304" s="276"/>
      <c r="V304" s="276"/>
      <c r="W304" s="276"/>
      <c r="X304" s="173"/>
      <c r="Y304" s="276">
        <v>0</v>
      </c>
      <c r="Z304" s="276">
        <v>1</v>
      </c>
      <c r="AA304" s="276" t="s">
        <v>1220</v>
      </c>
      <c r="AB304" s="276"/>
      <c r="AC304" s="275">
        <v>16</v>
      </c>
      <c r="AD304" s="189" t="s">
        <v>1315</v>
      </c>
      <c r="AE304" s="189"/>
      <c r="AF304" s="79"/>
      <c r="AG304" s="276" t="s">
        <v>1364</v>
      </c>
      <c r="AH304" s="78"/>
      <c r="AI304" s="275">
        <v>1</v>
      </c>
      <c r="AJ304" s="83">
        <v>11012991</v>
      </c>
      <c r="AK304" s="189" t="s">
        <v>2651</v>
      </c>
      <c r="AL304" s="189" t="s">
        <v>2574</v>
      </c>
      <c r="AM304" s="189" t="s">
        <v>78</v>
      </c>
      <c r="AN304" s="189"/>
      <c r="AO304" s="83" t="s">
        <v>9</v>
      </c>
      <c r="AP304" s="83" t="s">
        <v>10</v>
      </c>
      <c r="AQ304" s="189" t="s">
        <v>2652</v>
      </c>
      <c r="AR304" s="189" t="s">
        <v>2653</v>
      </c>
      <c r="AS304" s="189" t="s">
        <v>2654</v>
      </c>
      <c r="AT304" s="189" t="s">
        <v>2655</v>
      </c>
      <c r="AU304" s="189" t="s">
        <v>2656</v>
      </c>
      <c r="AV304" s="189" t="s">
        <v>2657</v>
      </c>
      <c r="AW304" s="189">
        <v>2017</v>
      </c>
      <c r="AX304" s="189" t="s">
        <v>2658</v>
      </c>
      <c r="AY304" s="276"/>
      <c r="AZ304" s="276" t="s">
        <v>2659</v>
      </c>
      <c r="BA304" s="276" t="s">
        <v>2660</v>
      </c>
      <c r="BB304" s="83" t="s">
        <v>1392</v>
      </c>
      <c r="BC304" s="83" t="s">
        <v>11</v>
      </c>
      <c r="BD304" s="83">
        <v>2017</v>
      </c>
      <c r="BE304" s="83" t="s">
        <v>9</v>
      </c>
      <c r="BF304" s="83" t="s">
        <v>9</v>
      </c>
      <c r="BG304" s="83" t="s">
        <v>2661</v>
      </c>
      <c r="BH304" s="189"/>
      <c r="BI304" s="83" t="s">
        <v>2578</v>
      </c>
      <c r="BJ304" s="83" t="s">
        <v>2579</v>
      </c>
      <c r="BK304" s="83" t="s">
        <v>2662</v>
      </c>
      <c r="BL304" s="276" t="s">
        <v>2663</v>
      </c>
      <c r="BM304" s="105">
        <v>2016</v>
      </c>
      <c r="BN304" s="107">
        <v>0</v>
      </c>
      <c r="BO304" s="107">
        <v>0.6</v>
      </c>
      <c r="BP304" s="107">
        <v>0.9</v>
      </c>
      <c r="BQ304" s="107">
        <f t="shared" si="143"/>
        <v>0.6</v>
      </c>
      <c r="BR304" s="275">
        <v>4</v>
      </c>
      <c r="BS304" s="107" t="s">
        <v>2664</v>
      </c>
      <c r="BT304" s="107"/>
      <c r="BU304" s="107" t="s">
        <v>2664</v>
      </c>
      <c r="BV304" s="107" t="s">
        <v>2664</v>
      </c>
      <c r="BW304" s="107">
        <f>+BN304-(((BQ304)/4)*(-1))</f>
        <v>0.15</v>
      </c>
      <c r="BX304" s="107"/>
      <c r="BY304" s="107">
        <f t="shared" si="144"/>
        <v>0</v>
      </c>
      <c r="BZ304" s="89">
        <f t="shared" si="145"/>
        <v>0</v>
      </c>
      <c r="CA304" s="107"/>
      <c r="CB304" s="107"/>
      <c r="CC304" s="107">
        <f t="shared" si="146"/>
        <v>0</v>
      </c>
      <c r="CD304" s="188">
        <f t="shared" si="147"/>
        <v>0</v>
      </c>
      <c r="CE304" s="107"/>
      <c r="CF304" s="107"/>
      <c r="CG304" s="107">
        <f t="shared" si="148"/>
        <v>0</v>
      </c>
      <c r="CH304" s="188">
        <f t="shared" si="149"/>
        <v>0</v>
      </c>
      <c r="CI304" s="107"/>
      <c r="CJ304" s="107"/>
      <c r="CK304" s="107">
        <f t="shared" si="150"/>
        <v>0</v>
      </c>
      <c r="CL304" s="89">
        <f t="shared" si="151"/>
        <v>0</v>
      </c>
      <c r="CM304" s="89"/>
      <c r="CN304" s="89"/>
      <c r="CO304" s="89"/>
      <c r="CP304" s="89"/>
      <c r="CQ304" s="287"/>
      <c r="CS304" s="24">
        <v>304</v>
      </c>
    </row>
    <row r="305" spans="1:97" ht="228" x14ac:dyDescent="0.25">
      <c r="A305" s="276">
        <v>11</v>
      </c>
      <c r="B305" s="269" t="s">
        <v>4575</v>
      </c>
      <c r="C305" s="269">
        <v>11</v>
      </c>
      <c r="D305" s="189" t="s">
        <v>721</v>
      </c>
      <c r="E305" s="276" t="s">
        <v>728</v>
      </c>
      <c r="F305" s="189" t="s">
        <v>722</v>
      </c>
      <c r="G305" s="172">
        <v>4</v>
      </c>
      <c r="H305" s="276" t="s">
        <v>735</v>
      </c>
      <c r="I305" s="276">
        <v>300</v>
      </c>
      <c r="J305" s="276" t="s">
        <v>736</v>
      </c>
      <c r="K305" s="276" t="s">
        <v>1107</v>
      </c>
      <c r="L305" s="189" t="s">
        <v>734</v>
      </c>
      <c r="M305" s="276" t="s">
        <v>726</v>
      </c>
      <c r="N305" s="189" t="s">
        <v>727</v>
      </c>
      <c r="O305" s="189" t="s">
        <v>78</v>
      </c>
      <c r="P305" s="276" t="s">
        <v>108</v>
      </c>
      <c r="Q305" s="276" t="s">
        <v>367</v>
      </c>
      <c r="R305" s="276"/>
      <c r="S305" s="276"/>
      <c r="T305" s="276" t="s">
        <v>79</v>
      </c>
      <c r="U305" s="276"/>
      <c r="V305" s="276"/>
      <c r="W305" s="276"/>
      <c r="X305" s="173" t="e">
        <f>100/COUNTIFS(($B$10:$B$12),C305,($D$10:$D$12),E305)</f>
        <v>#DIV/0!</v>
      </c>
      <c r="Y305" s="276">
        <v>0</v>
      </c>
      <c r="Z305" s="276">
        <v>1</v>
      </c>
      <c r="AA305" s="276" t="s">
        <v>1220</v>
      </c>
      <c r="AB305" s="276"/>
      <c r="AC305" s="275">
        <v>16</v>
      </c>
      <c r="AD305" s="189" t="s">
        <v>1315</v>
      </c>
      <c r="AE305" s="189"/>
      <c r="AF305" s="79"/>
      <c r="AG305" s="276" t="s">
        <v>1364</v>
      </c>
      <c r="AH305" s="78"/>
      <c r="AI305" s="275">
        <v>2</v>
      </c>
      <c r="AJ305" s="83">
        <v>11012992</v>
      </c>
      <c r="AK305" s="189" t="s">
        <v>2666</v>
      </c>
      <c r="AL305" s="189" t="s">
        <v>2624</v>
      </c>
      <c r="AM305" s="189" t="s">
        <v>78</v>
      </c>
      <c r="AN305" s="189" t="s">
        <v>2667</v>
      </c>
      <c r="AO305" s="83" t="s">
        <v>9</v>
      </c>
      <c r="AP305" s="83" t="s">
        <v>2668</v>
      </c>
      <c r="AQ305" s="189" t="s">
        <v>2669</v>
      </c>
      <c r="AR305" s="189" t="s">
        <v>2670</v>
      </c>
      <c r="AS305" s="189" t="s">
        <v>2671</v>
      </c>
      <c r="AT305" s="189" t="s">
        <v>2672</v>
      </c>
      <c r="AU305" s="189"/>
      <c r="AV305" s="189"/>
      <c r="AW305" s="189" t="s">
        <v>2673</v>
      </c>
      <c r="AX305" s="189" t="s">
        <v>2674</v>
      </c>
      <c r="AY305" s="276"/>
      <c r="AZ305" s="276" t="s">
        <v>2659</v>
      </c>
      <c r="BA305" s="276" t="s">
        <v>2672</v>
      </c>
      <c r="BB305" s="83" t="s">
        <v>1392</v>
      </c>
      <c r="BC305" s="83" t="s">
        <v>11</v>
      </c>
      <c r="BD305" s="83" t="s">
        <v>2673</v>
      </c>
      <c r="BE305" s="83" t="s">
        <v>9</v>
      </c>
      <c r="BF305" s="83" t="s">
        <v>9</v>
      </c>
      <c r="BG305" s="83" t="s">
        <v>2675</v>
      </c>
      <c r="BH305" s="189" t="s">
        <v>2676</v>
      </c>
      <c r="BI305" s="83" t="s">
        <v>2633</v>
      </c>
      <c r="BJ305" s="83" t="s">
        <v>2634</v>
      </c>
      <c r="BK305" s="83" t="s">
        <v>2677</v>
      </c>
      <c r="BL305" s="276" t="s">
        <v>2678</v>
      </c>
      <c r="BM305" s="105">
        <v>2016</v>
      </c>
      <c r="BN305" s="83">
        <v>105</v>
      </c>
      <c r="BO305" s="83">
        <v>200</v>
      </c>
      <c r="BP305" s="83">
        <v>300</v>
      </c>
      <c r="BQ305" s="167">
        <f t="shared" si="143"/>
        <v>95</v>
      </c>
      <c r="BR305" s="275">
        <v>4</v>
      </c>
      <c r="BS305" s="107" t="s">
        <v>2664</v>
      </c>
      <c r="BT305" s="107"/>
      <c r="BU305" s="107" t="s">
        <v>2664</v>
      </c>
      <c r="BV305" s="107" t="s">
        <v>2664</v>
      </c>
      <c r="BW305" s="167">
        <f>+BN305-(((BQ305)/4)*(-1))</f>
        <v>128.75</v>
      </c>
      <c r="BX305" s="107"/>
      <c r="BY305" s="167">
        <f t="shared" si="144"/>
        <v>-105</v>
      </c>
      <c r="BZ305" s="89">
        <f t="shared" si="145"/>
        <v>-1.1052631578947369</v>
      </c>
      <c r="CA305" s="167"/>
      <c r="CB305" s="167"/>
      <c r="CC305" s="167">
        <f t="shared" si="146"/>
        <v>-105</v>
      </c>
      <c r="CD305" s="188">
        <f t="shared" si="147"/>
        <v>-1.1052631578947369</v>
      </c>
      <c r="CE305" s="167"/>
      <c r="CF305" s="167"/>
      <c r="CG305" s="167">
        <f t="shared" si="148"/>
        <v>-105</v>
      </c>
      <c r="CH305" s="188">
        <f t="shared" si="149"/>
        <v>-1.1052631578947369</v>
      </c>
      <c r="CI305" s="167"/>
      <c r="CJ305" s="167"/>
      <c r="CK305" s="167">
        <f t="shared" si="150"/>
        <v>-105</v>
      </c>
      <c r="CL305" s="89">
        <f t="shared" si="151"/>
        <v>-1.1052631578947369</v>
      </c>
      <c r="CM305" s="89"/>
      <c r="CN305" s="188"/>
      <c r="CO305" s="188"/>
      <c r="CP305" s="188"/>
      <c r="CQ305" s="286"/>
      <c r="CS305" s="24">
        <v>305</v>
      </c>
    </row>
    <row r="306" spans="1:97" ht="199.5" x14ac:dyDescent="0.25">
      <c r="A306" s="276">
        <v>11</v>
      </c>
      <c r="B306" s="269" t="s">
        <v>4575</v>
      </c>
      <c r="C306" s="269" t="s">
        <v>1274</v>
      </c>
      <c r="D306" s="189" t="s">
        <v>721</v>
      </c>
      <c r="E306" s="276">
        <v>1101</v>
      </c>
      <c r="F306" s="189" t="s">
        <v>2679</v>
      </c>
      <c r="G306" s="172">
        <v>4</v>
      </c>
      <c r="H306" s="276"/>
      <c r="I306" s="276"/>
      <c r="J306" s="276"/>
      <c r="K306" s="276" t="s">
        <v>1107</v>
      </c>
      <c r="L306" s="189" t="s">
        <v>2680</v>
      </c>
      <c r="M306" s="275"/>
      <c r="N306" s="78"/>
      <c r="O306" s="189" t="s">
        <v>62</v>
      </c>
      <c r="P306" s="276"/>
      <c r="Q306" s="276"/>
      <c r="R306" s="276"/>
      <c r="S306" s="276"/>
      <c r="T306" s="276"/>
      <c r="U306" s="276"/>
      <c r="V306" s="276"/>
      <c r="W306" s="276"/>
      <c r="X306" s="173"/>
      <c r="Y306" s="276">
        <v>1</v>
      </c>
      <c r="Z306" s="276">
        <v>0</v>
      </c>
      <c r="AA306" s="276" t="s">
        <v>1220</v>
      </c>
      <c r="AB306" s="78"/>
      <c r="AC306" s="275">
        <v>16</v>
      </c>
      <c r="AD306" s="189" t="s">
        <v>2681</v>
      </c>
      <c r="AE306" s="189" t="s">
        <v>2682</v>
      </c>
      <c r="AF306" s="79"/>
      <c r="AG306" s="276" t="s">
        <v>1236</v>
      </c>
      <c r="AH306" s="135"/>
      <c r="AI306" s="275">
        <v>3</v>
      </c>
      <c r="AJ306" s="83">
        <v>11012993</v>
      </c>
      <c r="AK306" s="189" t="s">
        <v>2683</v>
      </c>
      <c r="AL306" s="189" t="s">
        <v>2684</v>
      </c>
      <c r="AM306" s="189" t="s">
        <v>137</v>
      </c>
      <c r="AN306" s="189"/>
      <c r="AO306" s="83" t="s">
        <v>2685</v>
      </c>
      <c r="AP306" s="83" t="s">
        <v>10</v>
      </c>
      <c r="AQ306" s="189" t="s">
        <v>2686</v>
      </c>
      <c r="AR306" s="189" t="s">
        <v>2687</v>
      </c>
      <c r="AS306" s="189" t="s">
        <v>2688</v>
      </c>
      <c r="AT306" s="189" t="s">
        <v>2689</v>
      </c>
      <c r="AU306" s="189" t="s">
        <v>2690</v>
      </c>
      <c r="AV306" s="189" t="s">
        <v>2691</v>
      </c>
      <c r="AW306" s="189" t="s">
        <v>1515</v>
      </c>
      <c r="AX306" s="189" t="s">
        <v>2692</v>
      </c>
      <c r="AY306" s="276"/>
      <c r="AZ306" s="276" t="s">
        <v>2689</v>
      </c>
      <c r="BA306" s="276" t="s">
        <v>2693</v>
      </c>
      <c r="BB306" s="83" t="s">
        <v>1229</v>
      </c>
      <c r="BC306" s="83" t="s">
        <v>11</v>
      </c>
      <c r="BD306" s="83" t="s">
        <v>1515</v>
      </c>
      <c r="BE306" s="83" t="s">
        <v>2694</v>
      </c>
      <c r="BF306" s="83" t="s">
        <v>17</v>
      </c>
      <c r="BG306" s="83" t="s">
        <v>2695</v>
      </c>
      <c r="BH306" s="189"/>
      <c r="BI306" s="83" t="s">
        <v>2696</v>
      </c>
      <c r="BJ306" s="83" t="s">
        <v>2697</v>
      </c>
      <c r="BK306" s="83" t="s">
        <v>2698</v>
      </c>
      <c r="BL306" s="276" t="s">
        <v>2699</v>
      </c>
      <c r="BM306" s="105">
        <v>2015</v>
      </c>
      <c r="BN306" s="276" t="s">
        <v>2700</v>
      </c>
      <c r="BO306" s="276" t="s">
        <v>2700</v>
      </c>
      <c r="BP306" s="276" t="s">
        <v>2700</v>
      </c>
      <c r="BQ306" s="107" t="e">
        <f t="shared" si="143"/>
        <v>#VALUE!</v>
      </c>
      <c r="BR306" s="275">
        <v>5</v>
      </c>
      <c r="BS306" s="107" t="e">
        <f t="shared" ref="BS306:BS311" si="152">+BN306-(((BQ306)/5)*(-1))</f>
        <v>#VALUE!</v>
      </c>
      <c r="BT306" s="107"/>
      <c r="BU306" s="107" t="e">
        <f t="shared" ref="BU306:BU312" si="153">+BT306-BN306</f>
        <v>#VALUE!</v>
      </c>
      <c r="BV306" s="188" t="e">
        <f t="shared" ref="BV306:BV312" si="154">+BU306/BQ306</f>
        <v>#VALUE!</v>
      </c>
      <c r="BW306" s="107" t="e">
        <f t="shared" ref="BW306:BW311" si="155">+BN306-(((BQ306)/5)*(-2))</f>
        <v>#VALUE!</v>
      </c>
      <c r="BX306" s="107"/>
      <c r="BY306" s="107" t="e">
        <f t="shared" si="144"/>
        <v>#VALUE!</v>
      </c>
      <c r="BZ306" s="89" t="e">
        <f t="shared" si="145"/>
        <v>#VALUE!</v>
      </c>
      <c r="CA306" s="107" t="e">
        <f>+BN306-(((BQ306)/5)*(-3))</f>
        <v>#VALUE!</v>
      </c>
      <c r="CB306" s="107"/>
      <c r="CC306" s="107" t="e">
        <f t="shared" si="146"/>
        <v>#VALUE!</v>
      </c>
      <c r="CD306" s="188" t="e">
        <f t="shared" si="147"/>
        <v>#VALUE!</v>
      </c>
      <c r="CE306" s="107" t="e">
        <f>+BN306-(((BQ306)/5)*(-4))</f>
        <v>#VALUE!</v>
      </c>
      <c r="CF306" s="107"/>
      <c r="CG306" s="107" t="e">
        <f t="shared" si="148"/>
        <v>#VALUE!</v>
      </c>
      <c r="CH306" s="188" t="e">
        <f t="shared" si="149"/>
        <v>#VALUE!</v>
      </c>
      <c r="CI306" s="107" t="e">
        <f>+BN306-(((BQ306)/5)*(-5))</f>
        <v>#VALUE!</v>
      </c>
      <c r="CJ306" s="107"/>
      <c r="CK306" s="107" t="e">
        <f t="shared" si="150"/>
        <v>#VALUE!</v>
      </c>
      <c r="CL306" s="89" t="e">
        <f t="shared" si="151"/>
        <v>#VALUE!</v>
      </c>
      <c r="CM306" s="78"/>
      <c r="CN306" s="78"/>
      <c r="CO306" s="78"/>
      <c r="CP306" s="78"/>
      <c r="CQ306" s="284"/>
      <c r="CS306" s="2">
        <v>306</v>
      </c>
    </row>
    <row r="307" spans="1:97" ht="185.25" x14ac:dyDescent="0.25">
      <c r="A307" s="276">
        <v>11</v>
      </c>
      <c r="B307" s="269" t="s">
        <v>4575</v>
      </c>
      <c r="C307" s="269">
        <v>11</v>
      </c>
      <c r="D307" s="189" t="s">
        <v>721</v>
      </c>
      <c r="E307" s="276" t="s">
        <v>728</v>
      </c>
      <c r="F307" s="189" t="s">
        <v>722</v>
      </c>
      <c r="G307" s="172">
        <v>6</v>
      </c>
      <c r="H307" s="276" t="s">
        <v>738</v>
      </c>
      <c r="I307" s="276">
        <v>301</v>
      </c>
      <c r="J307" s="276" t="s">
        <v>739</v>
      </c>
      <c r="K307" s="276" t="s">
        <v>1109</v>
      </c>
      <c r="L307" s="189" t="s">
        <v>740</v>
      </c>
      <c r="M307" s="276" t="s">
        <v>726</v>
      </c>
      <c r="N307" s="189" t="s">
        <v>727</v>
      </c>
      <c r="O307" s="189" t="s">
        <v>78</v>
      </c>
      <c r="P307" s="276" t="s">
        <v>108</v>
      </c>
      <c r="Q307" s="276" t="s">
        <v>367</v>
      </c>
      <c r="R307" s="276"/>
      <c r="S307" s="276"/>
      <c r="T307" s="276" t="s">
        <v>79</v>
      </c>
      <c r="U307" s="276"/>
      <c r="V307" s="276"/>
      <c r="W307" s="276"/>
      <c r="X307" s="173" t="e">
        <f>100/COUNTIFS(($B$10:$B$12),C307,($D$10:$D$12),E307)</f>
        <v>#DIV/0!</v>
      </c>
      <c r="Y307" s="276">
        <v>0</v>
      </c>
      <c r="Z307" s="276">
        <v>1</v>
      </c>
      <c r="AA307" s="276" t="s">
        <v>1220</v>
      </c>
      <c r="AB307" s="276"/>
      <c r="AC307" s="275">
        <v>16</v>
      </c>
      <c r="AD307" s="189" t="s">
        <v>1315</v>
      </c>
      <c r="AE307" s="189" t="s">
        <v>2701</v>
      </c>
      <c r="AF307" s="79"/>
      <c r="AG307" s="276" t="s">
        <v>1236</v>
      </c>
      <c r="AH307" s="78"/>
      <c r="AI307" s="275">
        <v>1</v>
      </c>
      <c r="AJ307" s="83">
        <v>11013011</v>
      </c>
      <c r="AK307" s="189" t="s">
        <v>2702</v>
      </c>
      <c r="AL307" s="189" t="s">
        <v>2624</v>
      </c>
      <c r="AM307" s="189" t="s">
        <v>78</v>
      </c>
      <c r="AN307" s="189"/>
      <c r="AO307" s="83" t="s">
        <v>9</v>
      </c>
      <c r="AP307" s="83" t="s">
        <v>2668</v>
      </c>
      <c r="AQ307" s="189" t="s">
        <v>2703</v>
      </c>
      <c r="AR307" s="189" t="s">
        <v>2704</v>
      </c>
      <c r="AS307" s="189" t="s">
        <v>2704</v>
      </c>
      <c r="AT307" s="189" t="s">
        <v>2705</v>
      </c>
      <c r="AU307" s="189"/>
      <c r="AV307" s="189"/>
      <c r="AW307" s="189" t="s">
        <v>2453</v>
      </c>
      <c r="AX307" s="189" t="s">
        <v>2706</v>
      </c>
      <c r="AY307" s="276"/>
      <c r="AZ307" s="276" t="s">
        <v>2707</v>
      </c>
      <c r="BA307" s="276" t="s">
        <v>2705</v>
      </c>
      <c r="BB307" s="83" t="s">
        <v>1392</v>
      </c>
      <c r="BC307" s="83" t="s">
        <v>11</v>
      </c>
      <c r="BD307" s="83" t="s">
        <v>2453</v>
      </c>
      <c r="BE307" s="83" t="s">
        <v>9</v>
      </c>
      <c r="BF307" s="83" t="s">
        <v>9</v>
      </c>
      <c r="BG307" s="83" t="s">
        <v>2708</v>
      </c>
      <c r="BH307" s="189" t="s">
        <v>2709</v>
      </c>
      <c r="BI307" s="83" t="s">
        <v>2633</v>
      </c>
      <c r="BJ307" s="83" t="s">
        <v>2634</v>
      </c>
      <c r="BK307" s="83" t="s">
        <v>2677</v>
      </c>
      <c r="BL307" s="276" t="s">
        <v>2678</v>
      </c>
      <c r="BM307" s="105">
        <v>2015</v>
      </c>
      <c r="BN307" s="83">
        <v>492</v>
      </c>
      <c r="BO307" s="83">
        <v>580</v>
      </c>
      <c r="BP307" s="83">
        <v>580</v>
      </c>
      <c r="BQ307" s="167">
        <f t="shared" si="143"/>
        <v>88</v>
      </c>
      <c r="BR307" s="275">
        <v>5</v>
      </c>
      <c r="BS307" s="167">
        <f t="shared" si="152"/>
        <v>509.6</v>
      </c>
      <c r="BT307" s="167"/>
      <c r="BU307" s="167">
        <f t="shared" si="153"/>
        <v>-492</v>
      </c>
      <c r="BV307" s="188">
        <f t="shared" si="154"/>
        <v>-5.5909090909090908</v>
      </c>
      <c r="BW307" s="167">
        <f t="shared" si="155"/>
        <v>527.20000000000005</v>
      </c>
      <c r="BX307" s="167"/>
      <c r="BY307" s="167">
        <f t="shared" si="144"/>
        <v>-492</v>
      </c>
      <c r="BZ307" s="89">
        <f t="shared" si="145"/>
        <v>-5.5909090909090908</v>
      </c>
      <c r="CA307" s="167"/>
      <c r="CB307" s="167"/>
      <c r="CC307" s="167">
        <f t="shared" si="146"/>
        <v>-492</v>
      </c>
      <c r="CD307" s="188">
        <f t="shared" si="147"/>
        <v>-5.5909090909090908</v>
      </c>
      <c r="CE307" s="167"/>
      <c r="CF307" s="167"/>
      <c r="CG307" s="167">
        <f t="shared" si="148"/>
        <v>-492</v>
      </c>
      <c r="CH307" s="188">
        <f t="shared" si="149"/>
        <v>-5.5909090909090908</v>
      </c>
      <c r="CI307" s="167"/>
      <c r="CJ307" s="167"/>
      <c r="CK307" s="167">
        <f t="shared" si="150"/>
        <v>-492</v>
      </c>
      <c r="CL307" s="89">
        <f t="shared" si="151"/>
        <v>-5.5909090909090908</v>
      </c>
      <c r="CM307" s="89"/>
      <c r="CN307" s="188"/>
      <c r="CO307" s="188"/>
      <c r="CP307" s="188"/>
      <c r="CQ307" s="286"/>
      <c r="CS307" s="24">
        <v>307</v>
      </c>
    </row>
    <row r="308" spans="1:97" ht="156.75" customHeight="1" x14ac:dyDescent="0.25">
      <c r="A308" s="276">
        <v>11</v>
      </c>
      <c r="B308" s="269" t="s">
        <v>4575</v>
      </c>
      <c r="C308" s="269">
        <v>11</v>
      </c>
      <c r="D308" s="189" t="s">
        <v>2650</v>
      </c>
      <c r="E308" s="276" t="s">
        <v>728</v>
      </c>
      <c r="F308" s="189" t="s">
        <v>722</v>
      </c>
      <c r="G308" s="172">
        <v>7</v>
      </c>
      <c r="H308" s="276"/>
      <c r="I308" s="276"/>
      <c r="J308" s="276"/>
      <c r="K308" s="276">
        <v>1101302</v>
      </c>
      <c r="L308" s="189" t="s">
        <v>741</v>
      </c>
      <c r="M308" s="276"/>
      <c r="N308" s="189"/>
      <c r="O308" s="189" t="s">
        <v>62</v>
      </c>
      <c r="P308" s="276"/>
      <c r="Q308" s="276"/>
      <c r="R308" s="276"/>
      <c r="S308" s="276"/>
      <c r="T308" s="276"/>
      <c r="U308" s="276"/>
      <c r="V308" s="276"/>
      <c r="W308" s="276"/>
      <c r="X308" s="173"/>
      <c r="Y308" s="276">
        <v>1</v>
      </c>
      <c r="Z308" s="276">
        <v>0</v>
      </c>
      <c r="AA308" s="276" t="s">
        <v>1220</v>
      </c>
      <c r="AB308" s="276"/>
      <c r="AC308" s="275">
        <v>16</v>
      </c>
      <c r="AD308" s="189" t="s">
        <v>1315</v>
      </c>
      <c r="AE308" s="189" t="s">
        <v>2701</v>
      </c>
      <c r="AF308" s="79"/>
      <c r="AG308" s="276" t="s">
        <v>1236</v>
      </c>
      <c r="AH308" s="78"/>
      <c r="AI308" s="275">
        <v>1</v>
      </c>
      <c r="AJ308" s="83">
        <v>11013021</v>
      </c>
      <c r="AK308" s="189" t="s">
        <v>2710</v>
      </c>
      <c r="AL308" s="189" t="s">
        <v>2574</v>
      </c>
      <c r="AM308" s="189" t="s">
        <v>78</v>
      </c>
      <c r="AN308" s="189"/>
      <c r="AO308" s="83" t="s">
        <v>9</v>
      </c>
      <c r="AP308" s="83" t="s">
        <v>10</v>
      </c>
      <c r="AQ308" s="189" t="s">
        <v>2711</v>
      </c>
      <c r="AR308" s="189" t="s">
        <v>2712</v>
      </c>
      <c r="AS308" s="189" t="s">
        <v>2713</v>
      </c>
      <c r="AT308" s="189" t="s">
        <v>2714</v>
      </c>
      <c r="AU308" s="189" t="s">
        <v>2656</v>
      </c>
      <c r="AV308" s="189" t="s">
        <v>2657</v>
      </c>
      <c r="AW308" s="189">
        <v>2017</v>
      </c>
      <c r="AX308" s="189" t="s">
        <v>2715</v>
      </c>
      <c r="AY308" s="276"/>
      <c r="AZ308" s="276" t="s">
        <v>2716</v>
      </c>
      <c r="BA308" s="276" t="s">
        <v>2717</v>
      </c>
      <c r="BB308" s="83" t="s">
        <v>1392</v>
      </c>
      <c r="BC308" s="83" t="s">
        <v>11</v>
      </c>
      <c r="BD308" s="83">
        <v>2017</v>
      </c>
      <c r="BE308" s="83" t="s">
        <v>9</v>
      </c>
      <c r="BF308" s="83" t="s">
        <v>9</v>
      </c>
      <c r="BG308" s="83" t="s">
        <v>2718</v>
      </c>
      <c r="BH308" s="189"/>
      <c r="BI308" s="83" t="s">
        <v>2578</v>
      </c>
      <c r="BJ308" s="83" t="s">
        <v>2579</v>
      </c>
      <c r="BK308" s="83" t="s">
        <v>2662</v>
      </c>
      <c r="BL308" s="276" t="s">
        <v>2719</v>
      </c>
      <c r="BM308" s="105">
        <v>2015</v>
      </c>
      <c r="BN308" s="107">
        <v>0</v>
      </c>
      <c r="BO308" s="107">
        <v>0.5</v>
      </c>
      <c r="BP308" s="107">
        <v>0.9</v>
      </c>
      <c r="BQ308" s="107">
        <f t="shared" si="143"/>
        <v>0.5</v>
      </c>
      <c r="BR308" s="275">
        <v>5</v>
      </c>
      <c r="BS308" s="107">
        <f t="shared" si="152"/>
        <v>0.1</v>
      </c>
      <c r="BT308" s="107"/>
      <c r="BU308" s="107">
        <f t="shared" si="153"/>
        <v>0</v>
      </c>
      <c r="BV308" s="188">
        <f t="shared" si="154"/>
        <v>0</v>
      </c>
      <c r="BW308" s="107">
        <f t="shared" si="155"/>
        <v>0.2</v>
      </c>
      <c r="BX308" s="107"/>
      <c r="BY308" s="107">
        <f t="shared" si="144"/>
        <v>0</v>
      </c>
      <c r="BZ308" s="89">
        <f t="shared" si="145"/>
        <v>0</v>
      </c>
      <c r="CA308" s="107"/>
      <c r="CB308" s="107"/>
      <c r="CC308" s="107">
        <f t="shared" si="146"/>
        <v>0</v>
      </c>
      <c r="CD308" s="188">
        <f t="shared" si="147"/>
        <v>0</v>
      </c>
      <c r="CE308" s="107"/>
      <c r="CF308" s="107"/>
      <c r="CG308" s="107">
        <f t="shared" si="148"/>
        <v>0</v>
      </c>
      <c r="CH308" s="188">
        <f t="shared" si="149"/>
        <v>0</v>
      </c>
      <c r="CI308" s="107"/>
      <c r="CJ308" s="107"/>
      <c r="CK308" s="107">
        <f t="shared" si="150"/>
        <v>0</v>
      </c>
      <c r="CL308" s="89">
        <f t="shared" si="151"/>
        <v>0</v>
      </c>
      <c r="CM308" s="89"/>
      <c r="CN308" s="89"/>
      <c r="CO308" s="89"/>
      <c r="CP308" s="89"/>
      <c r="CQ308" s="287"/>
      <c r="CS308" s="24">
        <v>308</v>
      </c>
    </row>
    <row r="309" spans="1:97" ht="185.25" x14ac:dyDescent="0.25">
      <c r="A309" s="276">
        <v>11</v>
      </c>
      <c r="B309" s="269" t="s">
        <v>4575</v>
      </c>
      <c r="C309" s="269">
        <v>11</v>
      </c>
      <c r="D309" s="189" t="s">
        <v>721</v>
      </c>
      <c r="E309" s="276" t="s">
        <v>745</v>
      </c>
      <c r="F309" s="189" t="s">
        <v>742</v>
      </c>
      <c r="G309" s="172">
        <v>1</v>
      </c>
      <c r="H309" s="276"/>
      <c r="I309" s="276"/>
      <c r="J309" s="276"/>
      <c r="K309" s="276" t="s">
        <v>1111</v>
      </c>
      <c r="L309" s="189" t="s">
        <v>743</v>
      </c>
      <c r="M309" s="275"/>
      <c r="N309" s="78"/>
      <c r="O309" s="189" t="s">
        <v>62</v>
      </c>
      <c r="P309" s="276"/>
      <c r="Q309" s="276"/>
      <c r="R309" s="276"/>
      <c r="S309" s="276"/>
      <c r="T309" s="276"/>
      <c r="U309" s="276"/>
      <c r="V309" s="276"/>
      <c r="W309" s="276"/>
      <c r="X309" s="173"/>
      <c r="Y309" s="276">
        <v>1</v>
      </c>
      <c r="Z309" s="276">
        <v>0</v>
      </c>
      <c r="AA309" s="276" t="s">
        <v>1220</v>
      </c>
      <c r="AB309" s="78"/>
      <c r="AC309" s="275">
        <v>16</v>
      </c>
      <c r="AD309" s="189" t="s">
        <v>1316</v>
      </c>
      <c r="AE309" s="189"/>
      <c r="AF309" s="79"/>
      <c r="AG309" s="276" t="s">
        <v>1364</v>
      </c>
      <c r="AH309" s="78"/>
      <c r="AI309" s="275">
        <v>1</v>
      </c>
      <c r="AJ309" s="276">
        <v>11023031</v>
      </c>
      <c r="AK309" s="189" t="s">
        <v>2720</v>
      </c>
      <c r="AL309" s="189" t="s">
        <v>2624</v>
      </c>
      <c r="AM309" s="189" t="s">
        <v>137</v>
      </c>
      <c r="AN309" s="189"/>
      <c r="AO309" s="83" t="s">
        <v>9</v>
      </c>
      <c r="AP309" s="83" t="s">
        <v>10</v>
      </c>
      <c r="AQ309" s="189" t="s">
        <v>2721</v>
      </c>
      <c r="AR309" s="189" t="s">
        <v>2722</v>
      </c>
      <c r="AS309" s="189" t="s">
        <v>2723</v>
      </c>
      <c r="AT309" s="189" t="s">
        <v>2624</v>
      </c>
      <c r="AU309" s="189" t="s">
        <v>2724</v>
      </c>
      <c r="AV309" s="189" t="s">
        <v>2624</v>
      </c>
      <c r="AW309" s="189" t="s">
        <v>2673</v>
      </c>
      <c r="AX309" s="189" t="s">
        <v>2725</v>
      </c>
      <c r="AY309" s="276"/>
      <c r="AZ309" s="276" t="s">
        <v>2726</v>
      </c>
      <c r="BA309" s="276" t="s">
        <v>2727</v>
      </c>
      <c r="BB309" s="83" t="s">
        <v>1392</v>
      </c>
      <c r="BC309" s="83" t="s">
        <v>11</v>
      </c>
      <c r="BD309" s="83" t="s">
        <v>2673</v>
      </c>
      <c r="BE309" s="83" t="s">
        <v>9</v>
      </c>
      <c r="BF309" s="83" t="s">
        <v>9</v>
      </c>
      <c r="BG309" s="83" t="s">
        <v>2728</v>
      </c>
      <c r="BH309" s="189" t="s">
        <v>1375</v>
      </c>
      <c r="BI309" s="83" t="s">
        <v>2729</v>
      </c>
      <c r="BJ309" s="83" t="s">
        <v>2730</v>
      </c>
      <c r="BK309" s="83" t="s">
        <v>2731</v>
      </c>
      <c r="BL309" s="276" t="s">
        <v>2732</v>
      </c>
      <c r="BM309" s="105">
        <v>2015</v>
      </c>
      <c r="BN309" s="107">
        <v>0</v>
      </c>
      <c r="BO309" s="107">
        <v>0.4</v>
      </c>
      <c r="BP309" s="107">
        <v>0.6</v>
      </c>
      <c r="BQ309" s="107">
        <f t="shared" si="143"/>
        <v>0.4</v>
      </c>
      <c r="BR309" s="275">
        <v>5</v>
      </c>
      <c r="BS309" s="107">
        <f t="shared" si="152"/>
        <v>0.08</v>
      </c>
      <c r="BT309" s="107"/>
      <c r="BU309" s="107">
        <f t="shared" si="153"/>
        <v>0</v>
      </c>
      <c r="BV309" s="188">
        <f t="shared" si="154"/>
        <v>0</v>
      </c>
      <c r="BW309" s="107">
        <f t="shared" si="155"/>
        <v>0.16</v>
      </c>
      <c r="BX309" s="107"/>
      <c r="BY309" s="107">
        <f t="shared" si="144"/>
        <v>0</v>
      </c>
      <c r="BZ309" s="89">
        <f t="shared" si="145"/>
        <v>0</v>
      </c>
      <c r="CA309" s="107"/>
      <c r="CB309" s="107"/>
      <c r="CC309" s="107">
        <f t="shared" si="146"/>
        <v>0</v>
      </c>
      <c r="CD309" s="188">
        <f t="shared" si="147"/>
        <v>0</v>
      </c>
      <c r="CE309" s="107"/>
      <c r="CF309" s="107"/>
      <c r="CG309" s="107">
        <f t="shared" si="148"/>
        <v>0</v>
      </c>
      <c r="CH309" s="188">
        <f t="shared" si="149"/>
        <v>0</v>
      </c>
      <c r="CI309" s="107"/>
      <c r="CJ309" s="107"/>
      <c r="CK309" s="107">
        <f t="shared" si="150"/>
        <v>0</v>
      </c>
      <c r="CL309" s="89">
        <f t="shared" si="151"/>
        <v>0</v>
      </c>
      <c r="CM309" s="78"/>
      <c r="CN309" s="78"/>
      <c r="CO309" s="78"/>
      <c r="CP309" s="78"/>
      <c r="CQ309" s="284"/>
      <c r="CS309" s="2">
        <v>309</v>
      </c>
    </row>
    <row r="310" spans="1:97" ht="142.5" x14ac:dyDescent="0.25">
      <c r="A310" s="276">
        <v>11</v>
      </c>
      <c r="B310" s="269" t="s">
        <v>4575</v>
      </c>
      <c r="C310" s="269">
        <v>11</v>
      </c>
      <c r="D310" s="189" t="s">
        <v>721</v>
      </c>
      <c r="E310" s="276" t="s">
        <v>745</v>
      </c>
      <c r="F310" s="189" t="s">
        <v>742</v>
      </c>
      <c r="G310" s="172">
        <v>3</v>
      </c>
      <c r="H310" s="276"/>
      <c r="I310" s="276"/>
      <c r="J310" s="276"/>
      <c r="K310" s="276" t="s">
        <v>1113</v>
      </c>
      <c r="L310" s="189" t="s">
        <v>747</v>
      </c>
      <c r="M310" s="275"/>
      <c r="N310" s="78"/>
      <c r="O310" s="189" t="s">
        <v>62</v>
      </c>
      <c r="P310" s="276"/>
      <c r="Q310" s="276"/>
      <c r="R310" s="276"/>
      <c r="S310" s="276"/>
      <c r="T310" s="276"/>
      <c r="U310" s="276"/>
      <c r="V310" s="276"/>
      <c r="W310" s="276"/>
      <c r="X310" s="173"/>
      <c r="Y310" s="276">
        <v>1</v>
      </c>
      <c r="Z310" s="276">
        <v>0</v>
      </c>
      <c r="AA310" s="276" t="s">
        <v>1220</v>
      </c>
      <c r="AB310" s="78"/>
      <c r="AC310" s="275">
        <v>16</v>
      </c>
      <c r="AD310" s="189" t="s">
        <v>1316</v>
      </c>
      <c r="AE310" s="189" t="s">
        <v>1317</v>
      </c>
      <c r="AF310" s="79"/>
      <c r="AG310" s="276" t="s">
        <v>1236</v>
      </c>
      <c r="AH310" s="78"/>
      <c r="AI310" s="275">
        <v>1</v>
      </c>
      <c r="AJ310" s="276">
        <v>11023051</v>
      </c>
      <c r="AK310" s="189" t="s">
        <v>2733</v>
      </c>
      <c r="AL310" s="189" t="s">
        <v>2624</v>
      </c>
      <c r="AM310" s="189" t="s">
        <v>137</v>
      </c>
      <c r="AN310" s="189"/>
      <c r="AO310" s="83" t="s">
        <v>2734</v>
      </c>
      <c r="AP310" s="83" t="s">
        <v>10</v>
      </c>
      <c r="AQ310" s="189" t="s">
        <v>2735</v>
      </c>
      <c r="AR310" s="189" t="s">
        <v>2736</v>
      </c>
      <c r="AS310" s="189" t="s">
        <v>2737</v>
      </c>
      <c r="AT310" s="189" t="s">
        <v>2624</v>
      </c>
      <c r="AU310" s="189" t="s">
        <v>2738</v>
      </c>
      <c r="AV310" s="189" t="s">
        <v>2624</v>
      </c>
      <c r="AW310" s="189" t="s">
        <v>2739</v>
      </c>
      <c r="AX310" s="189"/>
      <c r="AY310" s="276"/>
      <c r="AZ310" s="276" t="s">
        <v>2624</v>
      </c>
      <c r="BA310" s="276" t="s">
        <v>2727</v>
      </c>
      <c r="BB310" s="83" t="s">
        <v>1392</v>
      </c>
      <c r="BC310" s="83" t="s">
        <v>11</v>
      </c>
      <c r="BD310" s="83" t="s">
        <v>2739</v>
      </c>
      <c r="BE310" s="83" t="s">
        <v>9</v>
      </c>
      <c r="BF310" s="83" t="s">
        <v>2734</v>
      </c>
      <c r="BG310" s="83" t="s">
        <v>2740</v>
      </c>
      <c r="BH310" s="189"/>
      <c r="BI310" s="83" t="s">
        <v>2729</v>
      </c>
      <c r="BJ310" s="83" t="s">
        <v>2730</v>
      </c>
      <c r="BK310" s="83" t="s">
        <v>2731</v>
      </c>
      <c r="BL310" s="276" t="s">
        <v>2732</v>
      </c>
      <c r="BM310" s="105">
        <v>2015</v>
      </c>
      <c r="BN310" s="107">
        <v>0.53</v>
      </c>
      <c r="BO310" s="107">
        <v>0.7</v>
      </c>
      <c r="BP310" s="107">
        <v>0.75</v>
      </c>
      <c r="BQ310" s="107">
        <f t="shared" si="143"/>
        <v>0.16999999999999993</v>
      </c>
      <c r="BR310" s="275">
        <v>5</v>
      </c>
      <c r="BS310" s="107">
        <f t="shared" si="152"/>
        <v>0.56400000000000006</v>
      </c>
      <c r="BT310" s="107"/>
      <c r="BU310" s="107">
        <f t="shared" si="153"/>
        <v>-0.53</v>
      </c>
      <c r="BV310" s="188">
        <f t="shared" si="154"/>
        <v>-3.1176470588235308</v>
      </c>
      <c r="BW310" s="107">
        <f t="shared" si="155"/>
        <v>0.59799999999999998</v>
      </c>
      <c r="BX310" s="107"/>
      <c r="BY310" s="107">
        <f t="shared" si="144"/>
        <v>-0.53</v>
      </c>
      <c r="BZ310" s="89">
        <f t="shared" si="145"/>
        <v>-3.1176470588235308</v>
      </c>
      <c r="CA310" s="107"/>
      <c r="CB310" s="107"/>
      <c r="CC310" s="107">
        <f t="shared" si="146"/>
        <v>-0.53</v>
      </c>
      <c r="CD310" s="188">
        <f t="shared" si="147"/>
        <v>-3.1176470588235308</v>
      </c>
      <c r="CE310" s="107"/>
      <c r="CF310" s="107"/>
      <c r="CG310" s="107">
        <f t="shared" si="148"/>
        <v>-0.53</v>
      </c>
      <c r="CH310" s="188">
        <f t="shared" si="149"/>
        <v>-3.1176470588235308</v>
      </c>
      <c r="CI310" s="107"/>
      <c r="CJ310" s="107"/>
      <c r="CK310" s="107">
        <f t="shared" si="150"/>
        <v>-0.53</v>
      </c>
      <c r="CL310" s="89">
        <f t="shared" si="151"/>
        <v>-3.1176470588235308</v>
      </c>
      <c r="CM310" s="78"/>
      <c r="CN310" s="78"/>
      <c r="CO310" s="78"/>
      <c r="CP310" s="78"/>
      <c r="CQ310" s="284"/>
      <c r="CS310" s="24">
        <v>310</v>
      </c>
    </row>
    <row r="311" spans="1:97" ht="270.75" x14ac:dyDescent="0.25">
      <c r="A311" s="276">
        <v>11</v>
      </c>
      <c r="B311" s="269" t="s">
        <v>4575</v>
      </c>
      <c r="C311" s="269">
        <v>11</v>
      </c>
      <c r="D311" s="189" t="s">
        <v>721</v>
      </c>
      <c r="E311" s="276" t="s">
        <v>745</v>
      </c>
      <c r="F311" s="189" t="s">
        <v>742</v>
      </c>
      <c r="G311" s="172">
        <v>4</v>
      </c>
      <c r="H311" s="276"/>
      <c r="I311" s="276"/>
      <c r="J311" s="276"/>
      <c r="K311" s="276" t="s">
        <v>1114</v>
      </c>
      <c r="L311" s="189" t="s">
        <v>748</v>
      </c>
      <c r="M311" s="275"/>
      <c r="N311" s="78"/>
      <c r="O311" s="189" t="s">
        <v>62</v>
      </c>
      <c r="P311" s="276"/>
      <c r="Q311" s="276"/>
      <c r="R311" s="276"/>
      <c r="S311" s="276"/>
      <c r="T311" s="276"/>
      <c r="U311" s="276"/>
      <c r="V311" s="276"/>
      <c r="W311" s="276"/>
      <c r="X311" s="173"/>
      <c r="Y311" s="276">
        <v>1</v>
      </c>
      <c r="Z311" s="276">
        <v>0</v>
      </c>
      <c r="AA311" s="276" t="s">
        <v>1220</v>
      </c>
      <c r="AB311" s="78"/>
      <c r="AC311" s="275">
        <v>16</v>
      </c>
      <c r="AD311" s="189" t="s">
        <v>1316</v>
      </c>
      <c r="AE311" s="189" t="s">
        <v>1317</v>
      </c>
      <c r="AF311" s="79"/>
      <c r="AG311" s="276" t="s">
        <v>1235</v>
      </c>
      <c r="AH311" s="78"/>
      <c r="AI311" s="275">
        <v>1</v>
      </c>
      <c r="AJ311" s="276">
        <v>11023061</v>
      </c>
      <c r="AK311" s="189" t="s">
        <v>2741</v>
      </c>
      <c r="AL311" s="189" t="s">
        <v>2624</v>
      </c>
      <c r="AM311" s="189" t="s">
        <v>137</v>
      </c>
      <c r="AN311" s="189"/>
      <c r="AO311" s="83" t="s">
        <v>1257</v>
      </c>
      <c r="AP311" s="83" t="s">
        <v>10</v>
      </c>
      <c r="AQ311" s="189" t="s">
        <v>2742</v>
      </c>
      <c r="AR311" s="189" t="s">
        <v>2743</v>
      </c>
      <c r="AS311" s="189" t="s">
        <v>2744</v>
      </c>
      <c r="AT311" s="189" t="s">
        <v>2745</v>
      </c>
      <c r="AU311" s="189" t="s">
        <v>2746</v>
      </c>
      <c r="AV311" s="189" t="s">
        <v>2745</v>
      </c>
      <c r="AW311" s="189" t="s">
        <v>2643</v>
      </c>
      <c r="AX311" s="189" t="s">
        <v>2747</v>
      </c>
      <c r="AY311" s="276"/>
      <c r="AZ311" s="276" t="s">
        <v>2748</v>
      </c>
      <c r="BA311" s="276" t="s">
        <v>2745</v>
      </c>
      <c r="BB311" s="83" t="s">
        <v>1392</v>
      </c>
      <c r="BC311" s="83" t="s">
        <v>11</v>
      </c>
      <c r="BD311" s="83" t="s">
        <v>2643</v>
      </c>
      <c r="BE311" s="83" t="s">
        <v>9</v>
      </c>
      <c r="BF311" s="83" t="s">
        <v>17</v>
      </c>
      <c r="BG311" s="83" t="s">
        <v>2749</v>
      </c>
      <c r="BH311" s="189"/>
      <c r="BI311" s="83" t="s">
        <v>2750</v>
      </c>
      <c r="BJ311" s="83" t="s">
        <v>2751</v>
      </c>
      <c r="BK311" s="83" t="s">
        <v>2751</v>
      </c>
      <c r="BL311" s="276"/>
      <c r="BM311" s="105">
        <v>2015</v>
      </c>
      <c r="BN311" s="106">
        <v>0.44979999999999998</v>
      </c>
      <c r="BO311" s="107">
        <v>0.6</v>
      </c>
      <c r="BP311" s="107">
        <v>0.8</v>
      </c>
      <c r="BQ311" s="107">
        <f t="shared" si="143"/>
        <v>0.1502</v>
      </c>
      <c r="BR311" s="275">
        <v>5</v>
      </c>
      <c r="BS311" s="107">
        <f t="shared" si="152"/>
        <v>0.47983999999999999</v>
      </c>
      <c r="BT311" s="107"/>
      <c r="BU311" s="107">
        <f t="shared" si="153"/>
        <v>-0.44979999999999998</v>
      </c>
      <c r="BV311" s="188">
        <f t="shared" si="154"/>
        <v>-2.9946737683089211</v>
      </c>
      <c r="BW311" s="107">
        <f t="shared" si="155"/>
        <v>0.50988</v>
      </c>
      <c r="BX311" s="107"/>
      <c r="BY311" s="107">
        <f t="shared" si="144"/>
        <v>-0.44979999999999998</v>
      </c>
      <c r="BZ311" s="89">
        <f t="shared" si="145"/>
        <v>-2.9946737683089211</v>
      </c>
      <c r="CA311" s="107"/>
      <c r="CB311" s="107"/>
      <c r="CC311" s="107">
        <f t="shared" si="146"/>
        <v>-0.44979999999999998</v>
      </c>
      <c r="CD311" s="188">
        <f t="shared" si="147"/>
        <v>-2.9946737683089211</v>
      </c>
      <c r="CE311" s="107"/>
      <c r="CF311" s="107"/>
      <c r="CG311" s="107">
        <f t="shared" si="148"/>
        <v>-0.44979999999999998</v>
      </c>
      <c r="CH311" s="188">
        <f t="shared" si="149"/>
        <v>-2.9946737683089211</v>
      </c>
      <c r="CI311" s="107"/>
      <c r="CJ311" s="107"/>
      <c r="CK311" s="107">
        <f t="shared" si="150"/>
        <v>-0.44979999999999998</v>
      </c>
      <c r="CL311" s="89">
        <f t="shared" si="151"/>
        <v>-2.9946737683089211</v>
      </c>
      <c r="CM311" s="78"/>
      <c r="CN311" s="78"/>
      <c r="CO311" s="78"/>
      <c r="CP311" s="78"/>
      <c r="CQ311" s="284"/>
      <c r="CS311" s="24">
        <v>311</v>
      </c>
    </row>
    <row r="312" spans="1:97" s="29" customFormat="1" ht="242.25" x14ac:dyDescent="0.25">
      <c r="A312" s="276">
        <v>11</v>
      </c>
      <c r="B312" s="269" t="s">
        <v>4575</v>
      </c>
      <c r="C312" s="269">
        <v>11</v>
      </c>
      <c r="D312" s="189" t="s">
        <v>721</v>
      </c>
      <c r="E312" s="276" t="s">
        <v>745</v>
      </c>
      <c r="F312" s="189" t="s">
        <v>742</v>
      </c>
      <c r="G312" s="172">
        <v>5</v>
      </c>
      <c r="H312" s="276"/>
      <c r="I312" s="276"/>
      <c r="J312" s="276"/>
      <c r="K312" s="276" t="s">
        <v>1115</v>
      </c>
      <c r="L312" s="189" t="s">
        <v>749</v>
      </c>
      <c r="M312" s="275"/>
      <c r="N312" s="78"/>
      <c r="O312" s="189" t="s">
        <v>78</v>
      </c>
      <c r="P312" s="276"/>
      <c r="Q312" s="276"/>
      <c r="R312" s="276"/>
      <c r="S312" s="276"/>
      <c r="T312" s="276"/>
      <c r="U312" s="276"/>
      <c r="V312" s="276"/>
      <c r="W312" s="276"/>
      <c r="X312" s="173"/>
      <c r="Y312" s="276">
        <v>0</v>
      </c>
      <c r="Z312" s="276">
        <v>1</v>
      </c>
      <c r="AA312" s="276" t="s">
        <v>1220</v>
      </c>
      <c r="AB312" s="78"/>
      <c r="AC312" s="275">
        <v>5</v>
      </c>
      <c r="AD312" s="189" t="s">
        <v>1286</v>
      </c>
      <c r="AE312" s="189" t="s">
        <v>2752</v>
      </c>
      <c r="AF312" s="79"/>
      <c r="AG312" s="276" t="s">
        <v>1236</v>
      </c>
      <c r="AH312" s="78"/>
      <c r="AI312" s="275">
        <v>1</v>
      </c>
      <c r="AJ312" s="276">
        <v>11023071</v>
      </c>
      <c r="AK312" s="189" t="s">
        <v>2753</v>
      </c>
      <c r="AL312" s="189" t="s">
        <v>2624</v>
      </c>
      <c r="AM312" s="189" t="s">
        <v>137</v>
      </c>
      <c r="AN312" s="189"/>
      <c r="AO312" s="83" t="s">
        <v>9</v>
      </c>
      <c r="AP312" s="83" t="s">
        <v>10</v>
      </c>
      <c r="AQ312" s="189" t="s">
        <v>2754</v>
      </c>
      <c r="AR312" s="189" t="s">
        <v>2755</v>
      </c>
      <c r="AS312" s="189" t="s">
        <v>2756</v>
      </c>
      <c r="AT312" s="189" t="s">
        <v>2757</v>
      </c>
      <c r="AU312" s="189" t="s">
        <v>2758</v>
      </c>
      <c r="AV312" s="189" t="s">
        <v>2759</v>
      </c>
      <c r="AW312" s="189" t="s">
        <v>2760</v>
      </c>
      <c r="AX312" s="189" t="s">
        <v>2761</v>
      </c>
      <c r="AY312" s="276"/>
      <c r="AZ312" s="276" t="s">
        <v>2726</v>
      </c>
      <c r="BA312" s="276" t="s">
        <v>2727</v>
      </c>
      <c r="BB312" s="83" t="s">
        <v>1392</v>
      </c>
      <c r="BC312" s="83" t="s">
        <v>2762</v>
      </c>
      <c r="BD312" s="83" t="s">
        <v>2760</v>
      </c>
      <c r="BE312" s="83" t="s">
        <v>9</v>
      </c>
      <c r="BF312" s="83" t="s">
        <v>9</v>
      </c>
      <c r="BG312" s="83" t="s">
        <v>2763</v>
      </c>
      <c r="BH312" s="189"/>
      <c r="BI312" s="83" t="s">
        <v>2729</v>
      </c>
      <c r="BJ312" s="83" t="s">
        <v>2730</v>
      </c>
      <c r="BK312" s="83" t="s">
        <v>2731</v>
      </c>
      <c r="BL312" s="276" t="s">
        <v>2732</v>
      </c>
      <c r="BM312" s="105">
        <v>2011</v>
      </c>
      <c r="BN312" s="83" t="s">
        <v>2764</v>
      </c>
      <c r="BO312" s="107">
        <v>0.5</v>
      </c>
      <c r="BP312" s="107">
        <v>0.5</v>
      </c>
      <c r="BQ312" s="107" t="e">
        <f t="shared" si="143"/>
        <v>#VALUE!</v>
      </c>
      <c r="BR312" s="275">
        <v>9</v>
      </c>
      <c r="BS312" s="107" t="e">
        <f>+BN312-(((BQ312)/9)*(-5))</f>
        <v>#VALUE!</v>
      </c>
      <c r="BT312" s="107"/>
      <c r="BU312" s="107" t="e">
        <f t="shared" si="153"/>
        <v>#VALUE!</v>
      </c>
      <c r="BV312" s="188" t="e">
        <f t="shared" si="154"/>
        <v>#VALUE!</v>
      </c>
      <c r="BW312" s="107" t="e">
        <f>+BN312-(((BQ312)/9)*(-6))</f>
        <v>#VALUE!</v>
      </c>
      <c r="BX312" s="107"/>
      <c r="BY312" s="107" t="e">
        <f t="shared" si="144"/>
        <v>#VALUE!</v>
      </c>
      <c r="BZ312" s="89" t="e">
        <f t="shared" si="145"/>
        <v>#VALUE!</v>
      </c>
      <c r="CA312" s="107" t="e">
        <f>+BN312-(((BQ312)/9)*(-7))</f>
        <v>#VALUE!</v>
      </c>
      <c r="CB312" s="107"/>
      <c r="CC312" s="107" t="e">
        <f t="shared" si="146"/>
        <v>#VALUE!</v>
      </c>
      <c r="CD312" s="188" t="e">
        <f t="shared" si="147"/>
        <v>#VALUE!</v>
      </c>
      <c r="CE312" s="107" t="e">
        <f>+BN312-(((BQ312)/9)*(-8))</f>
        <v>#VALUE!</v>
      </c>
      <c r="CF312" s="107"/>
      <c r="CG312" s="107" t="e">
        <f t="shared" si="148"/>
        <v>#VALUE!</v>
      </c>
      <c r="CH312" s="188" t="e">
        <f t="shared" si="149"/>
        <v>#VALUE!</v>
      </c>
      <c r="CI312" s="107" t="e">
        <f>+BN312-(((BQ312)/9)*(-9))</f>
        <v>#VALUE!</v>
      </c>
      <c r="CJ312" s="107"/>
      <c r="CK312" s="107" t="e">
        <f t="shared" si="150"/>
        <v>#VALUE!</v>
      </c>
      <c r="CL312" s="89" t="e">
        <f t="shared" si="151"/>
        <v>#VALUE!</v>
      </c>
      <c r="CM312" s="78"/>
      <c r="CN312" s="78"/>
      <c r="CO312" s="78"/>
      <c r="CP312" s="78"/>
      <c r="CQ312" s="284"/>
      <c r="CS312" s="2">
        <v>312</v>
      </c>
    </row>
    <row r="313" spans="1:97" s="29" customFormat="1" ht="185.25" x14ac:dyDescent="0.25">
      <c r="A313" s="276">
        <v>11</v>
      </c>
      <c r="B313" s="269" t="s">
        <v>4575</v>
      </c>
      <c r="C313" s="269">
        <v>11</v>
      </c>
      <c r="D313" s="189" t="s">
        <v>721</v>
      </c>
      <c r="E313" s="276" t="s">
        <v>752</v>
      </c>
      <c r="F313" s="189" t="s">
        <v>750</v>
      </c>
      <c r="G313" s="172">
        <v>1</v>
      </c>
      <c r="H313" s="276"/>
      <c r="I313" s="276"/>
      <c r="J313" s="276"/>
      <c r="K313" s="276" t="s">
        <v>1116</v>
      </c>
      <c r="L313" s="189" t="s">
        <v>751</v>
      </c>
      <c r="M313" s="275"/>
      <c r="N313" s="78"/>
      <c r="O313" s="189" t="s">
        <v>62</v>
      </c>
      <c r="P313" s="276"/>
      <c r="Q313" s="276"/>
      <c r="R313" s="276"/>
      <c r="S313" s="276"/>
      <c r="T313" s="276"/>
      <c r="U313" s="276"/>
      <c r="V313" s="276"/>
      <c r="W313" s="276"/>
      <c r="X313" s="173"/>
      <c r="Y313" s="276">
        <v>1</v>
      </c>
      <c r="Z313" s="276">
        <v>0</v>
      </c>
      <c r="AA313" s="276" t="s">
        <v>1220</v>
      </c>
      <c r="AB313" s="78"/>
      <c r="AC313" s="275">
        <v>16</v>
      </c>
      <c r="AD313" s="189" t="s">
        <v>1319</v>
      </c>
      <c r="AE313" s="189"/>
      <c r="AF313" s="79"/>
      <c r="AG313" s="276" t="s">
        <v>1364</v>
      </c>
      <c r="AH313" s="135"/>
      <c r="AI313" s="275">
        <v>1</v>
      </c>
      <c r="AJ313" s="276">
        <v>11033081</v>
      </c>
      <c r="AK313" s="189" t="s">
        <v>2765</v>
      </c>
      <c r="AL313" s="189" t="s">
        <v>2684</v>
      </c>
      <c r="AM313" s="189" t="s">
        <v>137</v>
      </c>
      <c r="AN313" s="189"/>
      <c r="AO313" s="83" t="s">
        <v>2766</v>
      </c>
      <c r="AP313" s="83" t="s">
        <v>2767</v>
      </c>
      <c r="AQ313" s="189" t="s">
        <v>2768</v>
      </c>
      <c r="AR313" s="189" t="s">
        <v>2769</v>
      </c>
      <c r="AS313" s="189" t="s">
        <v>2769</v>
      </c>
      <c r="AT313" s="189" t="s">
        <v>2770</v>
      </c>
      <c r="AU313" s="189"/>
      <c r="AV313" s="189"/>
      <c r="AW313" s="189">
        <v>2013</v>
      </c>
      <c r="AX313" s="189" t="s">
        <v>2771</v>
      </c>
      <c r="AY313" s="276"/>
      <c r="AZ313" s="276" t="s">
        <v>2772</v>
      </c>
      <c r="BA313" s="276" t="s">
        <v>2773</v>
      </c>
      <c r="BB313" s="83" t="s">
        <v>2774</v>
      </c>
      <c r="BC313" s="83" t="s">
        <v>2775</v>
      </c>
      <c r="BD313" s="83">
        <v>2013</v>
      </c>
      <c r="BE313" s="83" t="s">
        <v>2776</v>
      </c>
      <c r="BF313" s="83" t="s">
        <v>2776</v>
      </c>
      <c r="BG313" s="83" t="s">
        <v>2777</v>
      </c>
      <c r="BH313" s="189"/>
      <c r="BI313" s="83" t="s">
        <v>2696</v>
      </c>
      <c r="BJ313" s="83" t="s">
        <v>2778</v>
      </c>
      <c r="BK313" s="83" t="s">
        <v>2779</v>
      </c>
      <c r="BL313" s="276" t="s">
        <v>2780</v>
      </c>
      <c r="BM313" s="105">
        <v>2013</v>
      </c>
      <c r="BN313" s="105">
        <v>3.04</v>
      </c>
      <c r="BO313" s="276" t="s">
        <v>2781</v>
      </c>
      <c r="BP313" s="276" t="s">
        <v>2781</v>
      </c>
      <c r="BQ313" s="78"/>
      <c r="BR313" s="275"/>
      <c r="BS313" s="78"/>
      <c r="BT313" s="78"/>
      <c r="BU313" s="78"/>
      <c r="BV313" s="78"/>
      <c r="BW313" s="78"/>
      <c r="BX313" s="78"/>
      <c r="BY313" s="78"/>
      <c r="BZ313" s="78"/>
      <c r="CA313" s="78"/>
      <c r="CB313" s="78"/>
      <c r="CC313" s="78"/>
      <c r="CD313" s="78"/>
      <c r="CE313" s="78"/>
      <c r="CF313" s="78"/>
      <c r="CG313" s="78"/>
      <c r="CH313" s="78"/>
      <c r="CI313" s="78"/>
      <c r="CJ313" s="78"/>
      <c r="CK313" s="78"/>
      <c r="CL313" s="78"/>
      <c r="CM313" s="78"/>
      <c r="CN313" s="78"/>
      <c r="CO313" s="78"/>
      <c r="CP313" s="78"/>
      <c r="CQ313" s="284"/>
      <c r="CS313" s="24">
        <v>313</v>
      </c>
    </row>
    <row r="314" spans="1:97" ht="409.5" x14ac:dyDescent="0.25">
      <c r="A314" s="276">
        <v>11</v>
      </c>
      <c r="B314" s="269" t="s">
        <v>4575</v>
      </c>
      <c r="C314" s="269" t="s">
        <v>1274</v>
      </c>
      <c r="D314" s="189" t="s">
        <v>721</v>
      </c>
      <c r="E314" s="276" t="s">
        <v>752</v>
      </c>
      <c r="F314" s="189" t="s">
        <v>750</v>
      </c>
      <c r="G314" s="172">
        <v>2</v>
      </c>
      <c r="H314" s="276"/>
      <c r="I314" s="276"/>
      <c r="J314" s="276"/>
      <c r="K314" s="276" t="s">
        <v>1117</v>
      </c>
      <c r="L314" s="189" t="s">
        <v>753</v>
      </c>
      <c r="M314" s="275"/>
      <c r="N314" s="78"/>
      <c r="O314" s="189" t="s">
        <v>78</v>
      </c>
      <c r="P314" s="276"/>
      <c r="Q314" s="276"/>
      <c r="R314" s="276"/>
      <c r="S314" s="276"/>
      <c r="T314" s="276"/>
      <c r="U314" s="276"/>
      <c r="V314" s="276"/>
      <c r="W314" s="276"/>
      <c r="X314" s="173"/>
      <c r="Y314" s="276">
        <v>0</v>
      </c>
      <c r="Z314" s="276">
        <v>1</v>
      </c>
      <c r="AA314" s="276" t="s">
        <v>1220</v>
      </c>
      <c r="AB314" s="78"/>
      <c r="AC314" s="275">
        <v>16</v>
      </c>
      <c r="AD314" s="189" t="s">
        <v>1319</v>
      </c>
      <c r="AE314" s="189"/>
      <c r="AF314" s="79"/>
      <c r="AG314" s="276" t="s">
        <v>1364</v>
      </c>
      <c r="AH314" s="135"/>
      <c r="AI314" s="275">
        <v>1</v>
      </c>
      <c r="AJ314" s="276">
        <v>11033091</v>
      </c>
      <c r="AK314" s="189" t="s">
        <v>2782</v>
      </c>
      <c r="AL314" s="189" t="s">
        <v>2684</v>
      </c>
      <c r="AM314" s="189" t="s">
        <v>78</v>
      </c>
      <c r="AN314" s="189"/>
      <c r="AO314" s="83" t="s">
        <v>2783</v>
      </c>
      <c r="AP314" s="83" t="s">
        <v>10</v>
      </c>
      <c r="AQ314" s="189" t="s">
        <v>2784</v>
      </c>
      <c r="AR314" s="189" t="s">
        <v>2785</v>
      </c>
      <c r="AS314" s="189" t="s">
        <v>2786</v>
      </c>
      <c r="AT314" s="189" t="s">
        <v>2787</v>
      </c>
      <c r="AU314" s="189" t="s">
        <v>2788</v>
      </c>
      <c r="AV314" s="189" t="s">
        <v>2787</v>
      </c>
      <c r="AW314" s="189" t="s">
        <v>2789</v>
      </c>
      <c r="AX314" s="189" t="s">
        <v>2790</v>
      </c>
      <c r="AY314" s="276"/>
      <c r="AZ314" s="276" t="s">
        <v>2791</v>
      </c>
      <c r="BA314" s="276" t="s">
        <v>2792</v>
      </c>
      <c r="BB314" s="83" t="s">
        <v>1514</v>
      </c>
      <c r="BC314" s="83" t="s">
        <v>2793</v>
      </c>
      <c r="BD314" s="83" t="s">
        <v>2789</v>
      </c>
      <c r="BE314" s="83" t="s">
        <v>2794</v>
      </c>
      <c r="BF314" s="83" t="s">
        <v>2795</v>
      </c>
      <c r="BG314" s="83" t="s">
        <v>2796</v>
      </c>
      <c r="BH314" s="189" t="s">
        <v>2797</v>
      </c>
      <c r="BI314" s="83" t="s">
        <v>2696</v>
      </c>
      <c r="BJ314" s="83" t="s">
        <v>2798</v>
      </c>
      <c r="BK314" s="83" t="s">
        <v>2799</v>
      </c>
      <c r="BL314" s="276" t="s">
        <v>2800</v>
      </c>
      <c r="BM314" s="105">
        <v>2015</v>
      </c>
      <c r="BN314" s="276" t="s">
        <v>2801</v>
      </c>
      <c r="BO314" s="276" t="s">
        <v>2802</v>
      </c>
      <c r="BP314" s="276" t="s">
        <v>2803</v>
      </c>
      <c r="BQ314" s="78"/>
      <c r="BR314" s="275"/>
      <c r="BS314" s="78"/>
      <c r="BT314" s="78"/>
      <c r="BU314" s="78"/>
      <c r="BV314" s="78"/>
      <c r="BW314" s="78"/>
      <c r="BX314" s="78"/>
      <c r="BY314" s="78"/>
      <c r="BZ314" s="78"/>
      <c r="CA314" s="78"/>
      <c r="CB314" s="78"/>
      <c r="CC314" s="78"/>
      <c r="CD314" s="78"/>
      <c r="CE314" s="78"/>
      <c r="CF314" s="78"/>
      <c r="CG314" s="78"/>
      <c r="CH314" s="78"/>
      <c r="CI314" s="78"/>
      <c r="CJ314" s="78"/>
      <c r="CK314" s="78"/>
      <c r="CL314" s="78"/>
      <c r="CM314" s="78"/>
      <c r="CN314" s="78"/>
      <c r="CO314" s="78"/>
      <c r="CP314" s="78"/>
      <c r="CQ314" s="284"/>
      <c r="CS314" s="24">
        <v>314</v>
      </c>
    </row>
    <row r="315" spans="1:97" ht="185.25" x14ac:dyDescent="0.25">
      <c r="A315" s="276">
        <v>11</v>
      </c>
      <c r="B315" s="269" t="s">
        <v>4575</v>
      </c>
      <c r="C315" s="269" t="s">
        <v>1274</v>
      </c>
      <c r="D315" s="189" t="s">
        <v>721</v>
      </c>
      <c r="E315" s="276" t="s">
        <v>752</v>
      </c>
      <c r="F315" s="189" t="s">
        <v>750</v>
      </c>
      <c r="G315" s="172">
        <v>2</v>
      </c>
      <c r="H315" s="276"/>
      <c r="I315" s="276"/>
      <c r="J315" s="276"/>
      <c r="K315" s="276" t="s">
        <v>1117</v>
      </c>
      <c r="L315" s="189" t="s">
        <v>753</v>
      </c>
      <c r="M315" s="275"/>
      <c r="N315" s="78"/>
      <c r="O315" s="189" t="s">
        <v>137</v>
      </c>
      <c r="P315" s="276"/>
      <c r="Q315" s="276"/>
      <c r="R315" s="276"/>
      <c r="S315" s="276"/>
      <c r="T315" s="276"/>
      <c r="U315" s="276"/>
      <c r="V315" s="276"/>
      <c r="W315" s="276"/>
      <c r="X315" s="173"/>
      <c r="Y315" s="276">
        <v>0</v>
      </c>
      <c r="Z315" s="276">
        <v>1</v>
      </c>
      <c r="AA315" s="276" t="s">
        <v>1220</v>
      </c>
      <c r="AB315" s="78"/>
      <c r="AC315" s="275">
        <v>16</v>
      </c>
      <c r="AD315" s="189" t="s">
        <v>1319</v>
      </c>
      <c r="AE315" s="189"/>
      <c r="AF315" s="79"/>
      <c r="AG315" s="276" t="s">
        <v>1364</v>
      </c>
      <c r="AH315" s="135"/>
      <c r="AI315" s="275">
        <v>2</v>
      </c>
      <c r="AJ315" s="276">
        <v>11033092</v>
      </c>
      <c r="AK315" s="189" t="s">
        <v>2804</v>
      </c>
      <c r="AL315" s="189" t="s">
        <v>2684</v>
      </c>
      <c r="AM315" s="189" t="s">
        <v>137</v>
      </c>
      <c r="AN315" s="189"/>
      <c r="AO315" s="83" t="s">
        <v>1257</v>
      </c>
      <c r="AP315" s="83" t="s">
        <v>2805</v>
      </c>
      <c r="AQ315" s="189" t="s">
        <v>2806</v>
      </c>
      <c r="AR315" s="189" t="s">
        <v>2807</v>
      </c>
      <c r="AS315" s="189" t="s">
        <v>2808</v>
      </c>
      <c r="AT315" s="189" t="s">
        <v>2809</v>
      </c>
      <c r="AU315" s="189" t="s">
        <v>2810</v>
      </c>
      <c r="AV315" s="189" t="s">
        <v>2100</v>
      </c>
      <c r="AW315" s="189" t="s">
        <v>1529</v>
      </c>
      <c r="AX315" s="189"/>
      <c r="AY315" s="276"/>
      <c r="AZ315" s="276" t="s">
        <v>2809</v>
      </c>
      <c r="BA315" s="276" t="s">
        <v>2811</v>
      </c>
      <c r="BB315" s="83" t="s">
        <v>2812</v>
      </c>
      <c r="BC315" s="83" t="s">
        <v>11</v>
      </c>
      <c r="BD315" s="83" t="s">
        <v>1529</v>
      </c>
      <c r="BE315" s="83" t="s">
        <v>9</v>
      </c>
      <c r="BF315" s="83" t="s">
        <v>17</v>
      </c>
      <c r="BG315" s="83" t="s">
        <v>2813</v>
      </c>
      <c r="BH315" s="189"/>
      <c r="BI315" s="83" t="s">
        <v>2696</v>
      </c>
      <c r="BJ315" s="83" t="s">
        <v>2811</v>
      </c>
      <c r="BK315" s="83" t="s">
        <v>2814</v>
      </c>
      <c r="BL315" s="276" t="s">
        <v>2815</v>
      </c>
      <c r="BM315" s="105">
        <v>2015</v>
      </c>
      <c r="BN315" s="128">
        <v>7.0000000000000007E-2</v>
      </c>
      <c r="BO315" s="276" t="s">
        <v>2816</v>
      </c>
      <c r="BP315" s="276" t="s">
        <v>2816</v>
      </c>
      <c r="BQ315" s="78"/>
      <c r="BR315" s="275"/>
      <c r="BS315" s="78"/>
      <c r="BT315" s="78"/>
      <c r="BU315" s="78"/>
      <c r="BV315" s="78"/>
      <c r="BW315" s="78"/>
      <c r="BX315" s="78"/>
      <c r="BY315" s="78"/>
      <c r="BZ315" s="78"/>
      <c r="CA315" s="78"/>
      <c r="CB315" s="78"/>
      <c r="CC315" s="78"/>
      <c r="CD315" s="78"/>
      <c r="CE315" s="78"/>
      <c r="CF315" s="78"/>
      <c r="CG315" s="78"/>
      <c r="CH315" s="78"/>
      <c r="CI315" s="78"/>
      <c r="CJ315" s="78"/>
      <c r="CK315" s="78"/>
      <c r="CL315" s="78"/>
      <c r="CM315" s="78"/>
      <c r="CN315" s="78"/>
      <c r="CO315" s="78"/>
      <c r="CP315" s="78"/>
      <c r="CQ315" s="284"/>
      <c r="CS315" s="2">
        <v>315</v>
      </c>
    </row>
    <row r="316" spans="1:97" ht="409.5" customHeight="1" x14ac:dyDescent="0.25">
      <c r="A316" s="276">
        <v>11</v>
      </c>
      <c r="B316" s="269" t="s">
        <v>4575</v>
      </c>
      <c r="C316" s="269">
        <v>11</v>
      </c>
      <c r="D316" s="189" t="s">
        <v>721</v>
      </c>
      <c r="E316" s="276" t="s">
        <v>752</v>
      </c>
      <c r="F316" s="189" t="s">
        <v>750</v>
      </c>
      <c r="G316" s="172">
        <v>3</v>
      </c>
      <c r="H316" s="276"/>
      <c r="I316" s="276"/>
      <c r="J316" s="276"/>
      <c r="K316" s="276" t="s">
        <v>1118</v>
      </c>
      <c r="L316" s="189" t="s">
        <v>754</v>
      </c>
      <c r="M316" s="275"/>
      <c r="N316" s="78"/>
      <c r="O316" s="189" t="s">
        <v>137</v>
      </c>
      <c r="P316" s="276"/>
      <c r="Q316" s="276"/>
      <c r="R316" s="276"/>
      <c r="S316" s="276"/>
      <c r="T316" s="276"/>
      <c r="U316" s="276"/>
      <c r="V316" s="276"/>
      <c r="W316" s="276"/>
      <c r="X316" s="173"/>
      <c r="Y316" s="276">
        <v>0</v>
      </c>
      <c r="Z316" s="276">
        <v>1</v>
      </c>
      <c r="AA316" s="276" t="s">
        <v>1220</v>
      </c>
      <c r="AB316" s="78"/>
      <c r="AC316" s="275">
        <v>16</v>
      </c>
      <c r="AD316" s="189" t="s">
        <v>1319</v>
      </c>
      <c r="AE316" s="189"/>
      <c r="AF316" s="79"/>
      <c r="AG316" s="276" t="s">
        <v>1364</v>
      </c>
      <c r="AH316" s="135"/>
      <c r="AI316" s="275">
        <v>1</v>
      </c>
      <c r="AJ316" s="83" t="s">
        <v>2817</v>
      </c>
      <c r="AK316" s="189" t="s">
        <v>2818</v>
      </c>
      <c r="AL316" s="189" t="s">
        <v>2684</v>
      </c>
      <c r="AM316" s="189" t="s">
        <v>137</v>
      </c>
      <c r="AN316" s="189"/>
      <c r="AO316" s="83" t="s">
        <v>2819</v>
      </c>
      <c r="AP316" s="83" t="s">
        <v>2820</v>
      </c>
      <c r="AQ316" s="189" t="s">
        <v>2821</v>
      </c>
      <c r="AR316" s="189" t="s">
        <v>2822</v>
      </c>
      <c r="AS316" s="189" t="s">
        <v>2823</v>
      </c>
      <c r="AT316" s="189" t="s">
        <v>2809</v>
      </c>
      <c r="AU316" s="189"/>
      <c r="AV316" s="189"/>
      <c r="AW316" s="189" t="s">
        <v>1529</v>
      </c>
      <c r="AX316" s="189"/>
      <c r="AY316" s="276"/>
      <c r="AZ316" s="276" t="s">
        <v>2809</v>
      </c>
      <c r="BA316" s="276" t="s">
        <v>2811</v>
      </c>
      <c r="BB316" s="83" t="s">
        <v>2812</v>
      </c>
      <c r="BC316" s="83" t="s">
        <v>11</v>
      </c>
      <c r="BD316" s="83" t="s">
        <v>1529</v>
      </c>
      <c r="BE316" s="83" t="s">
        <v>9</v>
      </c>
      <c r="BF316" s="83" t="s">
        <v>17</v>
      </c>
      <c r="BG316" s="83"/>
      <c r="BH316" s="189"/>
      <c r="BI316" s="83" t="s">
        <v>2696</v>
      </c>
      <c r="BJ316" s="83" t="s">
        <v>2811</v>
      </c>
      <c r="BK316" s="83" t="s">
        <v>2814</v>
      </c>
      <c r="BL316" s="276" t="s">
        <v>2824</v>
      </c>
      <c r="BM316" s="105">
        <v>2015</v>
      </c>
      <c r="BN316" s="110">
        <v>14</v>
      </c>
      <c r="BO316" s="276" t="s">
        <v>2825</v>
      </c>
      <c r="BP316" s="276" t="s">
        <v>2825</v>
      </c>
      <c r="BQ316" s="78"/>
      <c r="BR316" s="275"/>
      <c r="BS316" s="78"/>
      <c r="BT316" s="78"/>
      <c r="BU316" s="78"/>
      <c r="BV316" s="78"/>
      <c r="BW316" s="78"/>
      <c r="BX316" s="78"/>
      <c r="BY316" s="78"/>
      <c r="BZ316" s="78"/>
      <c r="CA316" s="78"/>
      <c r="CB316" s="78"/>
      <c r="CC316" s="78"/>
      <c r="CD316" s="78"/>
      <c r="CE316" s="78"/>
      <c r="CF316" s="78"/>
      <c r="CG316" s="78"/>
      <c r="CH316" s="78"/>
      <c r="CI316" s="78"/>
      <c r="CJ316" s="78"/>
      <c r="CK316" s="78"/>
      <c r="CL316" s="78"/>
      <c r="CM316" s="78"/>
      <c r="CN316" s="78"/>
      <c r="CO316" s="78"/>
      <c r="CP316" s="78"/>
      <c r="CQ316" s="284"/>
      <c r="CS316" s="24">
        <v>316</v>
      </c>
    </row>
    <row r="317" spans="1:97" ht="299.25" x14ac:dyDescent="0.25">
      <c r="A317" s="276">
        <v>11</v>
      </c>
      <c r="B317" s="269" t="s">
        <v>4575</v>
      </c>
      <c r="C317" s="269">
        <v>11</v>
      </c>
      <c r="D317" s="189" t="s">
        <v>721</v>
      </c>
      <c r="E317" s="276" t="s">
        <v>752</v>
      </c>
      <c r="F317" s="189" t="s">
        <v>750</v>
      </c>
      <c r="G317" s="172">
        <v>4</v>
      </c>
      <c r="H317" s="276"/>
      <c r="I317" s="276"/>
      <c r="J317" s="276"/>
      <c r="K317" s="276" t="s">
        <v>1119</v>
      </c>
      <c r="L317" s="189" t="s">
        <v>755</v>
      </c>
      <c r="M317" s="275"/>
      <c r="N317" s="78"/>
      <c r="O317" s="189" t="s">
        <v>62</v>
      </c>
      <c r="P317" s="276"/>
      <c r="Q317" s="276"/>
      <c r="R317" s="276"/>
      <c r="S317" s="276"/>
      <c r="T317" s="276"/>
      <c r="U317" s="276"/>
      <c r="V317" s="276"/>
      <c r="W317" s="276"/>
      <c r="X317" s="173"/>
      <c r="Y317" s="276">
        <v>1</v>
      </c>
      <c r="Z317" s="276">
        <v>0</v>
      </c>
      <c r="AA317" s="276" t="s">
        <v>1220</v>
      </c>
      <c r="AB317" s="78"/>
      <c r="AC317" s="275">
        <v>16</v>
      </c>
      <c r="AD317" s="189" t="s">
        <v>1316</v>
      </c>
      <c r="AE317" s="189" t="s">
        <v>1318</v>
      </c>
      <c r="AF317" s="79"/>
      <c r="AG317" s="276" t="s">
        <v>1236</v>
      </c>
      <c r="AH317" s="117" t="s">
        <v>1236</v>
      </c>
      <c r="AI317" s="275">
        <v>1</v>
      </c>
      <c r="AJ317" s="276">
        <v>11033111</v>
      </c>
      <c r="AK317" s="189" t="s">
        <v>2826</v>
      </c>
      <c r="AL317" s="189" t="s">
        <v>2684</v>
      </c>
      <c r="AM317" s="189" t="s">
        <v>1259</v>
      </c>
      <c r="AN317" s="189"/>
      <c r="AO317" s="83" t="s">
        <v>1257</v>
      </c>
      <c r="AP317" s="83" t="s">
        <v>10</v>
      </c>
      <c r="AQ317" s="189" t="s">
        <v>2827</v>
      </c>
      <c r="AR317" s="189" t="s">
        <v>2828</v>
      </c>
      <c r="AS317" s="189" t="s">
        <v>2829</v>
      </c>
      <c r="AT317" s="189" t="s">
        <v>2830</v>
      </c>
      <c r="AU317" s="189" t="s">
        <v>2442</v>
      </c>
      <c r="AV317" s="189" t="s">
        <v>2831</v>
      </c>
      <c r="AW317" s="189" t="s">
        <v>2832</v>
      </c>
      <c r="AX317" s="189"/>
      <c r="AY317" s="276"/>
      <c r="AZ317" s="276" t="s">
        <v>2833</v>
      </c>
      <c r="BA317" s="276" t="s">
        <v>2834</v>
      </c>
      <c r="BB317" s="83" t="s">
        <v>2812</v>
      </c>
      <c r="BC317" s="83" t="s">
        <v>1983</v>
      </c>
      <c r="BD317" s="83" t="s">
        <v>2514</v>
      </c>
      <c r="BE317" s="83" t="s">
        <v>9</v>
      </c>
      <c r="BF317" s="83" t="s">
        <v>17</v>
      </c>
      <c r="BG317" s="83" t="s">
        <v>2835</v>
      </c>
      <c r="BH317" s="189"/>
      <c r="BI317" s="83" t="s">
        <v>2696</v>
      </c>
      <c r="BJ317" s="83" t="s">
        <v>2836</v>
      </c>
      <c r="BK317" s="83" t="s">
        <v>2837</v>
      </c>
      <c r="BL317" s="276" t="s">
        <v>2838</v>
      </c>
      <c r="BM317" s="105">
        <v>2015</v>
      </c>
      <c r="BN317" s="98">
        <v>6.4</v>
      </c>
      <c r="BO317" s="98">
        <v>6.08</v>
      </c>
      <c r="BP317" s="98">
        <v>5.78</v>
      </c>
      <c r="BQ317" s="98">
        <f t="shared" ref="BQ317:BQ322" si="156">+BO317-BN317</f>
        <v>-0.32000000000000028</v>
      </c>
      <c r="BR317" s="275">
        <v>5</v>
      </c>
      <c r="BS317" s="98">
        <f>+BN317-(((BQ317)/5)*(-1))</f>
        <v>6.3360000000000003</v>
      </c>
      <c r="BT317" s="98"/>
      <c r="BU317" s="98">
        <f t="shared" ref="BU317:BU322" si="157">+BT317-BN317</f>
        <v>-6.4</v>
      </c>
      <c r="BV317" s="188">
        <f t="shared" ref="BV317:BV322" si="158">+BU317/BQ317</f>
        <v>19.999999999999982</v>
      </c>
      <c r="BW317" s="98">
        <f>+BN317-(((BQ317)/5)*(-2))</f>
        <v>6.2720000000000002</v>
      </c>
      <c r="BX317" s="98"/>
      <c r="BY317" s="98">
        <f t="shared" ref="BY317:BY322" si="159">+BX317-BN317</f>
        <v>-6.4</v>
      </c>
      <c r="BZ317" s="89">
        <f t="shared" ref="BZ317:BZ322" si="160">+BY317/BQ317</f>
        <v>19.999999999999982</v>
      </c>
      <c r="CA317" s="98"/>
      <c r="CB317" s="98"/>
      <c r="CC317" s="98">
        <f t="shared" ref="CC317:CC322" si="161">+CB317-BN317</f>
        <v>-6.4</v>
      </c>
      <c r="CD317" s="188">
        <f t="shared" ref="CD317:CD322" si="162">+CC317/BQ317</f>
        <v>19.999999999999982</v>
      </c>
      <c r="CE317" s="98"/>
      <c r="CF317" s="98"/>
      <c r="CG317" s="98">
        <f t="shared" ref="CG317:CG322" si="163">+CF317-BN317</f>
        <v>-6.4</v>
      </c>
      <c r="CH317" s="188">
        <f t="shared" ref="CH317:CH322" si="164">+CG317/BQ317</f>
        <v>19.999999999999982</v>
      </c>
      <c r="CI317" s="98"/>
      <c r="CJ317" s="98"/>
      <c r="CK317" s="98">
        <f t="shared" ref="CK317:CK322" si="165">+CJ317-BN317</f>
        <v>-6.4</v>
      </c>
      <c r="CL317" s="89">
        <f t="shared" ref="CL317:CL322" si="166">+CK317/BQ317</f>
        <v>19.999999999999982</v>
      </c>
      <c r="CM317" s="78"/>
      <c r="CN317" s="78"/>
      <c r="CO317" s="78"/>
      <c r="CP317" s="78"/>
      <c r="CQ317" s="284"/>
      <c r="CS317" s="24">
        <v>317</v>
      </c>
    </row>
    <row r="318" spans="1:97" ht="156.75" x14ac:dyDescent="0.25">
      <c r="A318" s="276">
        <v>11</v>
      </c>
      <c r="B318" s="269" t="s">
        <v>4575</v>
      </c>
      <c r="C318" s="269">
        <v>11</v>
      </c>
      <c r="D318" s="189" t="s">
        <v>721</v>
      </c>
      <c r="E318" s="276" t="s">
        <v>752</v>
      </c>
      <c r="F318" s="189" t="s">
        <v>750</v>
      </c>
      <c r="G318" s="172">
        <v>4</v>
      </c>
      <c r="H318" s="276"/>
      <c r="I318" s="276"/>
      <c r="J318" s="276"/>
      <c r="K318" s="276" t="s">
        <v>1119</v>
      </c>
      <c r="L318" s="189" t="s">
        <v>755</v>
      </c>
      <c r="M318" s="275"/>
      <c r="N318" s="78"/>
      <c r="O318" s="189" t="s">
        <v>137</v>
      </c>
      <c r="P318" s="276"/>
      <c r="Q318" s="276"/>
      <c r="R318" s="276"/>
      <c r="S318" s="276"/>
      <c r="T318" s="276"/>
      <c r="U318" s="276"/>
      <c r="V318" s="276"/>
      <c r="W318" s="276"/>
      <c r="X318" s="173"/>
      <c r="Y318" s="276">
        <v>0</v>
      </c>
      <c r="Z318" s="276">
        <v>1</v>
      </c>
      <c r="AA318" s="276" t="s">
        <v>1220</v>
      </c>
      <c r="AB318" s="78"/>
      <c r="AC318" s="275">
        <v>16</v>
      </c>
      <c r="AD318" s="189" t="s">
        <v>1319</v>
      </c>
      <c r="AE318" s="189"/>
      <c r="AF318" s="79"/>
      <c r="AG318" s="276" t="s">
        <v>1364</v>
      </c>
      <c r="AH318" s="135"/>
      <c r="AI318" s="275">
        <v>2</v>
      </c>
      <c r="AJ318" s="276">
        <v>11033112</v>
      </c>
      <c r="AK318" s="189" t="s">
        <v>2839</v>
      </c>
      <c r="AL318" s="189" t="s">
        <v>2684</v>
      </c>
      <c r="AM318" s="189" t="s">
        <v>2840</v>
      </c>
      <c r="AN318" s="189"/>
      <c r="AO318" s="83" t="s">
        <v>1257</v>
      </c>
      <c r="AP318" s="83" t="s">
        <v>10</v>
      </c>
      <c r="AQ318" s="189" t="s">
        <v>2841</v>
      </c>
      <c r="AR318" s="189" t="s">
        <v>2842</v>
      </c>
      <c r="AS318" s="189" t="s">
        <v>2843</v>
      </c>
      <c r="AT318" s="189" t="s">
        <v>2830</v>
      </c>
      <c r="AU318" s="189" t="s">
        <v>2442</v>
      </c>
      <c r="AV318" s="189" t="s">
        <v>2831</v>
      </c>
      <c r="AW318" s="189" t="s">
        <v>2844</v>
      </c>
      <c r="AX318" s="189" t="s">
        <v>301</v>
      </c>
      <c r="AY318" s="276"/>
      <c r="AZ318" s="276" t="s">
        <v>2833</v>
      </c>
      <c r="BA318" s="276" t="s">
        <v>2834</v>
      </c>
      <c r="BB318" s="83" t="s">
        <v>2812</v>
      </c>
      <c r="BC318" s="83" t="s">
        <v>1983</v>
      </c>
      <c r="BD318" s="83" t="s">
        <v>2514</v>
      </c>
      <c r="BE318" s="83" t="s">
        <v>9</v>
      </c>
      <c r="BF318" s="83" t="s">
        <v>17</v>
      </c>
      <c r="BG318" s="83" t="s">
        <v>2845</v>
      </c>
      <c r="BH318" s="189"/>
      <c r="BI318" s="83" t="s">
        <v>2696</v>
      </c>
      <c r="BJ318" s="83" t="s">
        <v>2836</v>
      </c>
      <c r="BK318" s="83" t="s">
        <v>2837</v>
      </c>
      <c r="BL318" s="276" t="s">
        <v>2846</v>
      </c>
      <c r="BM318" s="105">
        <v>2012</v>
      </c>
      <c r="BN318" s="129">
        <v>384.5</v>
      </c>
      <c r="BO318" s="129">
        <v>276.39999999999998</v>
      </c>
      <c r="BP318" s="129">
        <v>223.9</v>
      </c>
      <c r="BQ318" s="129">
        <f t="shared" si="156"/>
        <v>-108.10000000000002</v>
      </c>
      <c r="BR318" s="275">
        <v>8</v>
      </c>
      <c r="BS318" s="129">
        <f>+BN318-(((BQ318)/8)*(-4))</f>
        <v>330.45</v>
      </c>
      <c r="BT318" s="129"/>
      <c r="BU318" s="129">
        <f t="shared" si="157"/>
        <v>-384.5</v>
      </c>
      <c r="BV318" s="188">
        <f t="shared" si="158"/>
        <v>3.5568917668825155</v>
      </c>
      <c r="BW318" s="129">
        <f>+BN318-(((BQ318)/8)*(-5))</f>
        <v>316.9375</v>
      </c>
      <c r="BX318" s="129"/>
      <c r="BY318" s="129">
        <f t="shared" si="159"/>
        <v>-384.5</v>
      </c>
      <c r="BZ318" s="89">
        <f t="shared" si="160"/>
        <v>3.5568917668825155</v>
      </c>
      <c r="CA318" s="129"/>
      <c r="CB318" s="129"/>
      <c r="CC318" s="129">
        <f t="shared" si="161"/>
        <v>-384.5</v>
      </c>
      <c r="CD318" s="188">
        <f t="shared" si="162"/>
        <v>3.5568917668825155</v>
      </c>
      <c r="CE318" s="129"/>
      <c r="CF318" s="129"/>
      <c r="CG318" s="129">
        <f t="shared" si="163"/>
        <v>-384.5</v>
      </c>
      <c r="CH318" s="188">
        <f t="shared" si="164"/>
        <v>3.5568917668825155</v>
      </c>
      <c r="CI318" s="129"/>
      <c r="CJ318" s="129"/>
      <c r="CK318" s="129">
        <f t="shared" si="165"/>
        <v>-384.5</v>
      </c>
      <c r="CL318" s="89">
        <f t="shared" si="166"/>
        <v>3.5568917668825155</v>
      </c>
      <c r="CM318" s="78"/>
      <c r="CN318" s="78"/>
      <c r="CO318" s="78"/>
      <c r="CP318" s="78"/>
      <c r="CQ318" s="284"/>
      <c r="CS318" s="2">
        <v>318</v>
      </c>
    </row>
    <row r="319" spans="1:97" ht="185.25" x14ac:dyDescent="0.25">
      <c r="A319" s="276">
        <v>11</v>
      </c>
      <c r="B319" s="269" t="s">
        <v>4575</v>
      </c>
      <c r="C319" s="269">
        <v>11</v>
      </c>
      <c r="D319" s="189" t="s">
        <v>721</v>
      </c>
      <c r="E319" s="276" t="s">
        <v>752</v>
      </c>
      <c r="F319" s="189" t="s">
        <v>750</v>
      </c>
      <c r="G319" s="172">
        <v>4</v>
      </c>
      <c r="H319" s="276"/>
      <c r="I319" s="276"/>
      <c r="J319" s="276"/>
      <c r="K319" s="276" t="s">
        <v>1119</v>
      </c>
      <c r="L319" s="189" t="s">
        <v>755</v>
      </c>
      <c r="M319" s="275"/>
      <c r="N319" s="78"/>
      <c r="O319" s="189" t="s">
        <v>137</v>
      </c>
      <c r="P319" s="276"/>
      <c r="Q319" s="276"/>
      <c r="R319" s="276"/>
      <c r="S319" s="276"/>
      <c r="T319" s="276"/>
      <c r="U319" s="276"/>
      <c r="V319" s="276"/>
      <c r="W319" s="276"/>
      <c r="X319" s="173"/>
      <c r="Y319" s="276">
        <v>0</v>
      </c>
      <c r="Z319" s="276">
        <v>1</v>
      </c>
      <c r="AA319" s="276" t="s">
        <v>1220</v>
      </c>
      <c r="AB319" s="78"/>
      <c r="AC319" s="275">
        <v>16</v>
      </c>
      <c r="AD319" s="189" t="s">
        <v>1319</v>
      </c>
      <c r="AE319" s="189" t="s">
        <v>2847</v>
      </c>
      <c r="AF319" s="79"/>
      <c r="AG319" s="276" t="s">
        <v>1236</v>
      </c>
      <c r="AH319" s="135"/>
      <c r="AI319" s="275">
        <v>2</v>
      </c>
      <c r="AJ319" s="276">
        <v>11033113</v>
      </c>
      <c r="AK319" s="189" t="s">
        <v>2848</v>
      </c>
      <c r="AL319" s="189" t="s">
        <v>2684</v>
      </c>
      <c r="AM319" s="189" t="s">
        <v>2840</v>
      </c>
      <c r="AN319" s="189"/>
      <c r="AO319" s="83" t="s">
        <v>1257</v>
      </c>
      <c r="AP319" s="83" t="s">
        <v>10</v>
      </c>
      <c r="AQ319" s="189" t="s">
        <v>2849</v>
      </c>
      <c r="AR319" s="189" t="s">
        <v>2850</v>
      </c>
      <c r="AS319" s="189" t="s">
        <v>2851</v>
      </c>
      <c r="AT319" s="189" t="s">
        <v>2830</v>
      </c>
      <c r="AU319" s="189" t="s">
        <v>2442</v>
      </c>
      <c r="AV319" s="189" t="s">
        <v>2831</v>
      </c>
      <c r="AW319" s="189" t="s">
        <v>2484</v>
      </c>
      <c r="AX319" s="189" t="s">
        <v>2852</v>
      </c>
      <c r="AY319" s="276"/>
      <c r="AZ319" s="276" t="s">
        <v>2833</v>
      </c>
      <c r="BA319" s="276" t="s">
        <v>2834</v>
      </c>
      <c r="BB319" s="83" t="s">
        <v>2812</v>
      </c>
      <c r="BC319" s="83" t="s">
        <v>1983</v>
      </c>
      <c r="BD319" s="83">
        <v>2015</v>
      </c>
      <c r="BE319" s="83" t="s">
        <v>9</v>
      </c>
      <c r="BF319" s="83" t="s">
        <v>17</v>
      </c>
      <c r="BG319" s="83" t="s">
        <v>2853</v>
      </c>
      <c r="BH319" s="189"/>
      <c r="BI319" s="83" t="s">
        <v>2696</v>
      </c>
      <c r="BJ319" s="83" t="s">
        <v>2836</v>
      </c>
      <c r="BK319" s="83" t="s">
        <v>2854</v>
      </c>
      <c r="BL319" s="276" t="s">
        <v>2855</v>
      </c>
      <c r="BM319" s="105">
        <v>2015</v>
      </c>
      <c r="BN319" s="83">
        <v>306.3</v>
      </c>
      <c r="BO319" s="83">
        <v>356</v>
      </c>
      <c r="BP319" s="83">
        <v>250</v>
      </c>
      <c r="BQ319" s="129">
        <f t="shared" si="156"/>
        <v>49.699999999999989</v>
      </c>
      <c r="BR319" s="275">
        <v>5</v>
      </c>
      <c r="BS319" s="129">
        <f>+BN319-(((BQ319)/5)*(-4))</f>
        <v>346.06</v>
      </c>
      <c r="BT319" s="129"/>
      <c r="BU319" s="129">
        <f t="shared" si="157"/>
        <v>-306.3</v>
      </c>
      <c r="BV319" s="188">
        <f t="shared" si="158"/>
        <v>-6.1629778672032209</v>
      </c>
      <c r="BW319" s="129">
        <f>+BN319-(((BQ319)/5)*(-5))</f>
        <v>356</v>
      </c>
      <c r="BX319" s="129"/>
      <c r="BY319" s="129">
        <f t="shared" si="159"/>
        <v>-306.3</v>
      </c>
      <c r="BZ319" s="89">
        <f t="shared" si="160"/>
        <v>-6.1629778672032209</v>
      </c>
      <c r="CA319" s="129"/>
      <c r="CB319" s="129"/>
      <c r="CC319" s="129">
        <f t="shared" si="161"/>
        <v>-306.3</v>
      </c>
      <c r="CD319" s="188">
        <f t="shared" si="162"/>
        <v>-6.1629778672032209</v>
      </c>
      <c r="CE319" s="129"/>
      <c r="CF319" s="129"/>
      <c r="CG319" s="129">
        <f t="shared" si="163"/>
        <v>-306.3</v>
      </c>
      <c r="CH319" s="188">
        <f t="shared" si="164"/>
        <v>-6.1629778672032209</v>
      </c>
      <c r="CI319" s="129"/>
      <c r="CJ319" s="129"/>
      <c r="CK319" s="129">
        <f t="shared" si="165"/>
        <v>-306.3</v>
      </c>
      <c r="CL319" s="89">
        <f t="shared" si="166"/>
        <v>-6.1629778672032209</v>
      </c>
      <c r="CM319" s="78"/>
      <c r="CN319" s="78"/>
      <c r="CO319" s="78"/>
      <c r="CP319" s="78"/>
      <c r="CQ319" s="284"/>
      <c r="CS319" s="24">
        <v>319</v>
      </c>
    </row>
    <row r="320" spans="1:97" ht="299.25" customHeight="1" x14ac:dyDescent="0.25">
      <c r="A320" s="276">
        <v>11</v>
      </c>
      <c r="B320" s="269" t="s">
        <v>4575</v>
      </c>
      <c r="C320" s="269">
        <v>11</v>
      </c>
      <c r="D320" s="189" t="s">
        <v>721</v>
      </c>
      <c r="E320" s="276" t="s">
        <v>752</v>
      </c>
      <c r="F320" s="189" t="s">
        <v>750</v>
      </c>
      <c r="G320" s="172">
        <v>5</v>
      </c>
      <c r="H320" s="276"/>
      <c r="I320" s="276"/>
      <c r="J320" s="276"/>
      <c r="K320" s="276" t="s">
        <v>1120</v>
      </c>
      <c r="L320" s="189" t="s">
        <v>756</v>
      </c>
      <c r="M320" s="275"/>
      <c r="N320" s="78"/>
      <c r="O320" s="189" t="s">
        <v>78</v>
      </c>
      <c r="P320" s="276"/>
      <c r="Q320" s="276"/>
      <c r="R320" s="276"/>
      <c r="S320" s="276"/>
      <c r="T320" s="276"/>
      <c r="U320" s="276"/>
      <c r="V320" s="276"/>
      <c r="W320" s="276"/>
      <c r="X320" s="173"/>
      <c r="Y320" s="276">
        <v>0</v>
      </c>
      <c r="Z320" s="276">
        <v>1</v>
      </c>
      <c r="AA320" s="276" t="s">
        <v>1220</v>
      </c>
      <c r="AB320" s="78"/>
      <c r="AC320" s="275">
        <v>16</v>
      </c>
      <c r="AD320" s="189" t="s">
        <v>1319</v>
      </c>
      <c r="AE320" s="189"/>
      <c r="AF320" s="79"/>
      <c r="AG320" s="276" t="s">
        <v>1364</v>
      </c>
      <c r="AH320" s="135"/>
      <c r="AI320" s="275">
        <v>1</v>
      </c>
      <c r="AJ320" s="276">
        <v>11033121</v>
      </c>
      <c r="AK320" s="189" t="s">
        <v>2856</v>
      </c>
      <c r="AL320" s="189" t="s">
        <v>2684</v>
      </c>
      <c r="AM320" s="189" t="s">
        <v>78</v>
      </c>
      <c r="AN320" s="189"/>
      <c r="AO320" s="83" t="s">
        <v>2857</v>
      </c>
      <c r="AP320" s="83" t="s">
        <v>2858</v>
      </c>
      <c r="AQ320" s="189" t="s">
        <v>2859</v>
      </c>
      <c r="AR320" s="189" t="s">
        <v>2860</v>
      </c>
      <c r="AS320" s="189" t="s">
        <v>2861</v>
      </c>
      <c r="AT320" s="189" t="s">
        <v>2862</v>
      </c>
      <c r="AU320" s="189"/>
      <c r="AV320" s="189"/>
      <c r="AW320" s="189" t="s">
        <v>11</v>
      </c>
      <c r="AX320" s="189"/>
      <c r="AY320" s="276"/>
      <c r="AZ320" s="276" t="s">
        <v>2863</v>
      </c>
      <c r="BA320" s="276" t="s">
        <v>2864</v>
      </c>
      <c r="BB320" s="83" t="s">
        <v>1392</v>
      </c>
      <c r="BC320" s="83" t="s">
        <v>1983</v>
      </c>
      <c r="BD320" s="83" t="s">
        <v>2865</v>
      </c>
      <c r="BE320" s="83" t="s">
        <v>1665</v>
      </c>
      <c r="BF320" s="83" t="s">
        <v>1665</v>
      </c>
      <c r="BG320" s="83" t="s">
        <v>2866</v>
      </c>
      <c r="BH320" s="189"/>
      <c r="BI320" s="83" t="s">
        <v>2696</v>
      </c>
      <c r="BJ320" s="83" t="s">
        <v>2867</v>
      </c>
      <c r="BK320" s="83" t="s">
        <v>2868</v>
      </c>
      <c r="BL320" s="276" t="s">
        <v>2800</v>
      </c>
      <c r="BM320" s="105">
        <v>2015</v>
      </c>
      <c r="BN320" s="83">
        <v>87</v>
      </c>
      <c r="BO320" s="83">
        <v>700</v>
      </c>
      <c r="BP320" s="83" t="s">
        <v>2869</v>
      </c>
      <c r="BQ320" s="83">
        <f t="shared" si="156"/>
        <v>613</v>
      </c>
      <c r="BR320" s="275">
        <v>5</v>
      </c>
      <c r="BS320" s="130">
        <f>+BN320-(((BQ320)/5)*(-4))</f>
        <v>577.4</v>
      </c>
      <c r="BT320" s="130"/>
      <c r="BU320" s="130">
        <f t="shared" si="157"/>
        <v>-87</v>
      </c>
      <c r="BV320" s="188">
        <f t="shared" si="158"/>
        <v>-0.14192495921696574</v>
      </c>
      <c r="BW320" s="130">
        <f>+BN320-(((BQ320)/5)*(-5))</f>
        <v>700</v>
      </c>
      <c r="BX320" s="130"/>
      <c r="BY320" s="130">
        <f t="shared" si="159"/>
        <v>-87</v>
      </c>
      <c r="BZ320" s="89">
        <f t="shared" si="160"/>
        <v>-0.14192495921696574</v>
      </c>
      <c r="CA320" s="130"/>
      <c r="CB320" s="130"/>
      <c r="CC320" s="130">
        <f t="shared" si="161"/>
        <v>-87</v>
      </c>
      <c r="CD320" s="188">
        <f t="shared" si="162"/>
        <v>-0.14192495921696574</v>
      </c>
      <c r="CE320" s="130"/>
      <c r="CF320" s="130"/>
      <c r="CG320" s="130">
        <f t="shared" si="163"/>
        <v>-87</v>
      </c>
      <c r="CH320" s="188">
        <f t="shared" si="164"/>
        <v>-0.14192495921696574</v>
      </c>
      <c r="CI320" s="130"/>
      <c r="CJ320" s="130"/>
      <c r="CK320" s="130">
        <f t="shared" si="165"/>
        <v>-87</v>
      </c>
      <c r="CL320" s="89">
        <f t="shared" si="166"/>
        <v>-0.14192495921696574</v>
      </c>
      <c r="CM320" s="78"/>
      <c r="CN320" s="78"/>
      <c r="CO320" s="78"/>
      <c r="CP320" s="78"/>
      <c r="CQ320" s="284"/>
      <c r="CS320" s="24">
        <v>320</v>
      </c>
    </row>
    <row r="321" spans="1:97" ht="256.5" x14ac:dyDescent="0.25">
      <c r="A321" s="276">
        <v>11</v>
      </c>
      <c r="B321" s="269" t="s">
        <v>4575</v>
      </c>
      <c r="C321" s="269">
        <v>11</v>
      </c>
      <c r="D321" s="189" t="s">
        <v>721</v>
      </c>
      <c r="E321" s="276" t="s">
        <v>752</v>
      </c>
      <c r="F321" s="189" t="s">
        <v>750</v>
      </c>
      <c r="G321" s="172">
        <v>6</v>
      </c>
      <c r="H321" s="276"/>
      <c r="I321" s="276"/>
      <c r="J321" s="276"/>
      <c r="K321" s="276" t="s">
        <v>1121</v>
      </c>
      <c r="L321" s="189" t="s">
        <v>757</v>
      </c>
      <c r="M321" s="275"/>
      <c r="N321" s="78"/>
      <c r="O321" s="189" t="s">
        <v>62</v>
      </c>
      <c r="P321" s="276"/>
      <c r="Q321" s="276"/>
      <c r="R321" s="276"/>
      <c r="S321" s="276"/>
      <c r="T321" s="276"/>
      <c r="U321" s="276"/>
      <c r="V321" s="276"/>
      <c r="W321" s="276"/>
      <c r="X321" s="173"/>
      <c r="Y321" s="276">
        <v>1</v>
      </c>
      <c r="Z321" s="276">
        <v>0</v>
      </c>
      <c r="AA321" s="276" t="s">
        <v>1220</v>
      </c>
      <c r="AB321" s="78"/>
      <c r="AC321" s="275">
        <v>16</v>
      </c>
      <c r="AD321" s="189" t="s">
        <v>1319</v>
      </c>
      <c r="AE321" s="189" t="s">
        <v>2870</v>
      </c>
      <c r="AF321" s="79"/>
      <c r="AG321" s="276" t="s">
        <v>1236</v>
      </c>
      <c r="AH321" s="117" t="s">
        <v>1236</v>
      </c>
      <c r="AI321" s="275">
        <v>1</v>
      </c>
      <c r="AJ321" s="276">
        <v>11033131</v>
      </c>
      <c r="AK321" s="189" t="s">
        <v>2871</v>
      </c>
      <c r="AL321" s="189" t="s">
        <v>2684</v>
      </c>
      <c r="AM321" s="189" t="s">
        <v>1259</v>
      </c>
      <c r="AN321" s="189"/>
      <c r="AO321" s="83" t="s">
        <v>2766</v>
      </c>
      <c r="AP321" s="83" t="s">
        <v>10</v>
      </c>
      <c r="AQ321" s="189" t="s">
        <v>2872</v>
      </c>
      <c r="AR321" s="189" t="s">
        <v>2873</v>
      </c>
      <c r="AS321" s="189" t="s">
        <v>2874</v>
      </c>
      <c r="AT321" s="189" t="s">
        <v>2875</v>
      </c>
      <c r="AU321" s="189" t="s">
        <v>2876</v>
      </c>
      <c r="AV321" s="189" t="s">
        <v>2877</v>
      </c>
      <c r="AW321" s="189" t="s">
        <v>2878</v>
      </c>
      <c r="AX321" s="189" t="s">
        <v>2771</v>
      </c>
      <c r="AY321" s="276"/>
      <c r="AZ321" s="276" t="s">
        <v>2879</v>
      </c>
      <c r="BA321" s="276" t="s">
        <v>2880</v>
      </c>
      <c r="BB321" s="83" t="s">
        <v>2774</v>
      </c>
      <c r="BC321" s="83" t="s">
        <v>2881</v>
      </c>
      <c r="BD321" s="83" t="s">
        <v>2882</v>
      </c>
      <c r="BE321" s="83" t="s">
        <v>2883</v>
      </c>
      <c r="BF321" s="83" t="s">
        <v>2884</v>
      </c>
      <c r="BG321" s="83" t="s">
        <v>2885</v>
      </c>
      <c r="BH321" s="189"/>
      <c r="BI321" s="83" t="s">
        <v>2696</v>
      </c>
      <c r="BJ321" s="83" t="s">
        <v>2886</v>
      </c>
      <c r="BK321" s="83" t="s">
        <v>2886</v>
      </c>
      <c r="BL321" s="276" t="s">
        <v>2855</v>
      </c>
      <c r="BM321" s="105">
        <v>2013</v>
      </c>
      <c r="BN321" s="131">
        <v>0.52500000000000002</v>
      </c>
      <c r="BO321" s="112">
        <v>0.47249999999999998</v>
      </c>
      <c r="BP321" s="112">
        <v>0.42520000000000002</v>
      </c>
      <c r="BQ321" s="112">
        <f t="shared" si="156"/>
        <v>-5.2500000000000047E-2</v>
      </c>
      <c r="BR321" s="275">
        <v>7</v>
      </c>
      <c r="BS321" s="112">
        <f>+BN321-(((BQ321)/7)*(-3))</f>
        <v>0.50249999999999995</v>
      </c>
      <c r="BT321" s="112"/>
      <c r="BU321" s="112">
        <f t="shared" si="157"/>
        <v>-0.52500000000000002</v>
      </c>
      <c r="BV321" s="188">
        <f t="shared" si="158"/>
        <v>9.9999999999999911</v>
      </c>
      <c r="BW321" s="112">
        <f>+BN321-(((BQ321)/7)*(-4))</f>
        <v>0.495</v>
      </c>
      <c r="BX321" s="112"/>
      <c r="BY321" s="112">
        <f t="shared" si="159"/>
        <v>-0.52500000000000002</v>
      </c>
      <c r="BZ321" s="89">
        <f t="shared" si="160"/>
        <v>9.9999999999999911</v>
      </c>
      <c r="CA321" s="112"/>
      <c r="CB321" s="112"/>
      <c r="CC321" s="112">
        <f t="shared" si="161"/>
        <v>-0.52500000000000002</v>
      </c>
      <c r="CD321" s="188">
        <f t="shared" si="162"/>
        <v>9.9999999999999911</v>
      </c>
      <c r="CE321" s="112"/>
      <c r="CF321" s="112"/>
      <c r="CG321" s="112">
        <f t="shared" si="163"/>
        <v>-0.52500000000000002</v>
      </c>
      <c r="CH321" s="188">
        <f t="shared" si="164"/>
        <v>9.9999999999999911</v>
      </c>
      <c r="CI321" s="112"/>
      <c r="CJ321" s="112"/>
      <c r="CK321" s="112">
        <f t="shared" si="165"/>
        <v>-0.52500000000000002</v>
      </c>
      <c r="CL321" s="89">
        <f t="shared" si="166"/>
        <v>9.9999999999999911</v>
      </c>
      <c r="CM321" s="78"/>
      <c r="CN321" s="78"/>
      <c r="CO321" s="78"/>
      <c r="CP321" s="78"/>
      <c r="CQ321" s="284"/>
      <c r="CS321" s="2">
        <v>321</v>
      </c>
    </row>
    <row r="322" spans="1:97" ht="256.5" x14ac:dyDescent="0.25">
      <c r="A322" s="276">
        <v>11</v>
      </c>
      <c r="B322" s="269" t="s">
        <v>4575</v>
      </c>
      <c r="C322" s="269">
        <v>11</v>
      </c>
      <c r="D322" s="189" t="s">
        <v>721</v>
      </c>
      <c r="E322" s="276" t="s">
        <v>752</v>
      </c>
      <c r="F322" s="189" t="s">
        <v>750</v>
      </c>
      <c r="G322" s="172">
        <v>6</v>
      </c>
      <c r="H322" s="276"/>
      <c r="I322" s="276"/>
      <c r="J322" s="276"/>
      <c r="K322" s="276" t="s">
        <v>1121</v>
      </c>
      <c r="L322" s="189" t="s">
        <v>757</v>
      </c>
      <c r="M322" s="275"/>
      <c r="N322" s="78"/>
      <c r="O322" s="189" t="s">
        <v>62</v>
      </c>
      <c r="P322" s="276"/>
      <c r="Q322" s="276"/>
      <c r="R322" s="276"/>
      <c r="S322" s="276"/>
      <c r="T322" s="276"/>
      <c r="U322" s="276"/>
      <c r="V322" s="276"/>
      <c r="W322" s="276"/>
      <c r="X322" s="173"/>
      <c r="Y322" s="276">
        <v>1</v>
      </c>
      <c r="Z322" s="276">
        <v>0</v>
      </c>
      <c r="AA322" s="276" t="s">
        <v>1220</v>
      </c>
      <c r="AB322" s="78"/>
      <c r="AC322" s="275">
        <v>16</v>
      </c>
      <c r="AD322" s="189" t="s">
        <v>1319</v>
      </c>
      <c r="AE322" s="189" t="s">
        <v>2887</v>
      </c>
      <c r="AF322" s="79"/>
      <c r="AG322" s="276" t="s">
        <v>1235</v>
      </c>
      <c r="AH322" s="135"/>
      <c r="AI322" s="275">
        <v>2</v>
      </c>
      <c r="AJ322" s="276">
        <v>11033132</v>
      </c>
      <c r="AK322" s="189" t="s">
        <v>2826</v>
      </c>
      <c r="AL322" s="189" t="s">
        <v>2684</v>
      </c>
      <c r="AM322" s="189" t="s">
        <v>1259</v>
      </c>
      <c r="AN322" s="189"/>
      <c r="AO322" s="83" t="s">
        <v>1257</v>
      </c>
      <c r="AP322" s="83" t="s">
        <v>2298</v>
      </c>
      <c r="AQ322" s="189" t="s">
        <v>2888</v>
      </c>
      <c r="AR322" s="189" t="s">
        <v>2828</v>
      </c>
      <c r="AS322" s="189" t="s">
        <v>2829</v>
      </c>
      <c r="AT322" s="189" t="s">
        <v>2830</v>
      </c>
      <c r="AU322" s="189" t="s">
        <v>2442</v>
      </c>
      <c r="AV322" s="189" t="s">
        <v>2831</v>
      </c>
      <c r="AW322" s="189" t="s">
        <v>2832</v>
      </c>
      <c r="AX322" s="189"/>
      <c r="AY322" s="276"/>
      <c r="AZ322" s="276" t="s">
        <v>2833</v>
      </c>
      <c r="BA322" s="276" t="s">
        <v>2834</v>
      </c>
      <c r="BB322" s="83" t="s">
        <v>2812</v>
      </c>
      <c r="BC322" s="83" t="s">
        <v>1983</v>
      </c>
      <c r="BD322" s="83" t="s">
        <v>2514</v>
      </c>
      <c r="BE322" s="83" t="s">
        <v>2694</v>
      </c>
      <c r="BF322" s="83" t="s">
        <v>17</v>
      </c>
      <c r="BG322" s="83" t="s">
        <v>2835</v>
      </c>
      <c r="BH322" s="189"/>
      <c r="BI322" s="83" t="s">
        <v>2696</v>
      </c>
      <c r="BJ322" s="83" t="s">
        <v>2836</v>
      </c>
      <c r="BK322" s="83" t="s">
        <v>2837</v>
      </c>
      <c r="BL322" s="276" t="s">
        <v>2838</v>
      </c>
      <c r="BM322" s="105">
        <v>2015</v>
      </c>
      <c r="BN322" s="132">
        <v>6.4</v>
      </c>
      <c r="BO322" s="83">
        <v>6.08</v>
      </c>
      <c r="BP322" s="83">
        <v>5.78</v>
      </c>
      <c r="BQ322" s="98">
        <f t="shared" si="156"/>
        <v>-0.32000000000000028</v>
      </c>
      <c r="BR322" s="275">
        <v>5</v>
      </c>
      <c r="BS322" s="98">
        <f>+BN322-(((BQ322)/5)*(-1))</f>
        <v>6.3360000000000003</v>
      </c>
      <c r="BT322" s="98"/>
      <c r="BU322" s="98">
        <f t="shared" si="157"/>
        <v>-6.4</v>
      </c>
      <c r="BV322" s="188">
        <f t="shared" si="158"/>
        <v>19.999999999999982</v>
      </c>
      <c r="BW322" s="98">
        <f>+BN322-(((BQ322)/5)*(-2))</f>
        <v>6.2720000000000002</v>
      </c>
      <c r="BX322" s="98"/>
      <c r="BY322" s="98">
        <f t="shared" si="159"/>
        <v>-6.4</v>
      </c>
      <c r="BZ322" s="89">
        <f t="shared" si="160"/>
        <v>19.999999999999982</v>
      </c>
      <c r="CA322" s="98"/>
      <c r="CB322" s="98"/>
      <c r="CC322" s="98">
        <f t="shared" si="161"/>
        <v>-6.4</v>
      </c>
      <c r="CD322" s="188">
        <f t="shared" si="162"/>
        <v>19.999999999999982</v>
      </c>
      <c r="CE322" s="98"/>
      <c r="CF322" s="98"/>
      <c r="CG322" s="98">
        <f t="shared" si="163"/>
        <v>-6.4</v>
      </c>
      <c r="CH322" s="188">
        <f t="shared" si="164"/>
        <v>19.999999999999982</v>
      </c>
      <c r="CI322" s="98"/>
      <c r="CJ322" s="98"/>
      <c r="CK322" s="98">
        <f t="shared" si="165"/>
        <v>-6.4</v>
      </c>
      <c r="CL322" s="89">
        <f t="shared" si="166"/>
        <v>19.999999999999982</v>
      </c>
      <c r="CM322" s="78"/>
      <c r="CN322" s="78"/>
      <c r="CO322" s="78"/>
      <c r="CP322" s="78"/>
      <c r="CQ322" s="284"/>
      <c r="CS322" s="24">
        <v>322</v>
      </c>
    </row>
    <row r="323" spans="1:97" ht="285" x14ac:dyDescent="0.25">
      <c r="A323" s="276">
        <v>11</v>
      </c>
      <c r="B323" s="269" t="s">
        <v>4577</v>
      </c>
      <c r="C323" s="269">
        <v>11</v>
      </c>
      <c r="D323" s="189" t="s">
        <v>721</v>
      </c>
      <c r="E323" s="276" t="s">
        <v>752</v>
      </c>
      <c r="F323" s="189" t="s">
        <v>750</v>
      </c>
      <c r="G323" s="172">
        <v>6</v>
      </c>
      <c r="H323" s="276"/>
      <c r="I323" s="276"/>
      <c r="J323" s="276"/>
      <c r="K323" s="276" t="s">
        <v>1121</v>
      </c>
      <c r="L323" s="189" t="s">
        <v>757</v>
      </c>
      <c r="M323" s="275"/>
      <c r="N323" s="78"/>
      <c r="O323" s="189" t="s">
        <v>62</v>
      </c>
      <c r="P323" s="276"/>
      <c r="Q323" s="276"/>
      <c r="R323" s="276"/>
      <c r="S323" s="276"/>
      <c r="T323" s="276"/>
      <c r="U323" s="276"/>
      <c r="V323" s="276"/>
      <c r="W323" s="276"/>
      <c r="X323" s="173"/>
      <c r="Y323" s="276">
        <v>1</v>
      </c>
      <c r="Z323" s="276">
        <v>0</v>
      </c>
      <c r="AA323" s="276" t="s">
        <v>1220</v>
      </c>
      <c r="AB323" s="78"/>
      <c r="AC323" s="275">
        <v>16</v>
      </c>
      <c r="AD323" s="189" t="s">
        <v>1319</v>
      </c>
      <c r="AE323" s="189" t="s">
        <v>2889</v>
      </c>
      <c r="AF323" s="79"/>
      <c r="AG323" s="276" t="s">
        <v>1236</v>
      </c>
      <c r="AH323" s="77"/>
      <c r="AI323" s="275">
        <v>3</v>
      </c>
      <c r="AJ323" s="276">
        <v>11033133</v>
      </c>
      <c r="AK323" s="189" t="s">
        <v>2890</v>
      </c>
      <c r="AL323" s="189" t="s">
        <v>2100</v>
      </c>
      <c r="AM323" s="189" t="s">
        <v>1259</v>
      </c>
      <c r="AN323" s="189"/>
      <c r="AO323" s="83" t="s">
        <v>2891</v>
      </c>
      <c r="AP323" s="83" t="s">
        <v>10</v>
      </c>
      <c r="AQ323" s="189" t="s">
        <v>2892</v>
      </c>
      <c r="AR323" s="189" t="s">
        <v>2893</v>
      </c>
      <c r="AS323" s="189" t="s">
        <v>2894</v>
      </c>
      <c r="AT323" s="189" t="s">
        <v>2895</v>
      </c>
      <c r="AU323" s="189" t="s">
        <v>2896</v>
      </c>
      <c r="AV323" s="189" t="s">
        <v>2895</v>
      </c>
      <c r="AW323" s="189" t="s">
        <v>2673</v>
      </c>
      <c r="AX323" s="189" t="s">
        <v>2897</v>
      </c>
      <c r="AY323" s="276"/>
      <c r="AZ323" s="276" t="s">
        <v>2898</v>
      </c>
      <c r="BA323" s="276" t="s">
        <v>2895</v>
      </c>
      <c r="BB323" s="83" t="s">
        <v>1514</v>
      </c>
      <c r="BC323" s="83" t="s">
        <v>11</v>
      </c>
      <c r="BD323" s="83" t="s">
        <v>2673</v>
      </c>
      <c r="BE323" s="83" t="s">
        <v>9</v>
      </c>
      <c r="BF323" s="83" t="s">
        <v>2899</v>
      </c>
      <c r="BG323" s="83" t="s">
        <v>2900</v>
      </c>
      <c r="BH323" s="189" t="s">
        <v>1375</v>
      </c>
      <c r="BI323" s="83" t="s">
        <v>2901</v>
      </c>
      <c r="BJ323" s="83" t="s">
        <v>2902</v>
      </c>
      <c r="BK323" s="83" t="s">
        <v>2903</v>
      </c>
      <c r="BL323" s="276" t="s">
        <v>2904</v>
      </c>
      <c r="BM323" s="105">
        <v>2016</v>
      </c>
      <c r="BN323" s="131">
        <v>0.90500000000000003</v>
      </c>
      <c r="BO323" s="83" t="s">
        <v>2869</v>
      </c>
      <c r="BP323" s="83" t="s">
        <v>2869</v>
      </c>
      <c r="BQ323" s="78"/>
      <c r="BR323" s="275"/>
      <c r="BS323" s="78"/>
      <c r="BT323" s="78"/>
      <c r="BU323" s="78"/>
      <c r="BV323" s="78"/>
      <c r="BW323" s="78"/>
      <c r="BX323" s="78"/>
      <c r="BY323" s="78"/>
      <c r="BZ323" s="78"/>
      <c r="CA323" s="78"/>
      <c r="CB323" s="78"/>
      <c r="CC323" s="78"/>
      <c r="CD323" s="78"/>
      <c r="CE323" s="78"/>
      <c r="CF323" s="78"/>
      <c r="CG323" s="78"/>
      <c r="CH323" s="78"/>
      <c r="CI323" s="78"/>
      <c r="CJ323" s="78"/>
      <c r="CK323" s="78"/>
      <c r="CL323" s="78"/>
      <c r="CM323" s="78"/>
      <c r="CN323" s="78"/>
      <c r="CO323" s="78"/>
      <c r="CP323" s="78"/>
      <c r="CQ323" s="284"/>
      <c r="CS323" s="24">
        <v>323</v>
      </c>
    </row>
    <row r="324" spans="1:97" ht="342" x14ac:dyDescent="0.25">
      <c r="A324" s="276">
        <v>11</v>
      </c>
      <c r="B324" s="269" t="s">
        <v>4577</v>
      </c>
      <c r="C324" s="269">
        <v>11</v>
      </c>
      <c r="D324" s="189" t="s">
        <v>721</v>
      </c>
      <c r="E324" s="276" t="s">
        <v>752</v>
      </c>
      <c r="F324" s="189" t="s">
        <v>750</v>
      </c>
      <c r="G324" s="172">
        <v>6</v>
      </c>
      <c r="H324" s="276"/>
      <c r="I324" s="276"/>
      <c r="J324" s="276"/>
      <c r="K324" s="276" t="s">
        <v>1121</v>
      </c>
      <c r="L324" s="189" t="s">
        <v>757</v>
      </c>
      <c r="M324" s="275"/>
      <c r="N324" s="78"/>
      <c r="O324" s="189" t="s">
        <v>62</v>
      </c>
      <c r="P324" s="276"/>
      <c r="Q324" s="276"/>
      <c r="R324" s="276"/>
      <c r="S324" s="276"/>
      <c r="T324" s="276"/>
      <c r="U324" s="276"/>
      <c r="V324" s="276"/>
      <c r="W324" s="276"/>
      <c r="X324" s="173"/>
      <c r="Y324" s="276">
        <v>1</v>
      </c>
      <c r="Z324" s="276">
        <v>0</v>
      </c>
      <c r="AA324" s="276" t="s">
        <v>1220</v>
      </c>
      <c r="AB324" s="78"/>
      <c r="AC324" s="275">
        <v>16</v>
      </c>
      <c r="AD324" s="189" t="s">
        <v>1319</v>
      </c>
      <c r="AE324" s="189" t="s">
        <v>2905</v>
      </c>
      <c r="AF324" s="79"/>
      <c r="AG324" s="276" t="s">
        <v>1235</v>
      </c>
      <c r="AH324" s="78"/>
      <c r="AI324" s="275">
        <v>4</v>
      </c>
      <c r="AJ324" s="276">
        <v>11033134</v>
      </c>
      <c r="AK324" s="189" t="s">
        <v>2906</v>
      </c>
      <c r="AL324" s="189" t="s">
        <v>2100</v>
      </c>
      <c r="AM324" s="189" t="s">
        <v>1259</v>
      </c>
      <c r="AN324" s="189"/>
      <c r="AO324" s="83" t="s">
        <v>2891</v>
      </c>
      <c r="AP324" s="83" t="s">
        <v>10</v>
      </c>
      <c r="AQ324" s="189" t="s">
        <v>2907</v>
      </c>
      <c r="AR324" s="189" t="s">
        <v>2906</v>
      </c>
      <c r="AS324" s="189" t="s">
        <v>2908</v>
      </c>
      <c r="AT324" s="189" t="s">
        <v>2895</v>
      </c>
      <c r="AU324" s="189" t="s">
        <v>2896</v>
      </c>
      <c r="AV324" s="189" t="s">
        <v>2895</v>
      </c>
      <c r="AW324" s="189" t="s">
        <v>2673</v>
      </c>
      <c r="AX324" s="189" t="s">
        <v>2909</v>
      </c>
      <c r="AY324" s="276"/>
      <c r="AZ324" s="276" t="s">
        <v>2898</v>
      </c>
      <c r="BA324" s="276" t="s">
        <v>2895</v>
      </c>
      <c r="BB324" s="83" t="s">
        <v>1514</v>
      </c>
      <c r="BC324" s="83" t="s">
        <v>11</v>
      </c>
      <c r="BD324" s="83" t="s">
        <v>2673</v>
      </c>
      <c r="BE324" s="83" t="s">
        <v>9</v>
      </c>
      <c r="BF324" s="83" t="s">
        <v>2899</v>
      </c>
      <c r="BG324" s="83" t="s">
        <v>2900</v>
      </c>
      <c r="BH324" s="189" t="s">
        <v>1375</v>
      </c>
      <c r="BI324" s="83" t="s">
        <v>2901</v>
      </c>
      <c r="BJ324" s="83" t="s">
        <v>2902</v>
      </c>
      <c r="BK324" s="83" t="s">
        <v>2903</v>
      </c>
      <c r="BL324" s="276" t="s">
        <v>2904</v>
      </c>
      <c r="BM324" s="105">
        <v>2016</v>
      </c>
      <c r="BN324" s="131">
        <v>0.49299999999999999</v>
      </c>
      <c r="BO324" s="168">
        <v>0.59299999999999997</v>
      </c>
      <c r="BP324" s="83" t="s">
        <v>2869</v>
      </c>
      <c r="BQ324" s="78"/>
      <c r="BR324" s="275"/>
      <c r="BS324" s="78"/>
      <c r="BT324" s="78"/>
      <c r="BU324" s="78"/>
      <c r="BV324" s="78"/>
      <c r="BW324" s="78"/>
      <c r="BX324" s="78"/>
      <c r="BY324" s="78"/>
      <c r="BZ324" s="78"/>
      <c r="CA324" s="78"/>
      <c r="CB324" s="78"/>
      <c r="CC324" s="78"/>
      <c r="CD324" s="78"/>
      <c r="CE324" s="78"/>
      <c r="CF324" s="78"/>
      <c r="CG324" s="78"/>
      <c r="CH324" s="78"/>
      <c r="CI324" s="78"/>
      <c r="CJ324" s="78"/>
      <c r="CK324" s="78"/>
      <c r="CL324" s="78"/>
      <c r="CM324" s="78"/>
      <c r="CN324" s="78"/>
      <c r="CO324" s="78"/>
      <c r="CP324" s="78"/>
      <c r="CQ324" s="284"/>
      <c r="CS324" s="2">
        <v>324</v>
      </c>
    </row>
    <row r="325" spans="1:97" ht="199.5" x14ac:dyDescent="0.25">
      <c r="A325" s="276">
        <v>11</v>
      </c>
      <c r="B325" s="269" t="s">
        <v>4575</v>
      </c>
      <c r="C325" s="269">
        <v>11</v>
      </c>
      <c r="D325" s="189" t="s">
        <v>721</v>
      </c>
      <c r="E325" s="276" t="s">
        <v>752</v>
      </c>
      <c r="F325" s="189" t="s">
        <v>750</v>
      </c>
      <c r="G325" s="172">
        <v>7</v>
      </c>
      <c r="H325" s="276"/>
      <c r="I325" s="276"/>
      <c r="J325" s="276"/>
      <c r="K325" s="276" t="s">
        <v>1122</v>
      </c>
      <c r="L325" s="189" t="s">
        <v>758</v>
      </c>
      <c r="M325" s="275"/>
      <c r="N325" s="78"/>
      <c r="O325" s="189" t="s">
        <v>137</v>
      </c>
      <c r="P325" s="276"/>
      <c r="Q325" s="276"/>
      <c r="R325" s="276"/>
      <c r="S325" s="276"/>
      <c r="T325" s="276"/>
      <c r="U325" s="276"/>
      <c r="V325" s="276"/>
      <c r="W325" s="276"/>
      <c r="X325" s="173"/>
      <c r="Y325" s="276">
        <v>0</v>
      </c>
      <c r="Z325" s="276">
        <v>1</v>
      </c>
      <c r="AA325" s="276" t="s">
        <v>1220</v>
      </c>
      <c r="AB325" s="78"/>
      <c r="AC325" s="275">
        <v>16</v>
      </c>
      <c r="AD325" s="189" t="s">
        <v>2910</v>
      </c>
      <c r="AE325" s="189" t="s">
        <v>2911</v>
      </c>
      <c r="AF325" s="79"/>
      <c r="AG325" s="276" t="s">
        <v>1236</v>
      </c>
      <c r="AH325" s="164"/>
      <c r="AI325" s="275">
        <v>1</v>
      </c>
      <c r="AJ325" s="276">
        <v>11033141</v>
      </c>
      <c r="AK325" s="189" t="s">
        <v>2912</v>
      </c>
      <c r="AL325" s="189" t="s">
        <v>2684</v>
      </c>
      <c r="AM325" s="189" t="s">
        <v>137</v>
      </c>
      <c r="AN325" s="189"/>
      <c r="AO325" s="83" t="s">
        <v>9</v>
      </c>
      <c r="AP325" s="83" t="s">
        <v>2913</v>
      </c>
      <c r="AQ325" s="189" t="s">
        <v>2914</v>
      </c>
      <c r="AR325" s="189" t="s">
        <v>2912</v>
      </c>
      <c r="AS325" s="189" t="s">
        <v>2912</v>
      </c>
      <c r="AT325" s="189" t="s">
        <v>2915</v>
      </c>
      <c r="AU325" s="189"/>
      <c r="AV325" s="189"/>
      <c r="AW325" s="189" t="s">
        <v>2916</v>
      </c>
      <c r="AX325" s="189"/>
      <c r="AY325" s="276"/>
      <c r="AZ325" s="276" t="s">
        <v>2917</v>
      </c>
      <c r="BA325" s="276" t="s">
        <v>2918</v>
      </c>
      <c r="BB325" s="83" t="s">
        <v>2812</v>
      </c>
      <c r="BC325" s="83" t="s">
        <v>11</v>
      </c>
      <c r="BD325" s="83" t="s">
        <v>2916</v>
      </c>
      <c r="BE325" s="83" t="s">
        <v>2694</v>
      </c>
      <c r="BF325" s="83" t="s">
        <v>1665</v>
      </c>
      <c r="BG325" s="83" t="s">
        <v>2919</v>
      </c>
      <c r="BH325" s="189" t="s">
        <v>2920</v>
      </c>
      <c r="BI325" s="83" t="s">
        <v>2696</v>
      </c>
      <c r="BJ325" s="83" t="s">
        <v>2921</v>
      </c>
      <c r="BK325" s="83" t="s">
        <v>2922</v>
      </c>
      <c r="BL325" s="276" t="s">
        <v>2923</v>
      </c>
      <c r="BM325" s="105">
        <v>2015</v>
      </c>
      <c r="BN325" s="134">
        <v>12114</v>
      </c>
      <c r="BO325" s="134">
        <v>69437</v>
      </c>
      <c r="BP325" s="83" t="s">
        <v>2869</v>
      </c>
      <c r="BQ325" s="134">
        <f t="shared" ref="BQ325:BQ334" si="167">+BO325-BN325</f>
        <v>57323</v>
      </c>
      <c r="BR325" s="275">
        <v>5</v>
      </c>
      <c r="BS325" s="134">
        <f>+BN325-(((BQ325)/5)*(-1))</f>
        <v>23578.6</v>
      </c>
      <c r="BT325" s="134"/>
      <c r="BU325" s="134">
        <f t="shared" ref="BU325:BU330" si="168">+BT325-BN325</f>
        <v>-12114</v>
      </c>
      <c r="BV325" s="188">
        <f t="shared" ref="BV325:BV330" si="169">+BU325/BQ325</f>
        <v>-0.21132878600212829</v>
      </c>
      <c r="BW325" s="134">
        <f>+BN325-(((BQ325)/5)*(-2))</f>
        <v>35043.199999999997</v>
      </c>
      <c r="BX325" s="134"/>
      <c r="BY325" s="134">
        <f t="shared" ref="BY325:BY334" si="170">+BX325-BN325</f>
        <v>-12114</v>
      </c>
      <c r="BZ325" s="89">
        <f t="shared" ref="BZ325:BZ334" si="171">+BY325/BQ325</f>
        <v>-0.21132878600212829</v>
      </c>
      <c r="CA325" s="134"/>
      <c r="CB325" s="134"/>
      <c r="CC325" s="134">
        <f t="shared" ref="CC325:CC334" si="172">+CB325-BN325</f>
        <v>-12114</v>
      </c>
      <c r="CD325" s="188">
        <f t="shared" ref="CD325:CD334" si="173">+CC325/BQ325</f>
        <v>-0.21132878600212829</v>
      </c>
      <c r="CE325" s="134"/>
      <c r="CF325" s="134"/>
      <c r="CG325" s="134">
        <f t="shared" ref="CG325:CG334" si="174">+CF325-BN325</f>
        <v>-12114</v>
      </c>
      <c r="CH325" s="188">
        <f t="shared" ref="CH325:CH334" si="175">+CG325/BQ325</f>
        <v>-0.21132878600212829</v>
      </c>
      <c r="CI325" s="134"/>
      <c r="CJ325" s="134"/>
      <c r="CK325" s="134">
        <f t="shared" ref="CK325:CK334" si="176">+CJ325-BN325</f>
        <v>-12114</v>
      </c>
      <c r="CL325" s="89">
        <f t="shared" ref="CL325:CL334" si="177">+CK325/BQ325</f>
        <v>-0.21132878600212829</v>
      </c>
      <c r="CM325" s="78"/>
      <c r="CN325" s="78"/>
      <c r="CO325" s="78"/>
      <c r="CP325" s="78"/>
      <c r="CQ325" s="284"/>
      <c r="CS325" s="24">
        <v>325</v>
      </c>
    </row>
    <row r="326" spans="1:97" ht="199.5" x14ac:dyDescent="0.25">
      <c r="A326" s="276">
        <v>11</v>
      </c>
      <c r="B326" s="269" t="s">
        <v>4575</v>
      </c>
      <c r="C326" s="269">
        <v>11</v>
      </c>
      <c r="D326" s="189" t="s">
        <v>721</v>
      </c>
      <c r="E326" s="276" t="s">
        <v>752</v>
      </c>
      <c r="F326" s="189" t="s">
        <v>750</v>
      </c>
      <c r="G326" s="172">
        <v>7</v>
      </c>
      <c r="H326" s="276"/>
      <c r="I326" s="276"/>
      <c r="J326" s="276"/>
      <c r="K326" s="276" t="s">
        <v>1122</v>
      </c>
      <c r="L326" s="189" t="s">
        <v>758</v>
      </c>
      <c r="M326" s="275"/>
      <c r="N326" s="78"/>
      <c r="O326" s="189" t="s">
        <v>137</v>
      </c>
      <c r="P326" s="276"/>
      <c r="Q326" s="276"/>
      <c r="R326" s="276"/>
      <c r="S326" s="276"/>
      <c r="T326" s="276"/>
      <c r="U326" s="276"/>
      <c r="V326" s="276"/>
      <c r="W326" s="276"/>
      <c r="X326" s="173"/>
      <c r="Y326" s="276">
        <v>0</v>
      </c>
      <c r="Z326" s="276">
        <v>1</v>
      </c>
      <c r="AA326" s="276" t="s">
        <v>1220</v>
      </c>
      <c r="AB326" s="78"/>
      <c r="AC326" s="275">
        <v>16</v>
      </c>
      <c r="AD326" s="189" t="s">
        <v>2910</v>
      </c>
      <c r="AE326" s="189" t="s">
        <v>2911</v>
      </c>
      <c r="AF326" s="79"/>
      <c r="AG326" s="276" t="s">
        <v>1236</v>
      </c>
      <c r="AH326" s="164"/>
      <c r="AI326" s="275">
        <v>2</v>
      </c>
      <c r="AJ326" s="276">
        <v>11033142</v>
      </c>
      <c r="AK326" s="189" t="s">
        <v>2924</v>
      </c>
      <c r="AL326" s="189" t="s">
        <v>2684</v>
      </c>
      <c r="AM326" s="189" t="s">
        <v>137</v>
      </c>
      <c r="AN326" s="189"/>
      <c r="AO326" s="83" t="s">
        <v>2925</v>
      </c>
      <c r="AP326" s="83" t="s">
        <v>2926</v>
      </c>
      <c r="AQ326" s="189" t="s">
        <v>2927</v>
      </c>
      <c r="AR326" s="189" t="s">
        <v>2927</v>
      </c>
      <c r="AS326" s="189" t="s">
        <v>2927</v>
      </c>
      <c r="AT326" s="189" t="s">
        <v>2917</v>
      </c>
      <c r="AU326" s="189"/>
      <c r="AV326" s="189"/>
      <c r="AW326" s="189" t="s">
        <v>2453</v>
      </c>
      <c r="AX326" s="189" t="s">
        <v>2928</v>
      </c>
      <c r="AY326" s="276"/>
      <c r="AZ326" s="276" t="s">
        <v>2917</v>
      </c>
      <c r="BA326" s="276" t="s">
        <v>2921</v>
      </c>
      <c r="BB326" s="83" t="s">
        <v>2812</v>
      </c>
      <c r="BC326" s="83" t="s">
        <v>1983</v>
      </c>
      <c r="BD326" s="83" t="s">
        <v>2453</v>
      </c>
      <c r="BE326" s="83" t="s">
        <v>2929</v>
      </c>
      <c r="BF326" s="83" t="s">
        <v>2929</v>
      </c>
      <c r="BG326" s="83"/>
      <c r="BH326" s="189" t="s">
        <v>2930</v>
      </c>
      <c r="BI326" s="83" t="s">
        <v>2696</v>
      </c>
      <c r="BJ326" s="83" t="s">
        <v>2921</v>
      </c>
      <c r="BK326" s="83" t="s">
        <v>2931</v>
      </c>
      <c r="BL326" s="276" t="s">
        <v>2932</v>
      </c>
      <c r="BM326" s="105">
        <v>2015</v>
      </c>
      <c r="BN326" s="134">
        <v>11020</v>
      </c>
      <c r="BO326" s="134">
        <v>39500</v>
      </c>
      <c r="BP326" s="83" t="s">
        <v>2869</v>
      </c>
      <c r="BQ326" s="134">
        <f t="shared" si="167"/>
        <v>28480</v>
      </c>
      <c r="BR326" s="275">
        <v>5</v>
      </c>
      <c r="BS326" s="134">
        <f>+BN326-(((BQ326)/5)*(-1))</f>
        <v>16716</v>
      </c>
      <c r="BT326" s="134"/>
      <c r="BU326" s="134">
        <f t="shared" si="168"/>
        <v>-11020</v>
      </c>
      <c r="BV326" s="188">
        <f t="shared" si="169"/>
        <v>-0.386938202247191</v>
      </c>
      <c r="BW326" s="134">
        <f>+BN326-(((BQ326)/5)*(-2))</f>
        <v>22412</v>
      </c>
      <c r="BX326" s="134"/>
      <c r="BY326" s="134">
        <f t="shared" si="170"/>
        <v>-11020</v>
      </c>
      <c r="BZ326" s="89">
        <f t="shared" si="171"/>
        <v>-0.386938202247191</v>
      </c>
      <c r="CA326" s="134"/>
      <c r="CB326" s="134"/>
      <c r="CC326" s="134">
        <f t="shared" si="172"/>
        <v>-11020</v>
      </c>
      <c r="CD326" s="188">
        <f t="shared" si="173"/>
        <v>-0.386938202247191</v>
      </c>
      <c r="CE326" s="134"/>
      <c r="CF326" s="134"/>
      <c r="CG326" s="134">
        <f t="shared" si="174"/>
        <v>-11020</v>
      </c>
      <c r="CH326" s="188">
        <f t="shared" si="175"/>
        <v>-0.386938202247191</v>
      </c>
      <c r="CI326" s="134"/>
      <c r="CJ326" s="134"/>
      <c r="CK326" s="134">
        <f t="shared" si="176"/>
        <v>-11020</v>
      </c>
      <c r="CL326" s="89">
        <f t="shared" si="177"/>
        <v>-0.386938202247191</v>
      </c>
      <c r="CM326" s="78"/>
      <c r="CN326" s="78"/>
      <c r="CO326" s="78"/>
      <c r="CP326" s="78"/>
      <c r="CQ326" s="284"/>
      <c r="CS326" s="24">
        <v>326</v>
      </c>
    </row>
    <row r="327" spans="1:97" ht="399" x14ac:dyDescent="0.25">
      <c r="A327" s="276">
        <v>11</v>
      </c>
      <c r="B327" s="269" t="s">
        <v>4575</v>
      </c>
      <c r="C327" s="269">
        <v>11</v>
      </c>
      <c r="D327" s="189" t="s">
        <v>721</v>
      </c>
      <c r="E327" s="276" t="s">
        <v>752</v>
      </c>
      <c r="F327" s="189" t="s">
        <v>750</v>
      </c>
      <c r="G327" s="172">
        <v>7</v>
      </c>
      <c r="H327" s="276"/>
      <c r="I327" s="276"/>
      <c r="J327" s="276"/>
      <c r="K327" s="276" t="s">
        <v>1122</v>
      </c>
      <c r="L327" s="189" t="s">
        <v>758</v>
      </c>
      <c r="M327" s="275"/>
      <c r="N327" s="78"/>
      <c r="O327" s="189" t="s">
        <v>62</v>
      </c>
      <c r="P327" s="276"/>
      <c r="Q327" s="276"/>
      <c r="R327" s="276"/>
      <c r="S327" s="276"/>
      <c r="T327" s="276"/>
      <c r="U327" s="276"/>
      <c r="V327" s="276"/>
      <c r="W327" s="276"/>
      <c r="X327" s="173"/>
      <c r="Y327" s="276">
        <v>1</v>
      </c>
      <c r="Z327" s="276">
        <v>0</v>
      </c>
      <c r="AA327" s="276" t="s">
        <v>1220</v>
      </c>
      <c r="AB327" s="78"/>
      <c r="AC327" s="275">
        <v>3</v>
      </c>
      <c r="AD327" s="189" t="s">
        <v>1284</v>
      </c>
      <c r="AE327" s="189" t="s">
        <v>2933</v>
      </c>
      <c r="AF327" s="79"/>
      <c r="AG327" s="276" t="s">
        <v>1236</v>
      </c>
      <c r="AH327" s="276"/>
      <c r="AI327" s="275">
        <v>3</v>
      </c>
      <c r="AJ327" s="276">
        <v>11033143</v>
      </c>
      <c r="AK327" s="189" t="s">
        <v>2934</v>
      </c>
      <c r="AL327" s="189" t="s">
        <v>2684</v>
      </c>
      <c r="AM327" s="189" t="s">
        <v>1259</v>
      </c>
      <c r="AN327" s="189"/>
      <c r="AO327" s="83" t="s">
        <v>2935</v>
      </c>
      <c r="AP327" s="83" t="s">
        <v>10</v>
      </c>
      <c r="AQ327" s="189" t="s">
        <v>2936</v>
      </c>
      <c r="AR327" s="189" t="s">
        <v>2937</v>
      </c>
      <c r="AS327" s="189" t="s">
        <v>2938</v>
      </c>
      <c r="AT327" s="189" t="s">
        <v>2939</v>
      </c>
      <c r="AU327" s="189" t="s">
        <v>2940</v>
      </c>
      <c r="AV327" s="189" t="s">
        <v>2939</v>
      </c>
      <c r="AW327" s="189">
        <v>2016</v>
      </c>
      <c r="AX327" s="189" t="s">
        <v>2941</v>
      </c>
      <c r="AY327" s="276"/>
      <c r="AZ327" s="276" t="s">
        <v>2942</v>
      </c>
      <c r="BA327" s="276" t="s">
        <v>2943</v>
      </c>
      <c r="BB327" s="83" t="s">
        <v>2944</v>
      </c>
      <c r="BC327" s="83" t="s">
        <v>2945</v>
      </c>
      <c r="BD327" s="83" t="s">
        <v>2946</v>
      </c>
      <c r="BE327" s="83" t="s">
        <v>2947</v>
      </c>
      <c r="BF327" s="83" t="s">
        <v>2948</v>
      </c>
      <c r="BG327" s="83" t="s">
        <v>2949</v>
      </c>
      <c r="BH327" s="189" t="s">
        <v>2950</v>
      </c>
      <c r="BI327" s="83" t="s">
        <v>2951</v>
      </c>
      <c r="BJ327" s="83" t="s">
        <v>2952</v>
      </c>
      <c r="BK327" s="83" t="s">
        <v>2953</v>
      </c>
      <c r="BL327" s="276" t="s">
        <v>2954</v>
      </c>
      <c r="BM327" s="105">
        <v>2012</v>
      </c>
      <c r="BN327" s="131">
        <v>0.56999999999999995</v>
      </c>
      <c r="BO327" s="131">
        <v>0.56000000000000005</v>
      </c>
      <c r="BP327" s="131">
        <v>0.54</v>
      </c>
      <c r="BQ327" s="131">
        <f t="shared" si="167"/>
        <v>-9.9999999999998979E-3</v>
      </c>
      <c r="BR327" s="275">
        <v>8</v>
      </c>
      <c r="BS327" s="168">
        <f>+BN327-(((BQ327)/8)*(-4))</f>
        <v>0.56499999999999995</v>
      </c>
      <c r="BT327" s="168"/>
      <c r="BU327" s="168">
        <f t="shared" si="168"/>
        <v>-0.56999999999999995</v>
      </c>
      <c r="BV327" s="188">
        <f t="shared" si="169"/>
        <v>57.000000000000576</v>
      </c>
      <c r="BW327" s="168">
        <f>+BN327-(((BQ327)/8)*(-5))</f>
        <v>0.56374999999999997</v>
      </c>
      <c r="BX327" s="168"/>
      <c r="BY327" s="168">
        <f t="shared" si="170"/>
        <v>-0.56999999999999995</v>
      </c>
      <c r="BZ327" s="89">
        <f t="shared" si="171"/>
        <v>57.000000000000576</v>
      </c>
      <c r="CA327" s="168"/>
      <c r="CB327" s="168"/>
      <c r="CC327" s="168">
        <f t="shared" si="172"/>
        <v>-0.56999999999999995</v>
      </c>
      <c r="CD327" s="188">
        <f t="shared" si="173"/>
        <v>57.000000000000576</v>
      </c>
      <c r="CE327" s="168"/>
      <c r="CF327" s="168"/>
      <c r="CG327" s="168">
        <f t="shared" si="174"/>
        <v>-0.56999999999999995</v>
      </c>
      <c r="CH327" s="188">
        <f t="shared" si="175"/>
        <v>57.000000000000576</v>
      </c>
      <c r="CI327" s="168"/>
      <c r="CJ327" s="168"/>
      <c r="CK327" s="168">
        <f t="shared" si="176"/>
        <v>-0.56999999999999995</v>
      </c>
      <c r="CL327" s="89">
        <f t="shared" si="177"/>
        <v>57.000000000000576</v>
      </c>
      <c r="CM327" s="78"/>
      <c r="CN327" s="78"/>
      <c r="CO327" s="78"/>
      <c r="CP327" s="78"/>
      <c r="CQ327" s="284"/>
      <c r="CS327" s="2">
        <v>327</v>
      </c>
    </row>
    <row r="328" spans="1:97" ht="228" customHeight="1" x14ac:dyDescent="0.25">
      <c r="A328" s="276">
        <v>11</v>
      </c>
      <c r="B328" s="269" t="s">
        <v>4575</v>
      </c>
      <c r="C328" s="269">
        <v>11</v>
      </c>
      <c r="D328" s="189" t="s">
        <v>721</v>
      </c>
      <c r="E328" s="276" t="s">
        <v>752</v>
      </c>
      <c r="F328" s="189" t="s">
        <v>750</v>
      </c>
      <c r="G328" s="172">
        <v>8</v>
      </c>
      <c r="H328" s="276"/>
      <c r="I328" s="276"/>
      <c r="J328" s="276"/>
      <c r="K328" s="276" t="s">
        <v>1123</v>
      </c>
      <c r="L328" s="189" t="s">
        <v>759</v>
      </c>
      <c r="M328" s="275"/>
      <c r="N328" s="78"/>
      <c r="O328" s="189" t="s">
        <v>78</v>
      </c>
      <c r="P328" s="276"/>
      <c r="Q328" s="276"/>
      <c r="R328" s="276"/>
      <c r="S328" s="276"/>
      <c r="T328" s="276"/>
      <c r="U328" s="276"/>
      <c r="V328" s="276"/>
      <c r="W328" s="276"/>
      <c r="X328" s="173"/>
      <c r="Y328" s="276">
        <v>0</v>
      </c>
      <c r="Z328" s="276">
        <v>1</v>
      </c>
      <c r="AA328" s="276" t="s">
        <v>1220</v>
      </c>
      <c r="AB328" s="78"/>
      <c r="AC328" s="275"/>
      <c r="AD328" s="189"/>
      <c r="AE328" s="189"/>
      <c r="AF328" s="79"/>
      <c r="AG328" s="276" t="s">
        <v>1364</v>
      </c>
      <c r="AH328" s="135"/>
      <c r="AI328" s="275">
        <v>1</v>
      </c>
      <c r="AJ328" s="276">
        <v>11033151</v>
      </c>
      <c r="AK328" s="189" t="s">
        <v>2955</v>
      </c>
      <c r="AL328" s="189" t="s">
        <v>2684</v>
      </c>
      <c r="AM328" s="189" t="s">
        <v>1350</v>
      </c>
      <c r="AN328" s="189"/>
      <c r="AO328" s="83" t="s">
        <v>1257</v>
      </c>
      <c r="AP328" s="83" t="s">
        <v>2805</v>
      </c>
      <c r="AQ328" s="189" t="s">
        <v>2956</v>
      </c>
      <c r="AR328" s="189" t="s">
        <v>2957</v>
      </c>
      <c r="AS328" s="189" t="s">
        <v>2958</v>
      </c>
      <c r="AT328" s="189" t="s">
        <v>2748</v>
      </c>
      <c r="AU328" s="189" t="s">
        <v>2959</v>
      </c>
      <c r="AV328" s="189" t="s">
        <v>2748</v>
      </c>
      <c r="AW328" s="189" t="s">
        <v>2359</v>
      </c>
      <c r="AX328" s="189" t="s">
        <v>2960</v>
      </c>
      <c r="AY328" s="276"/>
      <c r="AZ328" s="276" t="s">
        <v>2961</v>
      </c>
      <c r="BA328" s="276" t="s">
        <v>2745</v>
      </c>
      <c r="BB328" s="83" t="s">
        <v>2812</v>
      </c>
      <c r="BC328" s="83" t="s">
        <v>1983</v>
      </c>
      <c r="BD328" s="83" t="s">
        <v>2359</v>
      </c>
      <c r="BE328" s="83" t="s">
        <v>1665</v>
      </c>
      <c r="BF328" s="83" t="s">
        <v>17</v>
      </c>
      <c r="BG328" s="83"/>
      <c r="BH328" s="189"/>
      <c r="BI328" s="83" t="s">
        <v>2962</v>
      </c>
      <c r="BJ328" s="83" t="s">
        <v>2963</v>
      </c>
      <c r="BK328" s="83" t="s">
        <v>2964</v>
      </c>
      <c r="BL328" s="276" t="s">
        <v>2965</v>
      </c>
      <c r="BM328" s="105">
        <v>2015</v>
      </c>
      <c r="BN328" s="136">
        <v>4</v>
      </c>
      <c r="BO328" s="137">
        <v>9</v>
      </c>
      <c r="BP328" s="83" t="s">
        <v>2869</v>
      </c>
      <c r="BQ328" s="134">
        <f t="shared" si="167"/>
        <v>5</v>
      </c>
      <c r="BR328" s="275">
        <v>5</v>
      </c>
      <c r="BS328" s="134">
        <f>+BN328-(((BQ328)/5)*(-1))</f>
        <v>5</v>
      </c>
      <c r="BT328" s="134"/>
      <c r="BU328" s="134">
        <f t="shared" si="168"/>
        <v>-4</v>
      </c>
      <c r="BV328" s="188">
        <f t="shared" si="169"/>
        <v>-0.8</v>
      </c>
      <c r="BW328" s="134">
        <f>+BN328-(((BQ328)/5)*(-2))</f>
        <v>6</v>
      </c>
      <c r="BX328" s="134"/>
      <c r="BY328" s="134">
        <f t="shared" si="170"/>
        <v>-4</v>
      </c>
      <c r="BZ328" s="89">
        <f t="shared" si="171"/>
        <v>-0.8</v>
      </c>
      <c r="CA328" s="134"/>
      <c r="CB328" s="134"/>
      <c r="CC328" s="134">
        <f t="shared" si="172"/>
        <v>-4</v>
      </c>
      <c r="CD328" s="188">
        <f t="shared" si="173"/>
        <v>-0.8</v>
      </c>
      <c r="CE328" s="134"/>
      <c r="CF328" s="134"/>
      <c r="CG328" s="134">
        <f t="shared" si="174"/>
        <v>-4</v>
      </c>
      <c r="CH328" s="188">
        <f t="shared" si="175"/>
        <v>-0.8</v>
      </c>
      <c r="CI328" s="134"/>
      <c r="CJ328" s="134"/>
      <c r="CK328" s="134">
        <f t="shared" si="176"/>
        <v>-4</v>
      </c>
      <c r="CL328" s="89">
        <f t="shared" si="177"/>
        <v>-0.8</v>
      </c>
      <c r="CM328" s="78"/>
      <c r="CN328" s="78"/>
      <c r="CO328" s="78"/>
      <c r="CP328" s="78"/>
      <c r="CQ328" s="284"/>
      <c r="CS328" s="24">
        <v>328</v>
      </c>
    </row>
    <row r="329" spans="1:97" ht="228" x14ac:dyDescent="0.25">
      <c r="A329" s="276">
        <v>11</v>
      </c>
      <c r="B329" s="269" t="s">
        <v>4575</v>
      </c>
      <c r="C329" s="269">
        <v>11</v>
      </c>
      <c r="D329" s="189" t="s">
        <v>721</v>
      </c>
      <c r="E329" s="276" t="s">
        <v>752</v>
      </c>
      <c r="F329" s="189" t="s">
        <v>750</v>
      </c>
      <c r="G329" s="172">
        <v>8</v>
      </c>
      <c r="H329" s="276"/>
      <c r="I329" s="276"/>
      <c r="J329" s="276"/>
      <c r="K329" s="276" t="s">
        <v>1123</v>
      </c>
      <c r="L329" s="189" t="s">
        <v>759</v>
      </c>
      <c r="M329" s="275"/>
      <c r="N329" s="78"/>
      <c r="O329" s="189" t="s">
        <v>137</v>
      </c>
      <c r="P329" s="276"/>
      <c r="Q329" s="276"/>
      <c r="R329" s="276"/>
      <c r="S329" s="276"/>
      <c r="T329" s="276"/>
      <c r="U329" s="276"/>
      <c r="V329" s="276"/>
      <c r="W329" s="276"/>
      <c r="X329" s="173"/>
      <c r="Y329" s="276">
        <v>0</v>
      </c>
      <c r="Z329" s="276">
        <v>1</v>
      </c>
      <c r="AA329" s="276" t="s">
        <v>1220</v>
      </c>
      <c r="AB329" s="78"/>
      <c r="AC329" s="275"/>
      <c r="AD329" s="189"/>
      <c r="AE329" s="189"/>
      <c r="AF329" s="79"/>
      <c r="AG329" s="276" t="s">
        <v>1364</v>
      </c>
      <c r="AH329" s="135"/>
      <c r="AI329" s="275">
        <v>2</v>
      </c>
      <c r="AJ329" s="276">
        <v>11033152</v>
      </c>
      <c r="AK329" s="189" t="s">
        <v>2966</v>
      </c>
      <c r="AL329" s="189" t="s">
        <v>2684</v>
      </c>
      <c r="AM329" s="189" t="s">
        <v>2840</v>
      </c>
      <c r="AN329" s="189"/>
      <c r="AO329" s="83" t="s">
        <v>2967</v>
      </c>
      <c r="AP329" s="83" t="s">
        <v>1496</v>
      </c>
      <c r="AQ329" s="189" t="s">
        <v>2966</v>
      </c>
      <c r="AR329" s="189" t="s">
        <v>2966</v>
      </c>
      <c r="AS329" s="189" t="s">
        <v>2966</v>
      </c>
      <c r="AT329" s="189" t="s">
        <v>2748</v>
      </c>
      <c r="AU329" s="189"/>
      <c r="AV329" s="189"/>
      <c r="AW329" s="189" t="s">
        <v>2968</v>
      </c>
      <c r="AX329" s="189" t="s">
        <v>2969</v>
      </c>
      <c r="AY329" s="276"/>
      <c r="AZ329" s="276" t="s">
        <v>2748</v>
      </c>
      <c r="BA329" s="276" t="s">
        <v>2745</v>
      </c>
      <c r="BB329" s="83" t="s">
        <v>2812</v>
      </c>
      <c r="BC329" s="83" t="s">
        <v>1983</v>
      </c>
      <c r="BD329" s="83" t="s">
        <v>2970</v>
      </c>
      <c r="BE329" s="83" t="s">
        <v>1665</v>
      </c>
      <c r="BF329" s="83" t="s">
        <v>17</v>
      </c>
      <c r="BG329" s="83" t="s">
        <v>2971</v>
      </c>
      <c r="BH329" s="189"/>
      <c r="BI329" s="83" t="s">
        <v>2696</v>
      </c>
      <c r="BJ329" s="83" t="s">
        <v>2745</v>
      </c>
      <c r="BK329" s="83" t="s">
        <v>2972</v>
      </c>
      <c r="BL329" s="276" t="s">
        <v>2973</v>
      </c>
      <c r="BM329" s="105">
        <v>2015</v>
      </c>
      <c r="BN329" s="134">
        <v>7407</v>
      </c>
      <c r="BO329" s="134">
        <f>11801+4500</f>
        <v>16301</v>
      </c>
      <c r="BP329" s="83" t="s">
        <v>2869</v>
      </c>
      <c r="BQ329" s="134">
        <f t="shared" si="167"/>
        <v>8894</v>
      </c>
      <c r="BR329" s="275">
        <v>5</v>
      </c>
      <c r="BS329" s="134">
        <f>+BN329-(((BQ329)/5)*(-1))</f>
        <v>9185.7999999999993</v>
      </c>
      <c r="BT329" s="134"/>
      <c r="BU329" s="134">
        <f t="shared" si="168"/>
        <v>-7407</v>
      </c>
      <c r="BV329" s="188">
        <f t="shared" si="169"/>
        <v>-0.83280863503485492</v>
      </c>
      <c r="BW329" s="134">
        <f>+BN329-(((BQ329)/5)*(-2))</f>
        <v>10964.6</v>
      </c>
      <c r="BX329" s="134"/>
      <c r="BY329" s="134">
        <f t="shared" si="170"/>
        <v>-7407</v>
      </c>
      <c r="BZ329" s="89">
        <f t="shared" si="171"/>
        <v>-0.83280863503485492</v>
      </c>
      <c r="CA329" s="134"/>
      <c r="CB329" s="134"/>
      <c r="CC329" s="134">
        <f t="shared" si="172"/>
        <v>-7407</v>
      </c>
      <c r="CD329" s="188">
        <f t="shared" si="173"/>
        <v>-0.83280863503485492</v>
      </c>
      <c r="CE329" s="134"/>
      <c r="CF329" s="134"/>
      <c r="CG329" s="134">
        <f t="shared" si="174"/>
        <v>-7407</v>
      </c>
      <c r="CH329" s="188">
        <f t="shared" si="175"/>
        <v>-0.83280863503485492</v>
      </c>
      <c r="CI329" s="134"/>
      <c r="CJ329" s="134"/>
      <c r="CK329" s="134">
        <f t="shared" si="176"/>
        <v>-7407</v>
      </c>
      <c r="CL329" s="89">
        <f t="shared" si="177"/>
        <v>-0.83280863503485492</v>
      </c>
      <c r="CM329" s="78"/>
      <c r="CN329" s="78"/>
      <c r="CO329" s="78"/>
      <c r="CP329" s="78"/>
      <c r="CQ329" s="284"/>
      <c r="CS329" s="24">
        <v>329</v>
      </c>
    </row>
    <row r="330" spans="1:97" ht="199.5" x14ac:dyDescent="0.25">
      <c r="A330" s="276">
        <v>11</v>
      </c>
      <c r="B330" s="269" t="s">
        <v>4575</v>
      </c>
      <c r="C330" s="269">
        <v>11</v>
      </c>
      <c r="D330" s="189" t="s">
        <v>721</v>
      </c>
      <c r="E330" s="276" t="s">
        <v>752</v>
      </c>
      <c r="F330" s="189" t="s">
        <v>750</v>
      </c>
      <c r="G330" s="172">
        <v>9</v>
      </c>
      <c r="H330" s="276"/>
      <c r="I330" s="276"/>
      <c r="J330" s="276"/>
      <c r="K330" s="276">
        <v>1103316</v>
      </c>
      <c r="L330" s="189" t="s">
        <v>2974</v>
      </c>
      <c r="M330" s="275"/>
      <c r="N330" s="78"/>
      <c r="O330" s="189" t="s">
        <v>137</v>
      </c>
      <c r="P330" s="276"/>
      <c r="Q330" s="276"/>
      <c r="R330" s="276"/>
      <c r="S330" s="276"/>
      <c r="T330" s="276"/>
      <c r="U330" s="276"/>
      <c r="V330" s="276"/>
      <c r="W330" s="276"/>
      <c r="X330" s="173"/>
      <c r="Y330" s="276">
        <v>0</v>
      </c>
      <c r="Z330" s="276">
        <v>1</v>
      </c>
      <c r="AA330" s="276" t="s">
        <v>1220</v>
      </c>
      <c r="AB330" s="78"/>
      <c r="AC330" s="275">
        <v>10</v>
      </c>
      <c r="AD330" s="189" t="s">
        <v>2975</v>
      </c>
      <c r="AE330" s="189" t="s">
        <v>2976</v>
      </c>
      <c r="AF330" s="79"/>
      <c r="AG330" s="276" t="s">
        <v>1236</v>
      </c>
      <c r="AH330" s="117" t="s">
        <v>2977</v>
      </c>
      <c r="AI330" s="275">
        <v>1</v>
      </c>
      <c r="AJ330" s="83">
        <v>11033161</v>
      </c>
      <c r="AK330" s="189" t="s">
        <v>2978</v>
      </c>
      <c r="AL330" s="189" t="s">
        <v>2684</v>
      </c>
      <c r="AM330" s="189" t="s">
        <v>2840</v>
      </c>
      <c r="AN330" s="189"/>
      <c r="AO330" s="83" t="s">
        <v>9</v>
      </c>
      <c r="AP330" s="83" t="s">
        <v>2979</v>
      </c>
      <c r="AQ330" s="189" t="s">
        <v>2980</v>
      </c>
      <c r="AR330" s="189" t="s">
        <v>2981</v>
      </c>
      <c r="AS330" s="189" t="s">
        <v>2982</v>
      </c>
      <c r="AT330" s="189" t="s">
        <v>2983</v>
      </c>
      <c r="AU330" s="189" t="s">
        <v>2984</v>
      </c>
      <c r="AV330" s="189" t="s">
        <v>2983</v>
      </c>
      <c r="AW330" s="189" t="s">
        <v>1529</v>
      </c>
      <c r="AX330" s="189" t="s">
        <v>2985</v>
      </c>
      <c r="AY330" s="276"/>
      <c r="AZ330" s="276" t="s">
        <v>2983</v>
      </c>
      <c r="BA330" s="276" t="s">
        <v>2986</v>
      </c>
      <c r="BB330" s="83" t="s">
        <v>2987</v>
      </c>
      <c r="BC330" s="83" t="s">
        <v>1983</v>
      </c>
      <c r="BD330" s="83"/>
      <c r="BE330" s="83" t="s">
        <v>1665</v>
      </c>
      <c r="BF330" s="83" t="s">
        <v>9</v>
      </c>
      <c r="BG330" s="83" t="s">
        <v>2988</v>
      </c>
      <c r="BH330" s="189"/>
      <c r="BI330" s="83" t="s">
        <v>2989</v>
      </c>
      <c r="BJ330" s="83" t="s">
        <v>2990</v>
      </c>
      <c r="BK330" s="83" t="s">
        <v>2983</v>
      </c>
      <c r="BL330" s="276" t="s">
        <v>2991</v>
      </c>
      <c r="BM330" s="105">
        <v>2015</v>
      </c>
      <c r="BN330" s="128">
        <v>0</v>
      </c>
      <c r="BO330" s="128">
        <v>1</v>
      </c>
      <c r="BP330" s="128">
        <v>1</v>
      </c>
      <c r="BQ330" s="107">
        <f t="shared" si="167"/>
        <v>1</v>
      </c>
      <c r="BR330" s="275">
        <v>5</v>
      </c>
      <c r="BS330" s="107">
        <f>+BN330-(((BQ330)/5)*(-1))</f>
        <v>0.2</v>
      </c>
      <c r="BT330" s="107"/>
      <c r="BU330" s="107">
        <f t="shared" si="168"/>
        <v>0</v>
      </c>
      <c r="BV330" s="188">
        <f t="shared" si="169"/>
        <v>0</v>
      </c>
      <c r="BW330" s="107">
        <f>+BN330-(((BQ330)/5)*(-2))</f>
        <v>0.4</v>
      </c>
      <c r="BX330" s="107"/>
      <c r="BY330" s="107">
        <f t="shared" si="170"/>
        <v>0</v>
      </c>
      <c r="BZ330" s="89">
        <f t="shared" si="171"/>
        <v>0</v>
      </c>
      <c r="CA330" s="107"/>
      <c r="CB330" s="107"/>
      <c r="CC330" s="107">
        <f t="shared" si="172"/>
        <v>0</v>
      </c>
      <c r="CD330" s="188">
        <f t="shared" si="173"/>
        <v>0</v>
      </c>
      <c r="CE330" s="107"/>
      <c r="CF330" s="107"/>
      <c r="CG330" s="107">
        <f t="shared" si="174"/>
        <v>0</v>
      </c>
      <c r="CH330" s="188">
        <f t="shared" si="175"/>
        <v>0</v>
      </c>
      <c r="CI330" s="107"/>
      <c r="CJ330" s="107"/>
      <c r="CK330" s="107">
        <f t="shared" si="176"/>
        <v>0</v>
      </c>
      <c r="CL330" s="89">
        <f t="shared" si="177"/>
        <v>0</v>
      </c>
      <c r="CM330" s="78"/>
      <c r="CN330" s="78"/>
      <c r="CO330" s="78"/>
      <c r="CP330" s="78"/>
      <c r="CQ330" s="284"/>
      <c r="CS330" s="2">
        <v>330</v>
      </c>
    </row>
    <row r="331" spans="1:97" ht="128.25" x14ac:dyDescent="0.25">
      <c r="A331" s="276">
        <v>11</v>
      </c>
      <c r="B331" s="269" t="s">
        <v>4575</v>
      </c>
      <c r="C331" s="269">
        <v>11</v>
      </c>
      <c r="D331" s="189" t="s">
        <v>721</v>
      </c>
      <c r="E331" s="276" t="s">
        <v>763</v>
      </c>
      <c r="F331" s="189" t="s">
        <v>761</v>
      </c>
      <c r="G331" s="172">
        <v>5</v>
      </c>
      <c r="H331" s="276"/>
      <c r="I331" s="276"/>
      <c r="J331" s="276"/>
      <c r="K331" s="276" t="s">
        <v>1129</v>
      </c>
      <c r="L331" s="189" t="s">
        <v>767</v>
      </c>
      <c r="M331" s="275"/>
      <c r="N331" s="78"/>
      <c r="O331" s="189" t="s">
        <v>137</v>
      </c>
      <c r="P331" s="276"/>
      <c r="Q331" s="276"/>
      <c r="R331" s="276"/>
      <c r="S331" s="276"/>
      <c r="T331" s="276"/>
      <c r="U331" s="276"/>
      <c r="V331" s="276"/>
      <c r="W331" s="276"/>
      <c r="X331" s="173"/>
      <c r="Y331" s="276">
        <v>0</v>
      </c>
      <c r="Z331" s="276">
        <v>1</v>
      </c>
      <c r="AA331" s="276" t="s">
        <v>1220</v>
      </c>
      <c r="AB331" s="78"/>
      <c r="AC331" s="275"/>
      <c r="AD331" s="189"/>
      <c r="AE331" s="189"/>
      <c r="AF331" s="79"/>
      <c r="AG331" s="276" t="s">
        <v>1364</v>
      </c>
      <c r="AH331" s="78"/>
      <c r="AI331" s="275">
        <v>1</v>
      </c>
      <c r="AJ331" s="276">
        <v>11043211</v>
      </c>
      <c r="AK331" s="189" t="s">
        <v>2992</v>
      </c>
      <c r="AL331" s="189" t="s">
        <v>2993</v>
      </c>
      <c r="AM331" s="189" t="s">
        <v>137</v>
      </c>
      <c r="AN331" s="189"/>
      <c r="AO331" s="83" t="s">
        <v>9</v>
      </c>
      <c r="AP331" s="83" t="s">
        <v>10</v>
      </c>
      <c r="AQ331" s="189" t="s">
        <v>2994</v>
      </c>
      <c r="AR331" s="189" t="s">
        <v>2995</v>
      </c>
      <c r="AS331" s="189" t="s">
        <v>2996</v>
      </c>
      <c r="AT331" s="189" t="s">
        <v>2997</v>
      </c>
      <c r="AU331" s="189" t="s">
        <v>2998</v>
      </c>
      <c r="AV331" s="189" t="s">
        <v>2997</v>
      </c>
      <c r="AW331" s="189" t="s">
        <v>2601</v>
      </c>
      <c r="AX331" s="189" t="s">
        <v>2999</v>
      </c>
      <c r="AY331" s="276"/>
      <c r="AZ331" s="276" t="s">
        <v>3000</v>
      </c>
      <c r="BA331" s="276" t="s">
        <v>2997</v>
      </c>
      <c r="BB331" s="83" t="s">
        <v>1229</v>
      </c>
      <c r="BC331" s="83" t="s">
        <v>1358</v>
      </c>
      <c r="BD331" s="83" t="s">
        <v>3001</v>
      </c>
      <c r="BE331" s="83" t="s">
        <v>9</v>
      </c>
      <c r="BF331" s="83" t="s">
        <v>9</v>
      </c>
      <c r="BG331" s="83" t="s">
        <v>3002</v>
      </c>
      <c r="BH331" s="189"/>
      <c r="BI331" s="83" t="s">
        <v>3003</v>
      </c>
      <c r="BJ331" s="83" t="s">
        <v>3004</v>
      </c>
      <c r="BK331" s="83" t="s">
        <v>3005</v>
      </c>
      <c r="BL331" s="276" t="s">
        <v>3006</v>
      </c>
      <c r="BM331" s="105">
        <v>2016</v>
      </c>
      <c r="BN331" s="107">
        <v>0</v>
      </c>
      <c r="BO331" s="107">
        <v>1</v>
      </c>
      <c r="BP331" s="83" t="s">
        <v>2664</v>
      </c>
      <c r="BQ331" s="107">
        <f t="shared" si="167"/>
        <v>1</v>
      </c>
      <c r="BR331" s="275">
        <v>4</v>
      </c>
      <c r="BS331" s="107" t="s">
        <v>2664</v>
      </c>
      <c r="BT331" s="107"/>
      <c r="BU331" s="107" t="s">
        <v>2664</v>
      </c>
      <c r="BV331" s="107" t="s">
        <v>2664</v>
      </c>
      <c r="BW331" s="107">
        <f>+BN331-(((BQ331)/4)*(-1))</f>
        <v>0.25</v>
      </c>
      <c r="BX331" s="107"/>
      <c r="BY331" s="107">
        <f t="shared" si="170"/>
        <v>0</v>
      </c>
      <c r="BZ331" s="89">
        <f t="shared" si="171"/>
        <v>0</v>
      </c>
      <c r="CA331" s="107"/>
      <c r="CB331" s="107"/>
      <c r="CC331" s="107">
        <f t="shared" si="172"/>
        <v>0</v>
      </c>
      <c r="CD331" s="188">
        <f t="shared" si="173"/>
        <v>0</v>
      </c>
      <c r="CE331" s="107"/>
      <c r="CF331" s="107"/>
      <c r="CG331" s="107">
        <f t="shared" si="174"/>
        <v>0</v>
      </c>
      <c r="CH331" s="188">
        <f t="shared" si="175"/>
        <v>0</v>
      </c>
      <c r="CI331" s="107"/>
      <c r="CJ331" s="107"/>
      <c r="CK331" s="107">
        <f t="shared" si="176"/>
        <v>0</v>
      </c>
      <c r="CL331" s="89">
        <f t="shared" si="177"/>
        <v>0</v>
      </c>
      <c r="CM331" s="89"/>
      <c r="CN331" s="89"/>
      <c r="CO331" s="89"/>
      <c r="CP331" s="89"/>
      <c r="CQ331" s="287"/>
      <c r="CS331" s="24">
        <v>331</v>
      </c>
    </row>
    <row r="332" spans="1:97" ht="285" x14ac:dyDescent="0.25">
      <c r="A332" s="276">
        <v>27</v>
      </c>
      <c r="B332" s="269" t="s">
        <v>4578</v>
      </c>
      <c r="C332" s="269">
        <v>12</v>
      </c>
      <c r="D332" s="189" t="s">
        <v>773</v>
      </c>
      <c r="E332" s="276" t="s">
        <v>776</v>
      </c>
      <c r="F332" s="189" t="s">
        <v>774</v>
      </c>
      <c r="G332" s="172">
        <v>4</v>
      </c>
      <c r="H332" s="276" t="s">
        <v>779</v>
      </c>
      <c r="I332" s="276">
        <v>330</v>
      </c>
      <c r="J332" s="276" t="s">
        <v>780</v>
      </c>
      <c r="K332" s="276" t="s">
        <v>1138</v>
      </c>
      <c r="L332" s="189" t="s">
        <v>781</v>
      </c>
      <c r="M332" s="276" t="s">
        <v>773</v>
      </c>
      <c r="N332" s="189" t="s">
        <v>744</v>
      </c>
      <c r="O332" s="189" t="s">
        <v>62</v>
      </c>
      <c r="P332" s="276" t="s">
        <v>108</v>
      </c>
      <c r="Q332" s="276" t="s">
        <v>146</v>
      </c>
      <c r="R332" s="276"/>
      <c r="S332" s="276"/>
      <c r="T332" s="276" t="s">
        <v>65</v>
      </c>
      <c r="U332" s="276"/>
      <c r="V332" s="276"/>
      <c r="W332" s="83" t="s">
        <v>732</v>
      </c>
      <c r="X332" s="173" t="e">
        <f>100/COUNTIFS(($B$4:$B$14),C332,($D$4:$D$14),E332)</f>
        <v>#DIV/0!</v>
      </c>
      <c r="Y332" s="276">
        <f>COUNTIF(T332,"RS")</f>
        <v>1</v>
      </c>
      <c r="Z332" s="276">
        <v>0</v>
      </c>
      <c r="AA332" s="77" t="s">
        <v>1220</v>
      </c>
      <c r="AB332" s="276"/>
      <c r="AC332" s="275"/>
      <c r="AD332" s="189"/>
      <c r="AE332" s="189"/>
      <c r="AF332" s="79"/>
      <c r="AG332" s="77" t="s">
        <v>1364</v>
      </c>
      <c r="AH332" s="77"/>
      <c r="AI332" s="275">
        <v>1</v>
      </c>
      <c r="AJ332" s="83" t="str">
        <f>CONCATENATE(K332,AI332)</f>
        <v>12013301</v>
      </c>
      <c r="AK332" s="83" t="s">
        <v>3054</v>
      </c>
      <c r="AL332" s="189" t="s">
        <v>137</v>
      </c>
      <c r="AM332" s="189"/>
      <c r="AN332" s="275" t="s">
        <v>1405</v>
      </c>
      <c r="AO332" s="276" t="s">
        <v>1369</v>
      </c>
      <c r="AP332" s="189" t="s">
        <v>3055</v>
      </c>
      <c r="AQ332" s="189" t="s">
        <v>3080</v>
      </c>
      <c r="AR332" s="189" t="s">
        <v>3056</v>
      </c>
      <c r="AS332" s="189" t="s">
        <v>3057</v>
      </c>
      <c r="AT332" s="275" t="s">
        <v>1405</v>
      </c>
      <c r="AU332" s="275" t="s">
        <v>1405</v>
      </c>
      <c r="AV332" s="276" t="s">
        <v>3058</v>
      </c>
      <c r="AW332" s="276" t="s">
        <v>1405</v>
      </c>
      <c r="AX332" s="275">
        <v>1</v>
      </c>
      <c r="AY332" s="276" t="str">
        <f>CONCATENATE(AJ332,AX332)</f>
        <v>120133011</v>
      </c>
      <c r="AZ332" s="276" t="s">
        <v>3059</v>
      </c>
      <c r="BA332" s="83" t="s">
        <v>3060</v>
      </c>
      <c r="BB332" s="83" t="s">
        <v>1392</v>
      </c>
      <c r="BC332" s="276" t="s">
        <v>11</v>
      </c>
      <c r="BD332" s="275" t="s">
        <v>2673</v>
      </c>
      <c r="BE332" s="276" t="s">
        <v>1593</v>
      </c>
      <c r="BF332" s="276" t="s">
        <v>1405</v>
      </c>
      <c r="BG332" s="83" t="s">
        <v>3061</v>
      </c>
      <c r="BH332" s="275" t="s">
        <v>1405</v>
      </c>
      <c r="BI332" s="189" t="s">
        <v>3062</v>
      </c>
      <c r="BJ332" s="83" t="s">
        <v>3063</v>
      </c>
      <c r="BK332" s="83" t="s">
        <v>3064</v>
      </c>
      <c r="BL332" s="83" t="s">
        <v>3065</v>
      </c>
      <c r="BM332" s="275" t="s">
        <v>1405</v>
      </c>
      <c r="BN332" s="275">
        <v>0</v>
      </c>
      <c r="BO332" s="275">
        <v>300</v>
      </c>
      <c r="BP332" s="77"/>
      <c r="BQ332" s="173">
        <f t="shared" si="167"/>
        <v>300</v>
      </c>
      <c r="BR332" s="275">
        <v>5</v>
      </c>
      <c r="BS332" s="94">
        <f>+BN332-(((BQ332)/5)*(-1))</f>
        <v>60</v>
      </c>
      <c r="BT332" s="182">
        <v>52</v>
      </c>
      <c r="BU332" s="94">
        <f>+BT332-BN332</f>
        <v>52</v>
      </c>
      <c r="BV332" s="188">
        <f>+BU332/BQ332</f>
        <v>0.17333333333333334</v>
      </c>
      <c r="BW332" s="94">
        <f>+BN332-(((BQ332)/5)*(-2))</f>
        <v>120</v>
      </c>
      <c r="BX332" s="182">
        <f>52+185</f>
        <v>237</v>
      </c>
      <c r="BY332" s="94">
        <f t="shared" si="170"/>
        <v>237</v>
      </c>
      <c r="BZ332" s="89">
        <f t="shared" si="171"/>
        <v>0.79</v>
      </c>
      <c r="CA332" s="94">
        <f>+BN332-(((BQ332)/5)*(-3))</f>
        <v>180</v>
      </c>
      <c r="CB332" s="188"/>
      <c r="CC332" s="94">
        <f t="shared" si="172"/>
        <v>0</v>
      </c>
      <c r="CD332" s="188">
        <f t="shared" si="173"/>
        <v>0</v>
      </c>
      <c r="CE332" s="94">
        <f>+BN332-(((BQ332)/5)*(-4))</f>
        <v>240</v>
      </c>
      <c r="CF332" s="188"/>
      <c r="CG332" s="94">
        <f t="shared" si="174"/>
        <v>0</v>
      </c>
      <c r="CH332" s="188">
        <f t="shared" si="175"/>
        <v>0</v>
      </c>
      <c r="CI332" s="94">
        <f>+BN332-(((BQ332)/5)*(-5))</f>
        <v>300</v>
      </c>
      <c r="CJ332" s="188"/>
      <c r="CK332" s="94">
        <f t="shared" si="176"/>
        <v>0</v>
      </c>
      <c r="CL332" s="89">
        <f t="shared" si="177"/>
        <v>0</v>
      </c>
      <c r="CM332" s="89"/>
      <c r="CN332" s="188"/>
      <c r="CO332" s="188"/>
      <c r="CP332" s="188"/>
      <c r="CQ332" s="188"/>
      <c r="CS332" s="24">
        <v>332</v>
      </c>
    </row>
    <row r="333" spans="1:97" ht="142.5" x14ac:dyDescent="0.25">
      <c r="A333" s="276">
        <v>27</v>
      </c>
      <c r="B333" s="269" t="s">
        <v>4578</v>
      </c>
      <c r="C333" s="269">
        <v>12</v>
      </c>
      <c r="D333" s="189" t="s">
        <v>773</v>
      </c>
      <c r="E333" s="276" t="s">
        <v>787</v>
      </c>
      <c r="F333" s="189" t="s">
        <v>785</v>
      </c>
      <c r="G333" s="172">
        <v>2</v>
      </c>
      <c r="H333" s="276" t="s">
        <v>788</v>
      </c>
      <c r="I333" s="276">
        <v>333</v>
      </c>
      <c r="J333" s="276" t="s">
        <v>789</v>
      </c>
      <c r="K333" s="276" t="s">
        <v>1141</v>
      </c>
      <c r="L333" s="189" t="s">
        <v>790</v>
      </c>
      <c r="M333" s="276" t="s">
        <v>773</v>
      </c>
      <c r="N333" s="189" t="s">
        <v>783</v>
      </c>
      <c r="O333" s="189" t="s">
        <v>78</v>
      </c>
      <c r="P333" s="276" t="s">
        <v>91</v>
      </c>
      <c r="Q333" s="276" t="s">
        <v>784</v>
      </c>
      <c r="R333" s="276"/>
      <c r="S333" s="276"/>
      <c r="T333" s="276" t="s">
        <v>79</v>
      </c>
      <c r="U333" s="276"/>
      <c r="V333" s="276"/>
      <c r="W333" s="276"/>
      <c r="X333" s="173" t="e">
        <f>100/COUNTIFS(($B$4:$B$14),C333,($D$4:$D$14),E333)</f>
        <v>#DIV/0!</v>
      </c>
      <c r="Y333" s="276">
        <f>COUNTIF(T333,"RS")</f>
        <v>0</v>
      </c>
      <c r="Z333" s="276">
        <v>1</v>
      </c>
      <c r="AA333" s="77" t="s">
        <v>1220</v>
      </c>
      <c r="AB333" s="276"/>
      <c r="AC333" s="275"/>
      <c r="AD333" s="189"/>
      <c r="AE333" s="189"/>
      <c r="AF333" s="79"/>
      <c r="AG333" s="77" t="s">
        <v>1364</v>
      </c>
      <c r="AH333" s="77"/>
      <c r="AI333" s="275">
        <v>1</v>
      </c>
      <c r="AJ333" s="83" t="str">
        <f>CONCATENATE(K333,AI333)</f>
        <v>12023331</v>
      </c>
      <c r="AK333" s="83" t="s">
        <v>3066</v>
      </c>
      <c r="AL333" s="189" t="s">
        <v>137</v>
      </c>
      <c r="AM333" s="189"/>
      <c r="AN333" s="275" t="s">
        <v>1405</v>
      </c>
      <c r="AO333" s="276" t="s">
        <v>1369</v>
      </c>
      <c r="AP333" s="189" t="s">
        <v>3067</v>
      </c>
      <c r="AQ333" s="189" t="s">
        <v>3081</v>
      </c>
      <c r="AR333" s="189" t="s">
        <v>3067</v>
      </c>
      <c r="AS333" s="189" t="s">
        <v>3057</v>
      </c>
      <c r="AT333" s="275" t="s">
        <v>1405</v>
      </c>
      <c r="AU333" s="275" t="s">
        <v>1405</v>
      </c>
      <c r="AV333" s="276" t="s">
        <v>3068</v>
      </c>
      <c r="AW333" s="276" t="s">
        <v>1405</v>
      </c>
      <c r="AX333" s="275">
        <v>1</v>
      </c>
      <c r="AY333" s="276" t="str">
        <f>CONCATENATE(AJ333,AX333)</f>
        <v>120233311</v>
      </c>
      <c r="AZ333" s="276" t="s">
        <v>3059</v>
      </c>
      <c r="BA333" s="83" t="s">
        <v>3069</v>
      </c>
      <c r="BB333" s="83" t="s">
        <v>1392</v>
      </c>
      <c r="BC333" s="276" t="s">
        <v>11</v>
      </c>
      <c r="BD333" s="275" t="s">
        <v>3070</v>
      </c>
      <c r="BE333" s="276" t="s">
        <v>9</v>
      </c>
      <c r="BF333" s="276" t="s">
        <v>9</v>
      </c>
      <c r="BG333" s="83" t="s">
        <v>3071</v>
      </c>
      <c r="BH333" s="276" t="s">
        <v>1405</v>
      </c>
      <c r="BI333" s="189" t="s">
        <v>3062</v>
      </c>
      <c r="BJ333" s="83" t="s">
        <v>3063</v>
      </c>
      <c r="BK333" s="83" t="s">
        <v>3064</v>
      </c>
      <c r="BL333" s="83" t="s">
        <v>3065</v>
      </c>
      <c r="BM333" s="275">
        <v>2015</v>
      </c>
      <c r="BN333" s="276">
        <v>144</v>
      </c>
      <c r="BO333" s="275">
        <f>144+20</f>
        <v>164</v>
      </c>
      <c r="BP333" s="77"/>
      <c r="BQ333" s="173">
        <f t="shared" si="167"/>
        <v>20</v>
      </c>
      <c r="BR333" s="275">
        <v>5</v>
      </c>
      <c r="BS333" s="94">
        <f>+BN333-(((BQ333)/5)*(-1))</f>
        <v>148</v>
      </c>
      <c r="BT333" s="94">
        <f>BN333+5</f>
        <v>149</v>
      </c>
      <c r="BU333" s="94">
        <f>+BT333-BN333</f>
        <v>5</v>
      </c>
      <c r="BV333" s="188">
        <f>+BU333/BQ333</f>
        <v>0.25</v>
      </c>
      <c r="BW333" s="94">
        <f>+BN333-(((BQ333)/5)*(-2))</f>
        <v>152</v>
      </c>
      <c r="BX333" s="94">
        <f>BT333+6</f>
        <v>155</v>
      </c>
      <c r="BY333" s="94">
        <f t="shared" si="170"/>
        <v>11</v>
      </c>
      <c r="BZ333" s="89">
        <f t="shared" si="171"/>
        <v>0.55000000000000004</v>
      </c>
      <c r="CA333" s="94">
        <f>+BN333-(((BQ333)/5)*(-3))</f>
        <v>156</v>
      </c>
      <c r="CB333" s="188"/>
      <c r="CC333" s="94">
        <f t="shared" si="172"/>
        <v>-144</v>
      </c>
      <c r="CD333" s="188">
        <f t="shared" si="173"/>
        <v>-7.2</v>
      </c>
      <c r="CE333" s="94">
        <f>+BN333-(((BQ333)/5)*(-4))</f>
        <v>160</v>
      </c>
      <c r="CF333" s="188"/>
      <c r="CG333" s="94">
        <f t="shared" si="174"/>
        <v>-144</v>
      </c>
      <c r="CH333" s="188">
        <f t="shared" si="175"/>
        <v>-7.2</v>
      </c>
      <c r="CI333" s="94">
        <f>+BN333-(((BQ333)/5)*(-5))</f>
        <v>164</v>
      </c>
      <c r="CJ333" s="188"/>
      <c r="CK333" s="94">
        <f t="shared" si="176"/>
        <v>-144</v>
      </c>
      <c r="CL333" s="89">
        <f t="shared" si="177"/>
        <v>-7.2</v>
      </c>
      <c r="CM333" s="89"/>
      <c r="CN333" s="188"/>
      <c r="CO333" s="188"/>
      <c r="CP333" s="188"/>
      <c r="CQ333" s="188"/>
      <c r="CS333" s="2">
        <v>333</v>
      </c>
    </row>
    <row r="334" spans="1:97" ht="327.75" x14ac:dyDescent="0.25">
      <c r="A334" s="276">
        <v>27</v>
      </c>
      <c r="B334" s="269" t="s">
        <v>4578</v>
      </c>
      <c r="C334" s="269">
        <v>12</v>
      </c>
      <c r="D334" s="189" t="s">
        <v>773</v>
      </c>
      <c r="E334" s="276" t="s">
        <v>787</v>
      </c>
      <c r="F334" s="189" t="s">
        <v>785</v>
      </c>
      <c r="G334" s="172">
        <v>5</v>
      </c>
      <c r="H334" s="276" t="s">
        <v>793</v>
      </c>
      <c r="I334" s="276">
        <v>336</v>
      </c>
      <c r="J334" s="276" t="s">
        <v>794</v>
      </c>
      <c r="K334" s="276" t="s">
        <v>1144</v>
      </c>
      <c r="L334" s="189" t="s">
        <v>795</v>
      </c>
      <c r="M334" s="276" t="s">
        <v>773</v>
      </c>
      <c r="N334" s="189" t="s">
        <v>783</v>
      </c>
      <c r="O334" s="189" t="s">
        <v>78</v>
      </c>
      <c r="P334" s="276" t="s">
        <v>91</v>
      </c>
      <c r="Q334" s="276" t="s">
        <v>784</v>
      </c>
      <c r="R334" s="276"/>
      <c r="S334" s="276"/>
      <c r="T334" s="276" t="s">
        <v>79</v>
      </c>
      <c r="U334" s="276"/>
      <c r="V334" s="276"/>
      <c r="W334" s="276"/>
      <c r="X334" s="173" t="e">
        <f>100/COUNTIFS(($B$4:$B$14),C334,($D$4:$D$14),E334)</f>
        <v>#DIV/0!</v>
      </c>
      <c r="Y334" s="276">
        <f>COUNTIF(T334,"RS")</f>
        <v>0</v>
      </c>
      <c r="Z334" s="276">
        <v>1</v>
      </c>
      <c r="AA334" s="77" t="s">
        <v>1220</v>
      </c>
      <c r="AB334" s="276"/>
      <c r="AC334" s="275"/>
      <c r="AD334" s="189"/>
      <c r="AE334" s="189"/>
      <c r="AF334" s="79"/>
      <c r="AG334" s="77" t="s">
        <v>1364</v>
      </c>
      <c r="AH334" s="77"/>
      <c r="AI334" s="275">
        <v>1</v>
      </c>
      <c r="AJ334" s="83" t="str">
        <f>CONCATENATE(K334,AI334)</f>
        <v>12023361</v>
      </c>
      <c r="AK334" s="83" t="s">
        <v>3072</v>
      </c>
      <c r="AL334" s="189" t="s">
        <v>137</v>
      </c>
      <c r="AM334" s="189"/>
      <c r="AN334" s="275" t="s">
        <v>1405</v>
      </c>
      <c r="AO334" s="275" t="s">
        <v>1369</v>
      </c>
      <c r="AP334" s="189" t="s">
        <v>3073</v>
      </c>
      <c r="AQ334" s="189" t="s">
        <v>3082</v>
      </c>
      <c r="AR334" s="189" t="s">
        <v>3074</v>
      </c>
      <c r="AS334" s="189" t="s">
        <v>3075</v>
      </c>
      <c r="AT334" s="275" t="s">
        <v>1405</v>
      </c>
      <c r="AU334" s="275" t="s">
        <v>1405</v>
      </c>
      <c r="AV334" s="275" t="s">
        <v>3076</v>
      </c>
      <c r="AW334" s="276" t="s">
        <v>1405</v>
      </c>
      <c r="AX334" s="275">
        <v>1</v>
      </c>
      <c r="AY334" s="276" t="str">
        <f>CONCATENATE(AJ334,AX334)</f>
        <v>120233611</v>
      </c>
      <c r="AZ334" s="276" t="s">
        <v>3059</v>
      </c>
      <c r="BA334" s="83" t="s">
        <v>3060</v>
      </c>
      <c r="BB334" s="83" t="s">
        <v>1392</v>
      </c>
      <c r="BC334" s="276" t="s">
        <v>11</v>
      </c>
      <c r="BD334" s="275" t="s">
        <v>3076</v>
      </c>
      <c r="BE334" s="276" t="s">
        <v>1593</v>
      </c>
      <c r="BF334" s="276" t="s">
        <v>1405</v>
      </c>
      <c r="BG334" s="189" t="s">
        <v>3075</v>
      </c>
      <c r="BH334" s="189" t="s">
        <v>3077</v>
      </c>
      <c r="BI334" s="189" t="s">
        <v>3078</v>
      </c>
      <c r="BJ334" s="189" t="s">
        <v>3079</v>
      </c>
      <c r="BK334" s="276" t="s">
        <v>1405</v>
      </c>
      <c r="BL334" s="276" t="s">
        <v>1405</v>
      </c>
      <c r="BM334" s="275">
        <v>2015</v>
      </c>
      <c r="BN334" s="275">
        <v>5</v>
      </c>
      <c r="BO334" s="275">
        <v>8</v>
      </c>
      <c r="BP334" s="77"/>
      <c r="BQ334" s="173">
        <f t="shared" si="167"/>
        <v>3</v>
      </c>
      <c r="BR334" s="275">
        <v>5</v>
      </c>
      <c r="BS334" s="94">
        <f>+BM334-(((BQ334)/5)*(-1))</f>
        <v>2015.6</v>
      </c>
      <c r="BT334" s="94">
        <f>BN334</f>
        <v>5</v>
      </c>
      <c r="BU334" s="94">
        <f>+BT334-BN334</f>
        <v>0</v>
      </c>
      <c r="BV334" s="188">
        <f>+BU334/BQ334</f>
        <v>0</v>
      </c>
      <c r="BW334" s="94">
        <f>+BN334-(((BQ334)/5)*(-2))</f>
        <v>6.2</v>
      </c>
      <c r="BX334" s="94">
        <f>BT334+1</f>
        <v>6</v>
      </c>
      <c r="BY334" s="94">
        <f t="shared" si="170"/>
        <v>1</v>
      </c>
      <c r="BZ334" s="89">
        <f t="shared" si="171"/>
        <v>0.33333333333333331</v>
      </c>
      <c r="CA334" s="94">
        <f>+BN334-(((BQ334)/5)*(-3))</f>
        <v>6.8</v>
      </c>
      <c r="CB334" s="188"/>
      <c r="CC334" s="94">
        <f t="shared" si="172"/>
        <v>-5</v>
      </c>
      <c r="CD334" s="188">
        <f t="shared" si="173"/>
        <v>-1.6666666666666667</v>
      </c>
      <c r="CE334" s="94">
        <f>+BM334-(((BQ334)/5)*(-4))</f>
        <v>2017.4</v>
      </c>
      <c r="CF334" s="188"/>
      <c r="CG334" s="94">
        <f t="shared" si="174"/>
        <v>-5</v>
      </c>
      <c r="CH334" s="188">
        <f t="shared" si="175"/>
        <v>-1.6666666666666667</v>
      </c>
      <c r="CI334" s="94">
        <f>+BN334-(((BQ334)/5)*(-5))</f>
        <v>8</v>
      </c>
      <c r="CJ334" s="188"/>
      <c r="CK334" s="94">
        <f t="shared" si="176"/>
        <v>-5</v>
      </c>
      <c r="CL334" s="89">
        <f t="shared" si="177"/>
        <v>-1.6666666666666667</v>
      </c>
      <c r="CM334" s="89"/>
      <c r="CN334" s="188"/>
      <c r="CO334" s="188"/>
      <c r="CP334" s="188"/>
      <c r="CQ334" s="188"/>
      <c r="CS334" s="24">
        <v>334</v>
      </c>
    </row>
  </sheetData>
  <sortState ref="A4:CQ334">
    <sortCondition ref="C4:C334"/>
    <sortCondition ref="E4:E334"/>
  </sortState>
  <mergeCells count="9">
    <mergeCell ref="CM1:CN2"/>
    <mergeCell ref="CO1:CQ2"/>
    <mergeCell ref="BS1:CL2"/>
    <mergeCell ref="AC1:AG2"/>
    <mergeCell ref="B1:L2"/>
    <mergeCell ref="AH1:AW2"/>
    <mergeCell ref="AX1:BL2"/>
    <mergeCell ref="M1:AA2"/>
    <mergeCell ref="BM1:BR2"/>
  </mergeCells>
  <conditionalFormatting sqref="CM4:CM19">
    <cfRule type="iconSet" priority="2290">
      <iconSet iconSet="4TrafficLights">
        <cfvo type="percent" val="0"/>
        <cfvo type="num" val="0.25"/>
        <cfvo type="num" val="0.5"/>
        <cfvo type="num" val="0.75"/>
      </iconSet>
    </cfRule>
    <cfRule type="cellIs" dxfId="978" priority="2291" operator="lessThan">
      <formula>0</formula>
    </cfRule>
  </conditionalFormatting>
  <conditionalFormatting sqref="BZ4:BZ19">
    <cfRule type="iconSet" priority="2014">
      <iconSet iconSet="4TrafficLights">
        <cfvo type="percent" val="0"/>
        <cfvo type="num" val="0.25"/>
        <cfvo type="num" val="0.5"/>
        <cfvo type="num" val="0.75"/>
      </iconSet>
    </cfRule>
    <cfRule type="cellIs" dxfId="977" priority="2015" stopIfTrue="1" operator="lessThan">
      <formula>0</formula>
    </cfRule>
  </conditionalFormatting>
  <conditionalFormatting sqref="CD4:CD19">
    <cfRule type="iconSet" priority="2012">
      <iconSet iconSet="4TrafficLights">
        <cfvo type="percent" val="0"/>
        <cfvo type="num" val="0.25"/>
        <cfvo type="num" val="0.5"/>
        <cfvo type="num" val="0.75"/>
      </iconSet>
    </cfRule>
    <cfRule type="cellIs" dxfId="976" priority="2013" operator="lessThan">
      <formula>0</formula>
    </cfRule>
  </conditionalFormatting>
  <conditionalFormatting sqref="CH4:CH19">
    <cfRule type="iconSet" priority="2010">
      <iconSet iconSet="4TrafficLights">
        <cfvo type="percent" val="0"/>
        <cfvo type="num" val="0.25"/>
        <cfvo type="num" val="0.5"/>
        <cfvo type="num" val="0.75"/>
      </iconSet>
    </cfRule>
    <cfRule type="cellIs" dxfId="975" priority="2011" operator="lessThan">
      <formula>0</formula>
    </cfRule>
  </conditionalFormatting>
  <conditionalFormatting sqref="CL4:CL19">
    <cfRule type="iconSet" priority="2008">
      <iconSet iconSet="4TrafficLights">
        <cfvo type="percent" val="0"/>
        <cfvo type="num" val="0.25"/>
        <cfvo type="num" val="0.5"/>
        <cfvo type="num" val="0.75"/>
      </iconSet>
    </cfRule>
    <cfRule type="cellIs" dxfId="974" priority="2009" operator="lessThan">
      <formula>0</formula>
    </cfRule>
  </conditionalFormatting>
  <conditionalFormatting sqref="CM40:CM41">
    <cfRule type="iconSet" priority="2006">
      <iconSet iconSet="4TrafficLights">
        <cfvo type="percent" val="0"/>
        <cfvo type="num" val="0.25"/>
        <cfvo type="num" val="0.5"/>
        <cfvo type="num" val="0.75"/>
      </iconSet>
    </cfRule>
    <cfRule type="cellIs" dxfId="973" priority="2007" operator="lessThan">
      <formula>0</formula>
    </cfRule>
  </conditionalFormatting>
  <conditionalFormatting sqref="CD20">
    <cfRule type="iconSet" priority="1974">
      <iconSet iconSet="4TrafficLights">
        <cfvo type="percent" val="0"/>
        <cfvo type="num" val="0.25"/>
        <cfvo type="num" val="0.5"/>
        <cfvo type="num" val="0.75"/>
      </iconSet>
    </cfRule>
    <cfRule type="cellIs" dxfId="972" priority="1975" operator="lessThan">
      <formula>0</formula>
    </cfRule>
  </conditionalFormatting>
  <conditionalFormatting sqref="CH20">
    <cfRule type="iconSet" priority="1972">
      <iconSet iconSet="4TrafficLights">
        <cfvo type="percent" val="0"/>
        <cfvo type="num" val="0.25"/>
        <cfvo type="num" val="0.5"/>
        <cfvo type="num" val="0.75"/>
      </iconSet>
    </cfRule>
    <cfRule type="cellIs" dxfId="971" priority="1973" operator="lessThan">
      <formula>0</formula>
    </cfRule>
  </conditionalFormatting>
  <conditionalFormatting sqref="BZ20">
    <cfRule type="iconSet" priority="1978">
      <iconSet iconSet="4TrafficLights">
        <cfvo type="percent" val="0"/>
        <cfvo type="num" val="0.25"/>
        <cfvo type="num" val="0.5"/>
        <cfvo type="num" val="0.75"/>
      </iconSet>
    </cfRule>
    <cfRule type="cellIs" dxfId="970" priority="1979" stopIfTrue="1" operator="lessThan">
      <formula>0</formula>
    </cfRule>
  </conditionalFormatting>
  <conditionalFormatting sqref="CL20">
    <cfRule type="iconSet" priority="1980">
      <iconSet iconSet="4TrafficLights">
        <cfvo type="percent" val="0"/>
        <cfvo type="num" val="0.25"/>
        <cfvo type="num" val="0.5"/>
        <cfvo type="num" val="0.75"/>
      </iconSet>
    </cfRule>
    <cfRule type="cellIs" dxfId="969" priority="1981" operator="lessThan">
      <formula>0</formula>
    </cfRule>
  </conditionalFormatting>
  <conditionalFormatting sqref="CD22">
    <cfRule type="iconSet" priority="1950">
      <iconSet iconSet="4TrafficLights">
        <cfvo type="percent" val="0"/>
        <cfvo type="num" val="0.25"/>
        <cfvo type="num" val="0.5"/>
        <cfvo type="num" val="0.75"/>
      </iconSet>
    </cfRule>
    <cfRule type="cellIs" dxfId="968" priority="1951" operator="lessThan">
      <formula>0</formula>
    </cfRule>
  </conditionalFormatting>
  <conditionalFormatting sqref="CH22">
    <cfRule type="iconSet" priority="1948">
      <iconSet iconSet="4TrafficLights">
        <cfvo type="percent" val="0"/>
        <cfvo type="num" val="0.25"/>
        <cfvo type="num" val="0.5"/>
        <cfvo type="num" val="0.75"/>
      </iconSet>
    </cfRule>
    <cfRule type="cellIs" dxfId="967" priority="1949" operator="lessThan">
      <formula>0</formula>
    </cfRule>
  </conditionalFormatting>
  <conditionalFormatting sqref="BZ22">
    <cfRule type="iconSet" priority="1954">
      <iconSet iconSet="4TrafficLights">
        <cfvo type="percent" val="0"/>
        <cfvo type="num" val="0.25"/>
        <cfvo type="num" val="0.5"/>
        <cfvo type="num" val="0.75"/>
      </iconSet>
    </cfRule>
    <cfRule type="cellIs" dxfId="966" priority="1955" stopIfTrue="1" operator="lessThan">
      <formula>0</formula>
    </cfRule>
  </conditionalFormatting>
  <conditionalFormatting sqref="CL22">
    <cfRule type="iconSet" priority="1956">
      <iconSet iconSet="4TrafficLights">
        <cfvo type="percent" val="0"/>
        <cfvo type="num" val="0.25"/>
        <cfvo type="num" val="0.5"/>
        <cfvo type="num" val="0.75"/>
      </iconSet>
    </cfRule>
    <cfRule type="cellIs" dxfId="965" priority="1957" operator="lessThan">
      <formula>0</formula>
    </cfRule>
  </conditionalFormatting>
  <conditionalFormatting sqref="CD21">
    <cfRule type="iconSet" priority="1938">
      <iconSet iconSet="4TrafficLights">
        <cfvo type="percent" val="0"/>
        <cfvo type="num" val="0.25"/>
        <cfvo type="num" val="0.5"/>
        <cfvo type="num" val="0.75"/>
      </iconSet>
    </cfRule>
    <cfRule type="cellIs" dxfId="964" priority="1939" operator="lessThan">
      <formula>0</formula>
    </cfRule>
  </conditionalFormatting>
  <conditionalFormatting sqref="CH21">
    <cfRule type="iconSet" priority="1936">
      <iconSet iconSet="4TrafficLights">
        <cfvo type="percent" val="0"/>
        <cfvo type="num" val="0.25"/>
        <cfvo type="num" val="0.5"/>
        <cfvo type="num" val="0.75"/>
      </iconSet>
    </cfRule>
    <cfRule type="cellIs" dxfId="963" priority="1937" operator="lessThan">
      <formula>0</formula>
    </cfRule>
  </conditionalFormatting>
  <conditionalFormatting sqref="BZ21">
    <cfRule type="iconSet" priority="1942">
      <iconSet iconSet="4TrafficLights">
        <cfvo type="percent" val="0"/>
        <cfvo type="num" val="0.25"/>
        <cfvo type="num" val="0.5"/>
        <cfvo type="num" val="0.75"/>
      </iconSet>
    </cfRule>
    <cfRule type="cellIs" dxfId="962" priority="1943" stopIfTrue="1" operator="lessThan">
      <formula>0</formula>
    </cfRule>
  </conditionalFormatting>
  <conditionalFormatting sqref="CL21">
    <cfRule type="iconSet" priority="1944">
      <iconSet iconSet="4TrafficLights">
        <cfvo type="percent" val="0"/>
        <cfvo type="num" val="0.25"/>
        <cfvo type="num" val="0.5"/>
        <cfvo type="num" val="0.75"/>
      </iconSet>
    </cfRule>
    <cfRule type="cellIs" dxfId="961" priority="1945" operator="lessThan">
      <formula>0</formula>
    </cfRule>
  </conditionalFormatting>
  <conditionalFormatting sqref="CD24">
    <cfRule type="iconSet" priority="1914">
      <iconSet iconSet="4TrafficLights">
        <cfvo type="percent" val="0"/>
        <cfvo type="num" val="0.25"/>
        <cfvo type="num" val="0.5"/>
        <cfvo type="num" val="0.75"/>
      </iconSet>
    </cfRule>
    <cfRule type="cellIs" dxfId="960" priority="1915" operator="lessThan">
      <formula>0</formula>
    </cfRule>
  </conditionalFormatting>
  <conditionalFormatting sqref="CH24">
    <cfRule type="iconSet" priority="1912">
      <iconSet iconSet="4TrafficLights">
        <cfvo type="percent" val="0"/>
        <cfvo type="num" val="0.25"/>
        <cfvo type="num" val="0.5"/>
        <cfvo type="num" val="0.75"/>
      </iconSet>
    </cfRule>
    <cfRule type="cellIs" dxfId="959" priority="1913" operator="lessThan">
      <formula>0</formula>
    </cfRule>
  </conditionalFormatting>
  <conditionalFormatting sqref="BZ24">
    <cfRule type="iconSet" priority="1918">
      <iconSet iconSet="4TrafficLights">
        <cfvo type="percent" val="0"/>
        <cfvo type="num" val="0.25"/>
        <cfvo type="num" val="0.5"/>
        <cfvo type="num" val="0.75"/>
      </iconSet>
    </cfRule>
    <cfRule type="cellIs" dxfId="958" priority="1919" stopIfTrue="1" operator="lessThan">
      <formula>0</formula>
    </cfRule>
  </conditionalFormatting>
  <conditionalFormatting sqref="CL24">
    <cfRule type="iconSet" priority="1920">
      <iconSet iconSet="4TrafficLights">
        <cfvo type="percent" val="0"/>
        <cfvo type="num" val="0.25"/>
        <cfvo type="num" val="0.5"/>
        <cfvo type="num" val="0.75"/>
      </iconSet>
    </cfRule>
    <cfRule type="cellIs" dxfId="957" priority="1921" operator="lessThan">
      <formula>0</formula>
    </cfRule>
  </conditionalFormatting>
  <conditionalFormatting sqref="CD23">
    <cfRule type="iconSet" priority="2338">
      <iconSet iconSet="4TrafficLights">
        <cfvo type="percent" val="0"/>
        <cfvo type="num" val="0.25"/>
        <cfvo type="num" val="0.5"/>
        <cfvo type="num" val="0.75"/>
      </iconSet>
    </cfRule>
    <cfRule type="cellIs" dxfId="956" priority="2339" operator="lessThan">
      <formula>0</formula>
    </cfRule>
  </conditionalFormatting>
  <conditionalFormatting sqref="CH23">
    <cfRule type="iconSet" priority="2340">
      <iconSet iconSet="4TrafficLights">
        <cfvo type="percent" val="0"/>
        <cfvo type="num" val="0.25"/>
        <cfvo type="num" val="0.5"/>
        <cfvo type="num" val="0.75"/>
      </iconSet>
    </cfRule>
    <cfRule type="cellIs" dxfId="955" priority="2341" operator="lessThan">
      <formula>0</formula>
    </cfRule>
  </conditionalFormatting>
  <conditionalFormatting sqref="BZ23">
    <cfRule type="iconSet" priority="2344">
      <iconSet iconSet="4TrafficLights">
        <cfvo type="percent" val="0"/>
        <cfvo type="num" val="0.25"/>
        <cfvo type="num" val="0.5"/>
        <cfvo type="num" val="0.75"/>
      </iconSet>
    </cfRule>
    <cfRule type="cellIs" dxfId="954" priority="2345" stopIfTrue="1" operator="lessThan">
      <formula>0</formula>
    </cfRule>
  </conditionalFormatting>
  <conditionalFormatting sqref="CL23">
    <cfRule type="iconSet" priority="2346">
      <iconSet iconSet="4TrafficLights">
        <cfvo type="percent" val="0"/>
        <cfvo type="num" val="0.25"/>
        <cfvo type="num" val="0.5"/>
        <cfvo type="num" val="0.75"/>
      </iconSet>
    </cfRule>
    <cfRule type="cellIs" dxfId="953" priority="2347" operator="lessThan">
      <formula>0</formula>
    </cfRule>
  </conditionalFormatting>
  <conditionalFormatting sqref="CD25">
    <cfRule type="iconSet" priority="2388">
      <iconSet iconSet="4TrafficLights">
        <cfvo type="percent" val="0"/>
        <cfvo type="num" val="0.25"/>
        <cfvo type="num" val="0.5"/>
        <cfvo type="num" val="0.75"/>
      </iconSet>
    </cfRule>
    <cfRule type="cellIs" dxfId="952" priority="2389" operator="lessThan">
      <formula>0</formula>
    </cfRule>
  </conditionalFormatting>
  <conditionalFormatting sqref="CH25">
    <cfRule type="iconSet" priority="2390">
      <iconSet iconSet="4TrafficLights">
        <cfvo type="percent" val="0"/>
        <cfvo type="num" val="0.25"/>
        <cfvo type="num" val="0.5"/>
        <cfvo type="num" val="0.75"/>
      </iconSet>
    </cfRule>
    <cfRule type="cellIs" dxfId="951" priority="2391" operator="lessThan">
      <formula>0</formula>
    </cfRule>
  </conditionalFormatting>
  <conditionalFormatting sqref="BZ25">
    <cfRule type="iconSet" priority="2394">
      <iconSet iconSet="4TrafficLights">
        <cfvo type="percent" val="0"/>
        <cfvo type="num" val="0.25"/>
        <cfvo type="num" val="0.5"/>
        <cfvo type="num" val="0.75"/>
      </iconSet>
    </cfRule>
    <cfRule type="cellIs" dxfId="950" priority="2395" stopIfTrue="1" operator="lessThan">
      <formula>0</formula>
    </cfRule>
  </conditionalFormatting>
  <conditionalFormatting sqref="CL25">
    <cfRule type="iconSet" priority="2396">
      <iconSet iconSet="4TrafficLights">
        <cfvo type="percent" val="0"/>
        <cfvo type="num" val="0.25"/>
        <cfvo type="num" val="0.5"/>
        <cfvo type="num" val="0.75"/>
      </iconSet>
    </cfRule>
    <cfRule type="cellIs" dxfId="949" priority="2397" operator="lessThan">
      <formula>0</formula>
    </cfRule>
  </conditionalFormatting>
  <conditionalFormatting sqref="CM42:CM43">
    <cfRule type="iconSet" priority="1878">
      <iconSet iconSet="4TrafficLights">
        <cfvo type="percent" val="0"/>
        <cfvo type="num" val="0.25"/>
        <cfvo type="num" val="0.5"/>
        <cfvo type="num" val="0.75"/>
      </iconSet>
    </cfRule>
    <cfRule type="cellIs" dxfId="948" priority="1879" operator="lessThan">
      <formula>0</formula>
    </cfRule>
  </conditionalFormatting>
  <conditionalFormatting sqref="CM44:CM46">
    <cfRule type="iconSet" priority="1864">
      <iconSet iconSet="4TrafficLights">
        <cfvo type="percent" val="0"/>
        <cfvo type="num" val="0.25"/>
        <cfvo type="num" val="0.5"/>
        <cfvo type="num" val="0.75"/>
      </iconSet>
    </cfRule>
    <cfRule type="cellIs" dxfId="947" priority="1865" operator="lessThan">
      <formula>0</formula>
    </cfRule>
  </conditionalFormatting>
  <conditionalFormatting sqref="BZ51">
    <cfRule type="iconSet" priority="1862">
      <iconSet iconSet="4TrafficLights">
        <cfvo type="percent" val="0"/>
        <cfvo type="num" val="0.25"/>
        <cfvo type="num" val="0.5"/>
        <cfvo type="num" val="0.75"/>
      </iconSet>
    </cfRule>
    <cfRule type="cellIs" dxfId="946" priority="1863" stopIfTrue="1" operator="lessThan">
      <formula>0</formula>
    </cfRule>
  </conditionalFormatting>
  <conditionalFormatting sqref="CD51">
    <cfRule type="iconSet" priority="1860">
      <iconSet iconSet="4TrafficLights">
        <cfvo type="percent" val="0"/>
        <cfvo type="num" val="0.25"/>
        <cfvo type="num" val="0.5"/>
        <cfvo type="num" val="0.75"/>
      </iconSet>
    </cfRule>
    <cfRule type="cellIs" dxfId="945" priority="1861" operator="lessThan">
      <formula>0</formula>
    </cfRule>
  </conditionalFormatting>
  <conditionalFormatting sqref="CH51">
    <cfRule type="iconSet" priority="1858">
      <iconSet iconSet="4TrafficLights">
        <cfvo type="percent" val="0"/>
        <cfvo type="num" val="0.25"/>
        <cfvo type="num" val="0.5"/>
        <cfvo type="num" val="0.75"/>
      </iconSet>
    </cfRule>
    <cfRule type="cellIs" dxfId="944" priority="1859" operator="lessThan">
      <formula>0</formula>
    </cfRule>
  </conditionalFormatting>
  <conditionalFormatting sqref="CL51">
    <cfRule type="iconSet" priority="1856">
      <iconSet iconSet="4TrafficLights">
        <cfvo type="percent" val="0"/>
        <cfvo type="num" val="0.25"/>
        <cfvo type="num" val="0.5"/>
        <cfvo type="num" val="0.75"/>
      </iconSet>
    </cfRule>
    <cfRule type="cellIs" dxfId="943" priority="1857" operator="lessThan">
      <formula>0</formula>
    </cfRule>
  </conditionalFormatting>
  <conditionalFormatting sqref="BV52">
    <cfRule type="iconSet" priority="1854">
      <iconSet iconSet="4TrafficLights">
        <cfvo type="percent" val="0"/>
        <cfvo type="num" val="0.25"/>
        <cfvo type="num" val="0.5"/>
        <cfvo type="num" val="0.75"/>
      </iconSet>
    </cfRule>
    <cfRule type="cellIs" dxfId="942" priority="1855" operator="lessThan">
      <formula>0</formula>
    </cfRule>
  </conditionalFormatting>
  <conditionalFormatting sqref="BZ52">
    <cfRule type="iconSet" priority="1852">
      <iconSet iconSet="4TrafficLights">
        <cfvo type="percent" val="0"/>
        <cfvo type="num" val="0.25"/>
        <cfvo type="num" val="0.5"/>
        <cfvo type="num" val="0.75"/>
      </iconSet>
    </cfRule>
    <cfRule type="cellIs" dxfId="941" priority="1853" stopIfTrue="1" operator="lessThan">
      <formula>0</formula>
    </cfRule>
  </conditionalFormatting>
  <conditionalFormatting sqref="CD52">
    <cfRule type="iconSet" priority="1850">
      <iconSet iconSet="4TrafficLights">
        <cfvo type="percent" val="0"/>
        <cfvo type="num" val="0.25"/>
        <cfvo type="num" val="0.5"/>
        <cfvo type="num" val="0.75"/>
      </iconSet>
    </cfRule>
    <cfRule type="cellIs" dxfId="940" priority="1851" operator="lessThan">
      <formula>0</formula>
    </cfRule>
  </conditionalFormatting>
  <conditionalFormatting sqref="CH52">
    <cfRule type="iconSet" priority="1848">
      <iconSet iconSet="4TrafficLights">
        <cfvo type="percent" val="0"/>
        <cfvo type="num" val="0.25"/>
        <cfvo type="num" val="0.5"/>
        <cfvo type="num" val="0.75"/>
      </iconSet>
    </cfRule>
    <cfRule type="cellIs" dxfId="939" priority="1849" operator="lessThan">
      <formula>0</formula>
    </cfRule>
  </conditionalFormatting>
  <conditionalFormatting sqref="CL52">
    <cfRule type="iconSet" priority="1846">
      <iconSet iconSet="4TrafficLights">
        <cfvo type="percent" val="0"/>
        <cfvo type="num" val="0.25"/>
        <cfvo type="num" val="0.5"/>
        <cfvo type="num" val="0.75"/>
      </iconSet>
    </cfRule>
    <cfRule type="cellIs" dxfId="938" priority="1847" operator="lessThan">
      <formula>0</formula>
    </cfRule>
  </conditionalFormatting>
  <conditionalFormatting sqref="BV48">
    <cfRule type="iconSet" priority="1844">
      <iconSet iconSet="4TrafficLights">
        <cfvo type="percent" val="0"/>
        <cfvo type="num" val="0.25"/>
        <cfvo type="num" val="0.5"/>
        <cfvo type="num" val="0.75"/>
      </iconSet>
    </cfRule>
    <cfRule type="cellIs" dxfId="937" priority="1845" operator="lessThan">
      <formula>0</formula>
    </cfRule>
  </conditionalFormatting>
  <conditionalFormatting sqref="BZ48">
    <cfRule type="iconSet" priority="1842">
      <iconSet iconSet="4TrafficLights">
        <cfvo type="percent" val="0"/>
        <cfvo type="num" val="0.25"/>
        <cfvo type="num" val="0.5"/>
        <cfvo type="num" val="0.75"/>
      </iconSet>
    </cfRule>
    <cfRule type="cellIs" dxfId="936" priority="1843" stopIfTrue="1" operator="lessThan">
      <formula>0</formula>
    </cfRule>
  </conditionalFormatting>
  <conditionalFormatting sqref="CD48">
    <cfRule type="iconSet" priority="1840">
      <iconSet iconSet="4TrafficLights">
        <cfvo type="percent" val="0"/>
        <cfvo type="num" val="0.25"/>
        <cfvo type="num" val="0.5"/>
        <cfvo type="num" val="0.75"/>
      </iconSet>
    </cfRule>
    <cfRule type="cellIs" dxfId="935" priority="1841" operator="lessThan">
      <formula>0</formula>
    </cfRule>
  </conditionalFormatting>
  <conditionalFormatting sqref="CH48">
    <cfRule type="iconSet" priority="1838">
      <iconSet iconSet="4TrafficLights">
        <cfvo type="percent" val="0"/>
        <cfvo type="num" val="0.25"/>
        <cfvo type="num" val="0.5"/>
        <cfvo type="num" val="0.75"/>
      </iconSet>
    </cfRule>
    <cfRule type="cellIs" dxfId="934" priority="1839" operator="lessThan">
      <formula>0</formula>
    </cfRule>
  </conditionalFormatting>
  <conditionalFormatting sqref="CL48">
    <cfRule type="iconSet" priority="1836">
      <iconSet iconSet="4TrafficLights">
        <cfvo type="percent" val="0"/>
        <cfvo type="num" val="0.25"/>
        <cfvo type="num" val="0.5"/>
        <cfvo type="num" val="0.75"/>
      </iconSet>
    </cfRule>
    <cfRule type="cellIs" dxfId="933" priority="1837" operator="lessThan">
      <formula>0</formula>
    </cfRule>
  </conditionalFormatting>
  <conditionalFormatting sqref="BV49">
    <cfRule type="iconSet" priority="1834">
      <iconSet iconSet="4TrafficLights">
        <cfvo type="percent" val="0"/>
        <cfvo type="num" val="0.25"/>
        <cfvo type="num" val="0.5"/>
        <cfvo type="num" val="0.75"/>
      </iconSet>
    </cfRule>
    <cfRule type="cellIs" dxfId="932" priority="1835" operator="lessThan">
      <formula>0</formula>
    </cfRule>
  </conditionalFormatting>
  <conditionalFormatting sqref="BZ49">
    <cfRule type="iconSet" priority="1832">
      <iconSet iconSet="4TrafficLights">
        <cfvo type="percent" val="0"/>
        <cfvo type="num" val="0.25"/>
        <cfvo type="num" val="0.5"/>
        <cfvo type="num" val="0.75"/>
      </iconSet>
    </cfRule>
    <cfRule type="cellIs" dxfId="931" priority="1833" stopIfTrue="1" operator="lessThan">
      <formula>0</formula>
    </cfRule>
  </conditionalFormatting>
  <conditionalFormatting sqref="CH49">
    <cfRule type="iconSet" priority="1830">
      <iconSet iconSet="4TrafficLights">
        <cfvo type="percent" val="0"/>
        <cfvo type="num" val="0.25"/>
        <cfvo type="num" val="0.5"/>
        <cfvo type="num" val="0.75"/>
      </iconSet>
    </cfRule>
    <cfRule type="cellIs" dxfId="930" priority="1831" operator="lessThan">
      <formula>0</formula>
    </cfRule>
  </conditionalFormatting>
  <conditionalFormatting sqref="CL49">
    <cfRule type="iconSet" priority="1828">
      <iconSet iconSet="4TrafficLights">
        <cfvo type="percent" val="0"/>
        <cfvo type="num" val="0.25"/>
        <cfvo type="num" val="0.5"/>
        <cfvo type="num" val="0.75"/>
      </iconSet>
    </cfRule>
    <cfRule type="cellIs" dxfId="929" priority="1829" operator="lessThan">
      <formula>0</formula>
    </cfRule>
  </conditionalFormatting>
  <conditionalFormatting sqref="BV50">
    <cfRule type="iconSet" priority="1826">
      <iconSet iconSet="4TrafficLights">
        <cfvo type="percent" val="0"/>
        <cfvo type="num" val="0.25"/>
        <cfvo type="num" val="0.5"/>
        <cfvo type="num" val="0.75"/>
      </iconSet>
    </cfRule>
    <cfRule type="cellIs" dxfId="928" priority="1827" operator="lessThan">
      <formula>0</formula>
    </cfRule>
  </conditionalFormatting>
  <conditionalFormatting sqref="BZ50">
    <cfRule type="iconSet" priority="1824">
      <iconSet iconSet="4TrafficLights">
        <cfvo type="percent" val="0"/>
        <cfvo type="num" val="0.25"/>
        <cfvo type="num" val="0.5"/>
        <cfvo type="num" val="0.75"/>
      </iconSet>
    </cfRule>
    <cfRule type="cellIs" dxfId="927" priority="1825" stopIfTrue="1" operator="lessThan">
      <formula>0</formula>
    </cfRule>
  </conditionalFormatting>
  <conditionalFormatting sqref="CD50">
    <cfRule type="iconSet" priority="1822">
      <iconSet iconSet="4TrafficLights">
        <cfvo type="percent" val="0"/>
        <cfvo type="num" val="0.25"/>
        <cfvo type="num" val="0.5"/>
        <cfvo type="num" val="0.75"/>
      </iconSet>
    </cfRule>
    <cfRule type="cellIs" dxfId="926" priority="1823" operator="lessThan">
      <formula>0</formula>
    </cfRule>
  </conditionalFormatting>
  <conditionalFormatting sqref="CH50">
    <cfRule type="iconSet" priority="1820">
      <iconSet iconSet="4TrafficLights">
        <cfvo type="percent" val="0"/>
        <cfvo type="num" val="0.25"/>
        <cfvo type="num" val="0.5"/>
        <cfvo type="num" val="0.75"/>
      </iconSet>
    </cfRule>
    <cfRule type="cellIs" dxfId="925" priority="1821" operator="lessThan">
      <formula>0</formula>
    </cfRule>
  </conditionalFormatting>
  <conditionalFormatting sqref="CL50">
    <cfRule type="iconSet" priority="1818">
      <iconSet iconSet="4TrafficLights">
        <cfvo type="percent" val="0"/>
        <cfvo type="num" val="0.25"/>
        <cfvo type="num" val="0.5"/>
        <cfvo type="num" val="0.75"/>
      </iconSet>
    </cfRule>
    <cfRule type="cellIs" dxfId="924" priority="1819" operator="lessThan">
      <formula>0</formula>
    </cfRule>
  </conditionalFormatting>
  <conditionalFormatting sqref="CD49">
    <cfRule type="iconSet" priority="1816">
      <iconSet iconSet="4TrafficLights">
        <cfvo type="percent" val="0"/>
        <cfvo type="num" val="0.25"/>
        <cfvo type="num" val="0.5"/>
        <cfvo type="num" val="0.75"/>
      </iconSet>
    </cfRule>
    <cfRule type="cellIs" dxfId="923" priority="1817" operator="lessThan">
      <formula>0</formula>
    </cfRule>
  </conditionalFormatting>
  <conditionalFormatting sqref="BV51 BV44:BV47">
    <cfRule type="iconSet" priority="1866">
      <iconSet iconSet="4TrafficLights">
        <cfvo type="percent" val="0"/>
        <cfvo type="num" val="0.25"/>
        <cfvo type="num" val="0.5"/>
        <cfvo type="num" val="0.75"/>
      </iconSet>
    </cfRule>
    <cfRule type="cellIs" dxfId="922" priority="1867" operator="lessThan">
      <formula>0</formula>
    </cfRule>
  </conditionalFormatting>
  <conditionalFormatting sqref="CD44:CD47">
    <cfRule type="iconSet" priority="1868">
      <iconSet iconSet="4TrafficLights">
        <cfvo type="percent" val="0"/>
        <cfvo type="num" val="0.25"/>
        <cfvo type="num" val="0.5"/>
        <cfvo type="num" val="0.75"/>
      </iconSet>
    </cfRule>
    <cfRule type="cellIs" dxfId="921" priority="1869" operator="lessThan">
      <formula>0</formula>
    </cfRule>
  </conditionalFormatting>
  <conditionalFormatting sqref="CH44:CH47">
    <cfRule type="iconSet" priority="1870">
      <iconSet iconSet="4TrafficLights">
        <cfvo type="percent" val="0"/>
        <cfvo type="num" val="0.25"/>
        <cfvo type="num" val="0.5"/>
        <cfvo type="num" val="0.75"/>
      </iconSet>
    </cfRule>
    <cfRule type="cellIs" dxfId="920" priority="1871" operator="lessThan">
      <formula>0</formula>
    </cfRule>
  </conditionalFormatting>
  <conditionalFormatting sqref="BZ44:BZ47">
    <cfRule type="iconSet" priority="1872">
      <iconSet iconSet="4TrafficLights">
        <cfvo type="percent" val="0"/>
        <cfvo type="num" val="0.25"/>
        <cfvo type="num" val="0.5"/>
        <cfvo type="num" val="0.75"/>
      </iconSet>
    </cfRule>
    <cfRule type="cellIs" dxfId="919" priority="1873" stopIfTrue="1" operator="lessThan">
      <formula>0</formula>
    </cfRule>
  </conditionalFormatting>
  <conditionalFormatting sqref="CL44:CL47">
    <cfRule type="iconSet" priority="1874">
      <iconSet iconSet="4TrafficLights">
        <cfvo type="percent" val="0"/>
        <cfvo type="num" val="0.25"/>
        <cfvo type="num" val="0.5"/>
        <cfvo type="num" val="0.75"/>
      </iconSet>
    </cfRule>
    <cfRule type="cellIs" dxfId="918" priority="1875" operator="lessThan">
      <formula>0</formula>
    </cfRule>
  </conditionalFormatting>
  <conditionalFormatting sqref="CM47:CM52">
    <cfRule type="iconSet" priority="1876">
      <iconSet iconSet="4TrafficLights">
        <cfvo type="percent" val="0"/>
        <cfvo type="num" val="0.25"/>
        <cfvo type="num" val="0.5"/>
        <cfvo type="num" val="0.75"/>
      </iconSet>
    </cfRule>
    <cfRule type="cellIs" dxfId="917" priority="1877" operator="lessThan">
      <formula>0</formula>
    </cfRule>
  </conditionalFormatting>
  <conditionalFormatting sqref="CD55">
    <cfRule type="iconSet" priority="1794">
      <iconSet iconSet="4TrafficLights">
        <cfvo type="percent" val="0"/>
        <cfvo type="num" val="0.25"/>
        <cfvo type="num" val="0.5"/>
        <cfvo type="num" val="0.75"/>
      </iconSet>
    </cfRule>
    <cfRule type="cellIs" dxfId="916" priority="1795" operator="lessThan">
      <formula>0</formula>
    </cfRule>
  </conditionalFormatting>
  <conditionalFormatting sqref="CH55">
    <cfRule type="iconSet" priority="1792">
      <iconSet iconSet="4TrafficLights">
        <cfvo type="percent" val="0"/>
        <cfvo type="num" val="0.25"/>
        <cfvo type="num" val="0.5"/>
        <cfvo type="num" val="0.75"/>
      </iconSet>
    </cfRule>
    <cfRule type="cellIs" dxfId="915" priority="1793" operator="lessThan">
      <formula>0</formula>
    </cfRule>
  </conditionalFormatting>
  <conditionalFormatting sqref="BV55">
    <cfRule type="iconSet" priority="1796">
      <iconSet iconSet="4TrafficLights">
        <cfvo type="percent" val="0"/>
        <cfvo type="num" val="0.25"/>
        <cfvo type="num" val="0.5"/>
        <cfvo type="num" val="0.75"/>
      </iconSet>
    </cfRule>
    <cfRule type="cellIs" dxfId="914" priority="1797" operator="lessThan">
      <formula>0</formula>
    </cfRule>
  </conditionalFormatting>
  <conditionalFormatting sqref="BZ55">
    <cfRule type="iconSet" priority="1798">
      <iconSet iconSet="4TrafficLights">
        <cfvo type="percent" val="0"/>
        <cfvo type="num" val="0.25"/>
        <cfvo type="num" val="0.5"/>
        <cfvo type="num" val="0.75"/>
      </iconSet>
    </cfRule>
    <cfRule type="cellIs" dxfId="913" priority="1799" stopIfTrue="1" operator="lessThan">
      <formula>0</formula>
    </cfRule>
  </conditionalFormatting>
  <conditionalFormatting sqref="CL55">
    <cfRule type="iconSet" priority="1800">
      <iconSet iconSet="4TrafficLights">
        <cfvo type="percent" val="0"/>
        <cfvo type="num" val="0.25"/>
        <cfvo type="num" val="0.5"/>
        <cfvo type="num" val="0.75"/>
      </iconSet>
    </cfRule>
    <cfRule type="cellIs" dxfId="912" priority="1801" operator="lessThan">
      <formula>0</formula>
    </cfRule>
  </conditionalFormatting>
  <conditionalFormatting sqref="CM55">
    <cfRule type="iconSet" priority="1802">
      <iconSet iconSet="4TrafficLights">
        <cfvo type="percent" val="0"/>
        <cfvo type="num" val="0.25"/>
        <cfvo type="num" val="0.5"/>
        <cfvo type="num" val="0.75"/>
      </iconSet>
    </cfRule>
    <cfRule type="cellIs" dxfId="911" priority="1803" operator="lessThan">
      <formula>0</formula>
    </cfRule>
  </conditionalFormatting>
  <conditionalFormatting sqref="CD56:CD57">
    <cfRule type="iconSet" priority="1782">
      <iconSet iconSet="4TrafficLights">
        <cfvo type="percent" val="0"/>
        <cfvo type="num" val="0.25"/>
        <cfvo type="num" val="0.5"/>
        <cfvo type="num" val="0.75"/>
      </iconSet>
    </cfRule>
    <cfRule type="cellIs" dxfId="910" priority="1783" operator="lessThan">
      <formula>0</formula>
    </cfRule>
  </conditionalFormatting>
  <conditionalFormatting sqref="CH56:CH57">
    <cfRule type="iconSet" priority="1780">
      <iconSet iconSet="4TrafficLights">
        <cfvo type="percent" val="0"/>
        <cfvo type="num" val="0.25"/>
        <cfvo type="num" val="0.5"/>
        <cfvo type="num" val="0.75"/>
      </iconSet>
    </cfRule>
    <cfRule type="cellIs" dxfId="909" priority="1781" operator="lessThan">
      <formula>0</formula>
    </cfRule>
  </conditionalFormatting>
  <conditionalFormatting sqref="BV56:BV57">
    <cfRule type="iconSet" priority="1784">
      <iconSet iconSet="4TrafficLights">
        <cfvo type="percent" val="0"/>
        <cfvo type="num" val="0.25"/>
        <cfvo type="num" val="0.5"/>
        <cfvo type="num" val="0.75"/>
      </iconSet>
    </cfRule>
    <cfRule type="cellIs" dxfId="908" priority="1785" operator="lessThan">
      <formula>0</formula>
    </cfRule>
  </conditionalFormatting>
  <conditionalFormatting sqref="BZ56:BZ57">
    <cfRule type="iconSet" priority="1786">
      <iconSet iconSet="4TrafficLights">
        <cfvo type="percent" val="0"/>
        <cfvo type="num" val="0.25"/>
        <cfvo type="num" val="0.5"/>
        <cfvo type="num" val="0.75"/>
      </iconSet>
    </cfRule>
    <cfRule type="cellIs" dxfId="907" priority="1787" stopIfTrue="1" operator="lessThan">
      <formula>0</formula>
    </cfRule>
  </conditionalFormatting>
  <conditionalFormatting sqref="CL56:CL57">
    <cfRule type="iconSet" priority="1788">
      <iconSet iconSet="4TrafficLights">
        <cfvo type="percent" val="0"/>
        <cfvo type="num" val="0.25"/>
        <cfvo type="num" val="0.5"/>
        <cfvo type="num" val="0.75"/>
      </iconSet>
    </cfRule>
    <cfRule type="cellIs" dxfId="906" priority="1789" operator="lessThan">
      <formula>0</formula>
    </cfRule>
  </conditionalFormatting>
  <conditionalFormatting sqref="CM56:CM59">
    <cfRule type="iconSet" priority="1790">
      <iconSet iconSet="4TrafficLights">
        <cfvo type="percent" val="0"/>
        <cfvo type="num" val="0.25"/>
        <cfvo type="num" val="0.5"/>
        <cfvo type="num" val="0.75"/>
      </iconSet>
    </cfRule>
    <cfRule type="cellIs" dxfId="905" priority="1791" operator="lessThan">
      <formula>0</formula>
    </cfRule>
  </conditionalFormatting>
  <conditionalFormatting sqref="CD58:CD60">
    <cfRule type="iconSet" priority="1770">
      <iconSet iconSet="4TrafficLights">
        <cfvo type="percent" val="0"/>
        <cfvo type="num" val="0.25"/>
        <cfvo type="num" val="0.5"/>
        <cfvo type="num" val="0.75"/>
      </iconSet>
    </cfRule>
    <cfRule type="cellIs" dxfId="904" priority="1771" operator="lessThan">
      <formula>0</formula>
    </cfRule>
  </conditionalFormatting>
  <conditionalFormatting sqref="CH58:CH60">
    <cfRule type="iconSet" priority="1768">
      <iconSet iconSet="4TrafficLights">
        <cfvo type="percent" val="0"/>
        <cfvo type="num" val="0.25"/>
        <cfvo type="num" val="0.5"/>
        <cfvo type="num" val="0.75"/>
      </iconSet>
    </cfRule>
    <cfRule type="cellIs" dxfId="903" priority="1769" operator="lessThan">
      <formula>0</formula>
    </cfRule>
  </conditionalFormatting>
  <conditionalFormatting sqref="BV58:BV60">
    <cfRule type="iconSet" priority="1772">
      <iconSet iconSet="4TrafficLights">
        <cfvo type="percent" val="0"/>
        <cfvo type="num" val="0.25"/>
        <cfvo type="num" val="0.5"/>
        <cfvo type="num" val="0.75"/>
      </iconSet>
    </cfRule>
    <cfRule type="cellIs" dxfId="902" priority="1773" operator="lessThan">
      <formula>0</formula>
    </cfRule>
  </conditionalFormatting>
  <conditionalFormatting sqref="BZ58:BZ60">
    <cfRule type="iconSet" priority="1774">
      <iconSet iconSet="4TrafficLights">
        <cfvo type="percent" val="0"/>
        <cfvo type="num" val="0.25"/>
        <cfvo type="num" val="0.5"/>
        <cfvo type="num" val="0.75"/>
      </iconSet>
    </cfRule>
    <cfRule type="cellIs" dxfId="901" priority="1775" stopIfTrue="1" operator="lessThan">
      <formula>0</formula>
    </cfRule>
  </conditionalFormatting>
  <conditionalFormatting sqref="CL58:CL60">
    <cfRule type="iconSet" priority="1776">
      <iconSet iconSet="4TrafficLights">
        <cfvo type="percent" val="0"/>
        <cfvo type="num" val="0.25"/>
        <cfvo type="num" val="0.5"/>
        <cfvo type="num" val="0.75"/>
      </iconSet>
    </cfRule>
    <cfRule type="cellIs" dxfId="900" priority="1777" operator="lessThan">
      <formula>0</formula>
    </cfRule>
  </conditionalFormatting>
  <conditionalFormatting sqref="CM60">
    <cfRule type="iconSet" priority="1778">
      <iconSet iconSet="4TrafficLights">
        <cfvo type="percent" val="0"/>
        <cfvo type="num" val="0.25"/>
        <cfvo type="num" val="0.5"/>
        <cfvo type="num" val="0.75"/>
      </iconSet>
    </cfRule>
    <cfRule type="cellIs" dxfId="899" priority="1779" operator="lessThan">
      <formula>0</formula>
    </cfRule>
  </conditionalFormatting>
  <conditionalFormatting sqref="CD53:CD54">
    <cfRule type="iconSet" priority="1804">
      <iconSet iconSet="4TrafficLights">
        <cfvo type="percent" val="0"/>
        <cfvo type="num" val="0.25"/>
        <cfvo type="num" val="0.5"/>
        <cfvo type="num" val="0.75"/>
      </iconSet>
    </cfRule>
    <cfRule type="cellIs" dxfId="898" priority="1805" operator="lessThan">
      <formula>0</formula>
    </cfRule>
  </conditionalFormatting>
  <conditionalFormatting sqref="CH53:CH54">
    <cfRule type="iconSet" priority="1806">
      <iconSet iconSet="4TrafficLights">
        <cfvo type="percent" val="0"/>
        <cfvo type="num" val="0.25"/>
        <cfvo type="num" val="0.5"/>
        <cfvo type="num" val="0.75"/>
      </iconSet>
    </cfRule>
    <cfRule type="cellIs" dxfId="897" priority="1807" operator="lessThan">
      <formula>0</formula>
    </cfRule>
  </conditionalFormatting>
  <conditionalFormatting sqref="BV53:BV54">
    <cfRule type="iconSet" priority="1808">
      <iconSet iconSet="4TrafficLights">
        <cfvo type="percent" val="0"/>
        <cfvo type="num" val="0.25"/>
        <cfvo type="num" val="0.5"/>
        <cfvo type="num" val="0.75"/>
      </iconSet>
    </cfRule>
    <cfRule type="cellIs" dxfId="896" priority="1809" operator="lessThan">
      <formula>0</formula>
    </cfRule>
  </conditionalFormatting>
  <conditionalFormatting sqref="BZ53:BZ54">
    <cfRule type="iconSet" priority="1810">
      <iconSet iconSet="4TrafficLights">
        <cfvo type="percent" val="0"/>
        <cfvo type="num" val="0.25"/>
        <cfvo type="num" val="0.5"/>
        <cfvo type="num" val="0.75"/>
      </iconSet>
    </cfRule>
    <cfRule type="cellIs" dxfId="895" priority="1811" stopIfTrue="1" operator="lessThan">
      <formula>0</formula>
    </cfRule>
  </conditionalFormatting>
  <conditionalFormatting sqref="CL53:CL54">
    <cfRule type="iconSet" priority="1812">
      <iconSet iconSet="4TrafficLights">
        <cfvo type="percent" val="0"/>
        <cfvo type="num" val="0.25"/>
        <cfvo type="num" val="0.5"/>
        <cfvo type="num" val="0.75"/>
      </iconSet>
    </cfRule>
    <cfRule type="cellIs" dxfId="894" priority="1813" operator="lessThan">
      <formula>0</formula>
    </cfRule>
  </conditionalFormatting>
  <conditionalFormatting sqref="CM53:CM54">
    <cfRule type="iconSet" priority="1814">
      <iconSet iconSet="4TrafficLights">
        <cfvo type="percent" val="0"/>
        <cfvo type="num" val="0.25"/>
        <cfvo type="num" val="0.5"/>
        <cfvo type="num" val="0.75"/>
      </iconSet>
    </cfRule>
    <cfRule type="cellIs" dxfId="893" priority="1815" operator="lessThan">
      <formula>0</formula>
    </cfRule>
  </conditionalFormatting>
  <conditionalFormatting sqref="CM64">
    <cfRule type="iconSet" priority="1754">
      <iconSet iconSet="4TrafficLights">
        <cfvo type="percent" val="0"/>
        <cfvo type="num" val="0.25"/>
        <cfvo type="num" val="0.5"/>
        <cfvo type="num" val="0.75"/>
      </iconSet>
    </cfRule>
    <cfRule type="cellIs" dxfId="892" priority="1755" operator="lessThan">
      <formula>0</formula>
    </cfRule>
  </conditionalFormatting>
  <conditionalFormatting sqref="CM65">
    <cfRule type="iconSet" priority="1752">
      <iconSet iconSet="4TrafficLights">
        <cfvo type="percent" val="0"/>
        <cfvo type="num" val="0.25"/>
        <cfvo type="num" val="0.5"/>
        <cfvo type="num" val="0.75"/>
      </iconSet>
    </cfRule>
    <cfRule type="cellIs" dxfId="891" priority="1753" operator="lessThan">
      <formula>0</formula>
    </cfRule>
  </conditionalFormatting>
  <conditionalFormatting sqref="CM66">
    <cfRule type="iconSet" priority="1750">
      <iconSet iconSet="4TrafficLights">
        <cfvo type="percent" val="0"/>
        <cfvo type="num" val="0.25"/>
        <cfvo type="num" val="0.5"/>
        <cfvo type="num" val="0.75"/>
      </iconSet>
    </cfRule>
    <cfRule type="cellIs" dxfId="890" priority="1751" operator="lessThan">
      <formula>0</formula>
    </cfRule>
  </conditionalFormatting>
  <conditionalFormatting sqref="CM68">
    <cfRule type="iconSet" priority="1748">
      <iconSet iconSet="4TrafficLights">
        <cfvo type="percent" val="0"/>
        <cfvo type="num" val="0.25"/>
        <cfvo type="num" val="0.5"/>
        <cfvo type="num" val="0.75"/>
      </iconSet>
    </cfRule>
    <cfRule type="cellIs" dxfId="889" priority="1749" operator="lessThan">
      <formula>0</formula>
    </cfRule>
  </conditionalFormatting>
  <conditionalFormatting sqref="CM67">
    <cfRule type="iconSet" priority="1746">
      <iconSet iconSet="4TrafficLights">
        <cfvo type="percent" val="0"/>
        <cfvo type="num" val="0.25"/>
        <cfvo type="num" val="0.5"/>
        <cfvo type="num" val="0.75"/>
      </iconSet>
    </cfRule>
    <cfRule type="cellIs" dxfId="888" priority="1747" operator="lessThan">
      <formula>0</formula>
    </cfRule>
  </conditionalFormatting>
  <conditionalFormatting sqref="CM61:CM63">
    <cfRule type="iconSet" priority="1756">
      <iconSet iconSet="4TrafficLights">
        <cfvo type="percent" val="0"/>
        <cfvo type="num" val="0.25"/>
        <cfvo type="num" val="0.5"/>
        <cfvo type="num" val="0.75"/>
      </iconSet>
    </cfRule>
    <cfRule type="cellIs" dxfId="887" priority="1757" operator="lessThan">
      <formula>0</formula>
    </cfRule>
  </conditionalFormatting>
  <conditionalFormatting sqref="CD61:CD68">
    <cfRule type="iconSet" priority="1758">
      <iconSet iconSet="4TrafficLights">
        <cfvo type="percent" val="0"/>
        <cfvo type="num" val="0.25"/>
        <cfvo type="num" val="0.5"/>
        <cfvo type="num" val="0.75"/>
      </iconSet>
    </cfRule>
    <cfRule type="cellIs" dxfId="886" priority="1759" operator="lessThan">
      <formula>0</formula>
    </cfRule>
  </conditionalFormatting>
  <conditionalFormatting sqref="CH61:CH68">
    <cfRule type="iconSet" priority="1760">
      <iconSet iconSet="4TrafficLights">
        <cfvo type="percent" val="0"/>
        <cfvo type="num" val="0.25"/>
        <cfvo type="num" val="0.5"/>
        <cfvo type="num" val="0.75"/>
      </iconSet>
    </cfRule>
    <cfRule type="cellIs" dxfId="885" priority="1761" operator="lessThan">
      <formula>0</formula>
    </cfRule>
  </conditionalFormatting>
  <conditionalFormatting sqref="BV61:BV68">
    <cfRule type="iconSet" priority="1762">
      <iconSet iconSet="4TrafficLights">
        <cfvo type="percent" val="0"/>
        <cfvo type="num" val="0.25"/>
        <cfvo type="num" val="0.5"/>
        <cfvo type="num" val="0.75"/>
      </iconSet>
    </cfRule>
    <cfRule type="cellIs" dxfId="884" priority="1763" operator="lessThan">
      <formula>0</formula>
    </cfRule>
  </conditionalFormatting>
  <conditionalFormatting sqref="BZ61:BZ68">
    <cfRule type="iconSet" priority="1764">
      <iconSet iconSet="4TrafficLights">
        <cfvo type="percent" val="0"/>
        <cfvo type="num" val="0.25"/>
        <cfvo type="num" val="0.5"/>
        <cfvo type="num" val="0.75"/>
      </iconSet>
    </cfRule>
    <cfRule type="cellIs" dxfId="883" priority="1765" stopIfTrue="1" operator="lessThan">
      <formula>0</formula>
    </cfRule>
  </conditionalFormatting>
  <conditionalFormatting sqref="CL61:CL68">
    <cfRule type="iconSet" priority="1766">
      <iconSet iconSet="4TrafficLights">
        <cfvo type="percent" val="0"/>
        <cfvo type="num" val="0.25"/>
        <cfvo type="num" val="0.5"/>
        <cfvo type="num" val="0.75"/>
      </iconSet>
    </cfRule>
    <cfRule type="cellIs" dxfId="882" priority="1767" operator="lessThan">
      <formula>0</formula>
    </cfRule>
  </conditionalFormatting>
  <conditionalFormatting sqref="BV69">
    <cfRule type="iconSet" priority="1643">
      <iconSet iconSet="4TrafficLights">
        <cfvo type="percent" val="0"/>
        <cfvo type="num" val="0.25"/>
        <cfvo type="num" val="0.5"/>
        <cfvo type="num" val="0.75"/>
      </iconSet>
    </cfRule>
    <cfRule type="cellIs" dxfId="881" priority="1649" operator="lessThan">
      <formula>0</formula>
    </cfRule>
  </conditionalFormatting>
  <conditionalFormatting sqref="BZ69">
    <cfRule type="iconSet" priority="1644">
      <iconSet iconSet="4TrafficLights">
        <cfvo type="percent" val="0"/>
        <cfvo type="num" val="0.25"/>
        <cfvo type="num" val="0.5"/>
        <cfvo type="num" val="0.75"/>
      </iconSet>
    </cfRule>
    <cfRule type="cellIs" dxfId="880" priority="1646" stopIfTrue="1" operator="lessThan">
      <formula>0</formula>
    </cfRule>
  </conditionalFormatting>
  <conditionalFormatting sqref="CD69">
    <cfRule type="iconSet" priority="1645">
      <iconSet iconSet="4TrafficLights">
        <cfvo type="percent" val="0"/>
        <cfvo type="num" val="0.25"/>
        <cfvo type="num" val="0.5"/>
        <cfvo type="num" val="0.75"/>
      </iconSet>
    </cfRule>
    <cfRule type="cellIs" dxfId="879" priority="1647" operator="lessThan">
      <formula>0</formula>
    </cfRule>
  </conditionalFormatting>
  <conditionalFormatting sqref="CH69">
    <cfRule type="iconSet" priority="1641">
      <iconSet iconSet="4TrafficLights">
        <cfvo type="percent" val="0"/>
        <cfvo type="num" val="0.25"/>
        <cfvo type="num" val="0.5"/>
        <cfvo type="num" val="0.75"/>
      </iconSet>
    </cfRule>
    <cfRule type="cellIs" dxfId="878" priority="1642" operator="lessThan">
      <formula>0</formula>
    </cfRule>
  </conditionalFormatting>
  <conditionalFormatting sqref="CL69:CM69">
    <cfRule type="iconSet" priority="1640">
      <iconSet iconSet="4TrafficLights">
        <cfvo type="percent" val="0"/>
        <cfvo type="num" val="0.25"/>
        <cfvo type="num" val="0.5"/>
        <cfvo type="num" val="0.75"/>
      </iconSet>
    </cfRule>
    <cfRule type="cellIs" dxfId="877" priority="1648" operator="lessThan">
      <formula>0</formula>
    </cfRule>
  </conditionalFormatting>
  <conditionalFormatting sqref="CM72">
    <cfRule type="iconSet" priority="1638">
      <iconSet iconSet="4TrafficLights">
        <cfvo type="percent" val="0"/>
        <cfvo type="num" val="0.25"/>
        <cfvo type="num" val="0.5"/>
        <cfvo type="num" val="0.75"/>
      </iconSet>
    </cfRule>
    <cfRule type="cellIs" dxfId="876" priority="1639" operator="lessThan">
      <formula>0</formula>
    </cfRule>
  </conditionalFormatting>
  <conditionalFormatting sqref="CM75:CM76">
    <cfRule type="iconSet" priority="1650">
      <iconSet iconSet="4TrafficLights">
        <cfvo type="percent" val="0"/>
        <cfvo type="num" val="0.25"/>
        <cfvo type="num" val="0.5"/>
        <cfvo type="num" val="0.75"/>
      </iconSet>
    </cfRule>
    <cfRule type="cellIs" dxfId="875" priority="1651" operator="lessThan">
      <formula>0</formula>
    </cfRule>
  </conditionalFormatting>
  <conditionalFormatting sqref="BV71">
    <cfRule type="iconSet" priority="1631">
      <iconSet iconSet="4TrafficLights">
        <cfvo type="percent" val="0"/>
        <cfvo type="num" val="0.25"/>
        <cfvo type="num" val="0.5"/>
        <cfvo type="num" val="0.75"/>
      </iconSet>
    </cfRule>
    <cfRule type="cellIs" dxfId="874" priority="1637" operator="lessThan">
      <formula>0</formula>
    </cfRule>
  </conditionalFormatting>
  <conditionalFormatting sqref="BZ71">
    <cfRule type="iconSet" priority="1632">
      <iconSet iconSet="4TrafficLights">
        <cfvo type="percent" val="0"/>
        <cfvo type="num" val="0.25"/>
        <cfvo type="num" val="0.5"/>
        <cfvo type="num" val="0.75"/>
      </iconSet>
    </cfRule>
    <cfRule type="cellIs" dxfId="873" priority="1634" stopIfTrue="1" operator="lessThan">
      <formula>0</formula>
    </cfRule>
  </conditionalFormatting>
  <conditionalFormatting sqref="CD71">
    <cfRule type="iconSet" priority="1633">
      <iconSet iconSet="4TrafficLights">
        <cfvo type="percent" val="0"/>
        <cfvo type="num" val="0.25"/>
        <cfvo type="num" val="0.5"/>
        <cfvo type="num" val="0.75"/>
      </iconSet>
    </cfRule>
    <cfRule type="cellIs" dxfId="872" priority="1635" operator="lessThan">
      <formula>0</formula>
    </cfRule>
  </conditionalFormatting>
  <conditionalFormatting sqref="CH71">
    <cfRule type="iconSet" priority="1629">
      <iconSet iconSet="4TrafficLights">
        <cfvo type="percent" val="0"/>
        <cfvo type="num" val="0.25"/>
        <cfvo type="num" val="0.5"/>
        <cfvo type="num" val="0.75"/>
      </iconSet>
    </cfRule>
    <cfRule type="cellIs" dxfId="871" priority="1630" operator="lessThan">
      <formula>0</formula>
    </cfRule>
  </conditionalFormatting>
  <conditionalFormatting sqref="CL71:CM71">
    <cfRule type="iconSet" priority="1628">
      <iconSet iconSet="4TrafficLights">
        <cfvo type="percent" val="0"/>
        <cfvo type="num" val="0.25"/>
        <cfvo type="num" val="0.5"/>
        <cfvo type="num" val="0.75"/>
      </iconSet>
    </cfRule>
    <cfRule type="cellIs" dxfId="870" priority="1636" operator="lessThan">
      <formula>0</formula>
    </cfRule>
  </conditionalFormatting>
  <conditionalFormatting sqref="BV75">
    <cfRule type="iconSet" priority="1621">
      <iconSet iconSet="4TrafficLights">
        <cfvo type="percent" val="0"/>
        <cfvo type="num" val="0.25"/>
        <cfvo type="num" val="0.5"/>
        <cfvo type="num" val="0.75"/>
      </iconSet>
    </cfRule>
    <cfRule type="cellIs" dxfId="869" priority="1627" operator="lessThan">
      <formula>0</formula>
    </cfRule>
  </conditionalFormatting>
  <conditionalFormatting sqref="BZ75">
    <cfRule type="iconSet" priority="1622">
      <iconSet iconSet="4TrafficLights">
        <cfvo type="percent" val="0"/>
        <cfvo type="num" val="0.25"/>
        <cfvo type="num" val="0.5"/>
        <cfvo type="num" val="0.75"/>
      </iconSet>
    </cfRule>
    <cfRule type="cellIs" dxfId="868" priority="1624" stopIfTrue="1" operator="lessThan">
      <formula>0</formula>
    </cfRule>
  </conditionalFormatting>
  <conditionalFormatting sqref="CD75">
    <cfRule type="iconSet" priority="1623">
      <iconSet iconSet="4TrafficLights">
        <cfvo type="percent" val="0"/>
        <cfvo type="num" val="0.25"/>
        <cfvo type="num" val="0.5"/>
        <cfvo type="num" val="0.75"/>
      </iconSet>
    </cfRule>
    <cfRule type="cellIs" dxfId="867" priority="1625" operator="lessThan">
      <formula>0</formula>
    </cfRule>
  </conditionalFormatting>
  <conditionalFormatting sqref="CH75">
    <cfRule type="iconSet" priority="1619">
      <iconSet iconSet="4TrafficLights">
        <cfvo type="percent" val="0"/>
        <cfvo type="num" val="0.25"/>
        <cfvo type="num" val="0.5"/>
        <cfvo type="num" val="0.75"/>
      </iconSet>
    </cfRule>
    <cfRule type="cellIs" dxfId="866" priority="1620" operator="lessThan">
      <formula>0</formula>
    </cfRule>
  </conditionalFormatting>
  <conditionalFormatting sqref="CL75">
    <cfRule type="iconSet" priority="1618">
      <iconSet iconSet="4TrafficLights">
        <cfvo type="percent" val="0"/>
        <cfvo type="num" val="0.25"/>
        <cfvo type="num" val="0.5"/>
        <cfvo type="num" val="0.75"/>
      </iconSet>
    </cfRule>
    <cfRule type="cellIs" dxfId="865" priority="1626" operator="lessThan">
      <formula>0</formula>
    </cfRule>
  </conditionalFormatting>
  <conditionalFormatting sqref="BV76">
    <cfRule type="iconSet" priority="1611">
      <iconSet iconSet="4TrafficLights">
        <cfvo type="percent" val="0"/>
        <cfvo type="num" val="0.25"/>
        <cfvo type="num" val="0.5"/>
        <cfvo type="num" val="0.75"/>
      </iconSet>
    </cfRule>
    <cfRule type="cellIs" dxfId="864" priority="1617" operator="lessThan">
      <formula>0</formula>
    </cfRule>
  </conditionalFormatting>
  <conditionalFormatting sqref="BZ76">
    <cfRule type="iconSet" priority="1612">
      <iconSet iconSet="4TrafficLights">
        <cfvo type="percent" val="0"/>
        <cfvo type="num" val="0.25"/>
        <cfvo type="num" val="0.5"/>
        <cfvo type="num" val="0.75"/>
      </iconSet>
    </cfRule>
    <cfRule type="cellIs" dxfId="863" priority="1614" stopIfTrue="1" operator="lessThan">
      <formula>0</formula>
    </cfRule>
  </conditionalFormatting>
  <conditionalFormatting sqref="CD76">
    <cfRule type="iconSet" priority="1613">
      <iconSet iconSet="4TrafficLights">
        <cfvo type="percent" val="0"/>
        <cfvo type="num" val="0.25"/>
        <cfvo type="num" val="0.5"/>
        <cfvo type="num" val="0.75"/>
      </iconSet>
    </cfRule>
    <cfRule type="cellIs" dxfId="862" priority="1615" operator="lessThan">
      <formula>0</formula>
    </cfRule>
  </conditionalFormatting>
  <conditionalFormatting sqref="CH76">
    <cfRule type="iconSet" priority="1609">
      <iconSet iconSet="4TrafficLights">
        <cfvo type="percent" val="0"/>
        <cfvo type="num" val="0.25"/>
        <cfvo type="num" val="0.5"/>
        <cfvo type="num" val="0.75"/>
      </iconSet>
    </cfRule>
    <cfRule type="cellIs" dxfId="861" priority="1610" operator="lessThan">
      <formula>0</formula>
    </cfRule>
  </conditionalFormatting>
  <conditionalFormatting sqref="CL76">
    <cfRule type="iconSet" priority="1608">
      <iconSet iconSet="4TrafficLights">
        <cfvo type="percent" val="0"/>
        <cfvo type="num" val="0.25"/>
        <cfvo type="num" val="0.5"/>
        <cfvo type="num" val="0.75"/>
      </iconSet>
    </cfRule>
    <cfRule type="cellIs" dxfId="860" priority="1616" operator="lessThan">
      <formula>0</formula>
    </cfRule>
  </conditionalFormatting>
  <conditionalFormatting sqref="BV72">
    <cfRule type="iconSet" priority="1601">
      <iconSet iconSet="4TrafficLights">
        <cfvo type="percent" val="0"/>
        <cfvo type="num" val="0.25"/>
        <cfvo type="num" val="0.5"/>
        <cfvo type="num" val="0.75"/>
      </iconSet>
    </cfRule>
    <cfRule type="cellIs" dxfId="859" priority="1607" operator="lessThan">
      <formula>0</formula>
    </cfRule>
  </conditionalFormatting>
  <conditionalFormatting sqref="BZ72">
    <cfRule type="iconSet" priority="1602">
      <iconSet iconSet="4TrafficLights">
        <cfvo type="percent" val="0"/>
        <cfvo type="num" val="0.25"/>
        <cfvo type="num" val="0.5"/>
        <cfvo type="num" val="0.75"/>
      </iconSet>
    </cfRule>
    <cfRule type="cellIs" dxfId="858" priority="1604" stopIfTrue="1" operator="lessThan">
      <formula>0</formula>
    </cfRule>
  </conditionalFormatting>
  <conditionalFormatting sqref="CD72">
    <cfRule type="iconSet" priority="1603">
      <iconSet iconSet="4TrafficLights">
        <cfvo type="percent" val="0"/>
        <cfvo type="num" val="0.25"/>
        <cfvo type="num" val="0.5"/>
        <cfvo type="num" val="0.75"/>
      </iconSet>
    </cfRule>
    <cfRule type="cellIs" dxfId="857" priority="1605" operator="lessThan">
      <formula>0</formula>
    </cfRule>
  </conditionalFormatting>
  <conditionalFormatting sqref="CH72">
    <cfRule type="iconSet" priority="1599">
      <iconSet iconSet="4TrafficLights">
        <cfvo type="percent" val="0"/>
        <cfvo type="num" val="0.25"/>
        <cfvo type="num" val="0.5"/>
        <cfvo type="num" val="0.75"/>
      </iconSet>
    </cfRule>
    <cfRule type="cellIs" dxfId="856" priority="1600" operator="lessThan">
      <formula>0</formula>
    </cfRule>
  </conditionalFormatting>
  <conditionalFormatting sqref="CL72">
    <cfRule type="iconSet" priority="1598">
      <iconSet iconSet="4TrafficLights">
        <cfvo type="percent" val="0"/>
        <cfvo type="num" val="0.25"/>
        <cfvo type="num" val="0.5"/>
        <cfvo type="num" val="0.75"/>
      </iconSet>
    </cfRule>
    <cfRule type="cellIs" dxfId="855" priority="1606" operator="lessThan">
      <formula>0</formula>
    </cfRule>
  </conditionalFormatting>
  <conditionalFormatting sqref="BV73">
    <cfRule type="iconSet" priority="1591">
      <iconSet iconSet="4TrafficLights">
        <cfvo type="percent" val="0"/>
        <cfvo type="num" val="0.25"/>
        <cfvo type="num" val="0.5"/>
        <cfvo type="num" val="0.75"/>
      </iconSet>
    </cfRule>
    <cfRule type="cellIs" dxfId="854" priority="1597" operator="lessThan">
      <formula>0</formula>
    </cfRule>
  </conditionalFormatting>
  <conditionalFormatting sqref="BZ73">
    <cfRule type="iconSet" priority="1592">
      <iconSet iconSet="4TrafficLights">
        <cfvo type="percent" val="0"/>
        <cfvo type="num" val="0.25"/>
        <cfvo type="num" val="0.5"/>
        <cfvo type="num" val="0.75"/>
      </iconSet>
    </cfRule>
    <cfRule type="cellIs" dxfId="853" priority="1594" stopIfTrue="1" operator="lessThan">
      <formula>0</formula>
    </cfRule>
  </conditionalFormatting>
  <conditionalFormatting sqref="CD73">
    <cfRule type="iconSet" priority="1593">
      <iconSet iconSet="4TrafficLights">
        <cfvo type="percent" val="0"/>
        <cfvo type="num" val="0.25"/>
        <cfvo type="num" val="0.5"/>
        <cfvo type="num" val="0.75"/>
      </iconSet>
    </cfRule>
    <cfRule type="cellIs" dxfId="852" priority="1595" operator="lessThan">
      <formula>0</formula>
    </cfRule>
  </conditionalFormatting>
  <conditionalFormatting sqref="CH73">
    <cfRule type="iconSet" priority="1589">
      <iconSet iconSet="4TrafficLights">
        <cfvo type="percent" val="0"/>
        <cfvo type="num" val="0.25"/>
        <cfvo type="num" val="0.5"/>
        <cfvo type="num" val="0.75"/>
      </iconSet>
    </cfRule>
    <cfRule type="cellIs" dxfId="851" priority="1590" operator="lessThan">
      <formula>0</formula>
    </cfRule>
  </conditionalFormatting>
  <conditionalFormatting sqref="CL73:CM73">
    <cfRule type="iconSet" priority="1588">
      <iconSet iconSet="4TrafficLights">
        <cfvo type="percent" val="0"/>
        <cfvo type="num" val="0.25"/>
        <cfvo type="num" val="0.5"/>
        <cfvo type="num" val="0.75"/>
      </iconSet>
    </cfRule>
    <cfRule type="cellIs" dxfId="850" priority="1596" operator="lessThan">
      <formula>0</formula>
    </cfRule>
  </conditionalFormatting>
  <conditionalFormatting sqref="BV74">
    <cfRule type="iconSet" priority="1581">
      <iconSet iconSet="4TrafficLights">
        <cfvo type="percent" val="0"/>
        <cfvo type="num" val="0.25"/>
        <cfvo type="num" val="0.5"/>
        <cfvo type="num" val="0.75"/>
      </iconSet>
    </cfRule>
    <cfRule type="cellIs" dxfId="849" priority="1587" operator="lessThan">
      <formula>0</formula>
    </cfRule>
  </conditionalFormatting>
  <conditionalFormatting sqref="BZ74">
    <cfRule type="iconSet" priority="1582">
      <iconSet iconSet="4TrafficLights">
        <cfvo type="percent" val="0"/>
        <cfvo type="num" val="0.25"/>
        <cfvo type="num" val="0.5"/>
        <cfvo type="num" val="0.75"/>
      </iconSet>
    </cfRule>
    <cfRule type="cellIs" dxfId="848" priority="1584" stopIfTrue="1" operator="lessThan">
      <formula>0</formula>
    </cfRule>
  </conditionalFormatting>
  <conditionalFormatting sqref="CD74">
    <cfRule type="iconSet" priority="1583">
      <iconSet iconSet="4TrafficLights">
        <cfvo type="percent" val="0"/>
        <cfvo type="num" val="0.25"/>
        <cfvo type="num" val="0.5"/>
        <cfvo type="num" val="0.75"/>
      </iconSet>
    </cfRule>
    <cfRule type="cellIs" dxfId="847" priority="1585" operator="lessThan">
      <formula>0</formula>
    </cfRule>
  </conditionalFormatting>
  <conditionalFormatting sqref="CH74">
    <cfRule type="iconSet" priority="1579">
      <iconSet iconSet="4TrafficLights">
        <cfvo type="percent" val="0"/>
        <cfvo type="num" val="0.25"/>
        <cfvo type="num" val="0.5"/>
        <cfvo type="num" val="0.75"/>
      </iconSet>
    </cfRule>
    <cfRule type="cellIs" dxfId="846" priority="1580" operator="lessThan">
      <formula>0</formula>
    </cfRule>
  </conditionalFormatting>
  <conditionalFormatting sqref="CL74:CM74">
    <cfRule type="iconSet" priority="1578">
      <iconSet iconSet="4TrafficLights">
        <cfvo type="percent" val="0"/>
        <cfvo type="num" val="0.25"/>
        <cfvo type="num" val="0.5"/>
        <cfvo type="num" val="0.75"/>
      </iconSet>
    </cfRule>
    <cfRule type="cellIs" dxfId="845" priority="1586" operator="lessThan">
      <formula>0</formula>
    </cfRule>
  </conditionalFormatting>
  <conditionalFormatting sqref="BV70">
    <cfRule type="iconSet" priority="1652">
      <iconSet iconSet="4TrafficLights">
        <cfvo type="percent" val="0"/>
        <cfvo type="num" val="0.25"/>
        <cfvo type="num" val="0.5"/>
        <cfvo type="num" val="0.75"/>
      </iconSet>
    </cfRule>
    <cfRule type="cellIs" dxfId="844" priority="1653" operator="lessThan">
      <formula>0</formula>
    </cfRule>
  </conditionalFormatting>
  <conditionalFormatting sqref="BZ70">
    <cfRule type="iconSet" priority="1654">
      <iconSet iconSet="4TrafficLights">
        <cfvo type="percent" val="0"/>
        <cfvo type="num" val="0.25"/>
        <cfvo type="num" val="0.5"/>
        <cfvo type="num" val="0.75"/>
      </iconSet>
    </cfRule>
    <cfRule type="cellIs" dxfId="843" priority="1655" stopIfTrue="1" operator="lessThan">
      <formula>0</formula>
    </cfRule>
  </conditionalFormatting>
  <conditionalFormatting sqref="CD70">
    <cfRule type="iconSet" priority="1656">
      <iconSet iconSet="4TrafficLights">
        <cfvo type="percent" val="0"/>
        <cfvo type="num" val="0.25"/>
        <cfvo type="num" val="0.5"/>
        <cfvo type="num" val="0.75"/>
      </iconSet>
    </cfRule>
    <cfRule type="cellIs" dxfId="842" priority="1657" operator="lessThan">
      <formula>0</formula>
    </cfRule>
  </conditionalFormatting>
  <conditionalFormatting sqref="CH70">
    <cfRule type="iconSet" priority="1658">
      <iconSet iconSet="4TrafficLights">
        <cfvo type="percent" val="0"/>
        <cfvo type="num" val="0.25"/>
        <cfvo type="num" val="0.5"/>
        <cfvo type="num" val="0.75"/>
      </iconSet>
    </cfRule>
    <cfRule type="cellIs" dxfId="841" priority="1659" operator="lessThan">
      <formula>0</formula>
    </cfRule>
  </conditionalFormatting>
  <conditionalFormatting sqref="CL70:CM70">
    <cfRule type="iconSet" priority="1660">
      <iconSet iconSet="4TrafficLights">
        <cfvo type="percent" val="0"/>
        <cfvo type="num" val="0.25"/>
        <cfvo type="num" val="0.5"/>
        <cfvo type="num" val="0.75"/>
      </iconSet>
    </cfRule>
    <cfRule type="cellIs" dxfId="840" priority="1661" operator="lessThan">
      <formula>0</formula>
    </cfRule>
  </conditionalFormatting>
  <conditionalFormatting sqref="CM81">
    <cfRule type="iconSet" priority="1562">
      <iconSet iconSet="4TrafficLights">
        <cfvo type="percent" val="0"/>
        <cfvo type="num" val="0.25"/>
        <cfvo type="num" val="0.5"/>
        <cfvo type="num" val="0.75"/>
      </iconSet>
    </cfRule>
    <cfRule type="cellIs" dxfId="839" priority="1563" operator="lessThan">
      <formula>0</formula>
    </cfRule>
  </conditionalFormatting>
  <conditionalFormatting sqref="CD90">
    <cfRule type="iconSet" priority="1552">
      <iconSet iconSet="4TrafficLights">
        <cfvo type="percent" val="0"/>
        <cfvo type="num" val="0.25"/>
        <cfvo type="num" val="0.5"/>
        <cfvo type="num" val="0.75"/>
      </iconSet>
    </cfRule>
    <cfRule type="cellIs" dxfId="838" priority="1553" operator="lessThan">
      <formula>0</formula>
    </cfRule>
  </conditionalFormatting>
  <conditionalFormatting sqref="CH90">
    <cfRule type="iconSet" priority="1550">
      <iconSet iconSet="4TrafficLights">
        <cfvo type="percent" val="0"/>
        <cfvo type="num" val="0.25"/>
        <cfvo type="num" val="0.5"/>
        <cfvo type="num" val="0.75"/>
      </iconSet>
    </cfRule>
    <cfRule type="cellIs" dxfId="837" priority="1551" operator="lessThan">
      <formula>0</formula>
    </cfRule>
  </conditionalFormatting>
  <conditionalFormatting sqref="BV90">
    <cfRule type="iconSet" priority="1554">
      <iconSet iconSet="4TrafficLights">
        <cfvo type="percent" val="0"/>
        <cfvo type="num" val="0.25"/>
        <cfvo type="num" val="0.5"/>
        <cfvo type="num" val="0.75"/>
      </iconSet>
    </cfRule>
    <cfRule type="cellIs" dxfId="836" priority="1555" operator="lessThan">
      <formula>0</formula>
    </cfRule>
  </conditionalFormatting>
  <conditionalFormatting sqref="BZ90">
    <cfRule type="iconSet" priority="1556">
      <iconSet iconSet="4TrafficLights">
        <cfvo type="percent" val="0"/>
        <cfvo type="num" val="0.25"/>
        <cfvo type="num" val="0.5"/>
        <cfvo type="num" val="0.75"/>
      </iconSet>
    </cfRule>
    <cfRule type="cellIs" dxfId="835" priority="1557" stopIfTrue="1" operator="lessThan">
      <formula>0</formula>
    </cfRule>
  </conditionalFormatting>
  <conditionalFormatting sqref="CL90">
    <cfRule type="iconSet" priority="1558">
      <iconSet iconSet="4TrafficLights">
        <cfvo type="percent" val="0"/>
        <cfvo type="num" val="0.25"/>
        <cfvo type="num" val="0.5"/>
        <cfvo type="num" val="0.75"/>
      </iconSet>
    </cfRule>
    <cfRule type="cellIs" dxfId="834" priority="1559" operator="lessThan">
      <formula>0</formula>
    </cfRule>
  </conditionalFormatting>
  <conditionalFormatting sqref="CM90">
    <cfRule type="iconSet" priority="1560">
      <iconSet iconSet="4TrafficLights">
        <cfvo type="percent" val="0"/>
        <cfvo type="num" val="0.25"/>
        <cfvo type="num" val="0.5"/>
        <cfvo type="num" val="0.75"/>
      </iconSet>
    </cfRule>
    <cfRule type="cellIs" dxfId="833" priority="1561" operator="lessThan">
      <formula>0</formula>
    </cfRule>
  </conditionalFormatting>
  <conditionalFormatting sqref="CD91">
    <cfRule type="iconSet" priority="1542">
      <iconSet iconSet="4TrafficLights">
        <cfvo type="percent" val="0"/>
        <cfvo type="num" val="0.25"/>
        <cfvo type="num" val="0.5"/>
        <cfvo type="num" val="0.75"/>
      </iconSet>
    </cfRule>
    <cfRule type="cellIs" dxfId="832" priority="1543" operator="lessThan">
      <formula>0</formula>
    </cfRule>
  </conditionalFormatting>
  <conditionalFormatting sqref="CH91">
    <cfRule type="iconSet" priority="1540">
      <iconSet iconSet="4TrafficLights">
        <cfvo type="percent" val="0"/>
        <cfvo type="num" val="0.25"/>
        <cfvo type="num" val="0.5"/>
        <cfvo type="num" val="0.75"/>
      </iconSet>
    </cfRule>
    <cfRule type="cellIs" dxfId="831" priority="1541" operator="lessThan">
      <formula>0</formula>
    </cfRule>
  </conditionalFormatting>
  <conditionalFormatting sqref="BV91">
    <cfRule type="iconSet" priority="1544">
      <iconSet iconSet="4TrafficLights">
        <cfvo type="percent" val="0"/>
        <cfvo type="num" val="0.25"/>
        <cfvo type="num" val="0.5"/>
        <cfvo type="num" val="0.75"/>
      </iconSet>
    </cfRule>
    <cfRule type="cellIs" dxfId="830" priority="1545" operator="lessThan">
      <formula>0</formula>
    </cfRule>
  </conditionalFormatting>
  <conditionalFormatting sqref="BZ91">
    <cfRule type="iconSet" priority="1546">
      <iconSet iconSet="4TrafficLights">
        <cfvo type="percent" val="0"/>
        <cfvo type="num" val="0.25"/>
        <cfvo type="num" val="0.5"/>
        <cfvo type="num" val="0.75"/>
      </iconSet>
    </cfRule>
    <cfRule type="cellIs" dxfId="829" priority="1547" stopIfTrue="1" operator="lessThan">
      <formula>0</formula>
    </cfRule>
  </conditionalFormatting>
  <conditionalFormatting sqref="CL91">
    <cfRule type="iconSet" priority="1548">
      <iconSet iconSet="4TrafficLights">
        <cfvo type="percent" val="0"/>
        <cfvo type="num" val="0.25"/>
        <cfvo type="num" val="0.5"/>
        <cfvo type="num" val="0.75"/>
      </iconSet>
    </cfRule>
    <cfRule type="cellIs" dxfId="828" priority="1549" operator="lessThan">
      <formula>0</formula>
    </cfRule>
  </conditionalFormatting>
  <conditionalFormatting sqref="CD93">
    <cfRule type="iconSet" priority="1532">
      <iconSet iconSet="4TrafficLights">
        <cfvo type="percent" val="0"/>
        <cfvo type="num" val="0.25"/>
        <cfvo type="num" val="0.5"/>
        <cfvo type="num" val="0.75"/>
      </iconSet>
    </cfRule>
    <cfRule type="cellIs" dxfId="827" priority="1533" operator="lessThan">
      <formula>0</formula>
    </cfRule>
  </conditionalFormatting>
  <conditionalFormatting sqref="CH93">
    <cfRule type="iconSet" priority="1530">
      <iconSet iconSet="4TrafficLights">
        <cfvo type="percent" val="0"/>
        <cfvo type="num" val="0.25"/>
        <cfvo type="num" val="0.5"/>
        <cfvo type="num" val="0.75"/>
      </iconSet>
    </cfRule>
    <cfRule type="cellIs" dxfId="826" priority="1531" operator="lessThan">
      <formula>0</formula>
    </cfRule>
  </conditionalFormatting>
  <conditionalFormatting sqref="BV93">
    <cfRule type="iconSet" priority="1534">
      <iconSet iconSet="4TrafficLights">
        <cfvo type="percent" val="0"/>
        <cfvo type="num" val="0.25"/>
        <cfvo type="num" val="0.5"/>
        <cfvo type="num" val="0.75"/>
      </iconSet>
    </cfRule>
    <cfRule type="cellIs" dxfId="825" priority="1535" operator="lessThan">
      <formula>0</formula>
    </cfRule>
  </conditionalFormatting>
  <conditionalFormatting sqref="BZ93">
    <cfRule type="iconSet" priority="1536">
      <iconSet iconSet="4TrafficLights">
        <cfvo type="percent" val="0"/>
        <cfvo type="num" val="0.25"/>
        <cfvo type="num" val="0.5"/>
        <cfvo type="num" val="0.75"/>
      </iconSet>
    </cfRule>
    <cfRule type="cellIs" dxfId="824" priority="1537" stopIfTrue="1" operator="lessThan">
      <formula>0</formula>
    </cfRule>
  </conditionalFormatting>
  <conditionalFormatting sqref="CL93">
    <cfRule type="iconSet" priority="1538">
      <iconSet iconSet="4TrafficLights">
        <cfvo type="percent" val="0"/>
        <cfvo type="num" val="0.25"/>
        <cfvo type="num" val="0.5"/>
        <cfvo type="num" val="0.75"/>
      </iconSet>
    </cfRule>
    <cfRule type="cellIs" dxfId="823" priority="1539" operator="lessThan">
      <formula>0</formula>
    </cfRule>
  </conditionalFormatting>
  <conditionalFormatting sqref="BV81">
    <cfRule type="iconSet" priority="1528">
      <iconSet iconSet="4TrafficLights">
        <cfvo type="percent" val="0"/>
        <cfvo type="num" val="0.25"/>
        <cfvo type="num" val="0.5"/>
        <cfvo type="num" val="0.75"/>
      </iconSet>
    </cfRule>
    <cfRule type="cellIs" dxfId="822" priority="1529" operator="lessThan">
      <formula>0</formula>
    </cfRule>
  </conditionalFormatting>
  <conditionalFormatting sqref="CD81">
    <cfRule type="iconSet" priority="1526">
      <iconSet iconSet="4TrafficLights">
        <cfvo type="percent" val="0"/>
        <cfvo type="num" val="0.25"/>
        <cfvo type="num" val="0.5"/>
        <cfvo type="num" val="0.75"/>
      </iconSet>
    </cfRule>
    <cfRule type="cellIs" dxfId="821" priority="1527" operator="lessThan">
      <formula>0</formula>
    </cfRule>
  </conditionalFormatting>
  <conditionalFormatting sqref="CH81">
    <cfRule type="iconSet" priority="1524">
      <iconSet iconSet="4TrafficLights">
        <cfvo type="percent" val="0"/>
        <cfvo type="num" val="0.25"/>
        <cfvo type="num" val="0.5"/>
        <cfvo type="num" val="0.75"/>
      </iconSet>
    </cfRule>
    <cfRule type="cellIs" dxfId="820" priority="1525" operator="lessThan">
      <formula>0</formula>
    </cfRule>
  </conditionalFormatting>
  <conditionalFormatting sqref="BV82">
    <cfRule type="iconSet" priority="1520">
      <iconSet iconSet="4TrafficLights">
        <cfvo type="percent" val="0"/>
        <cfvo type="num" val="0.25"/>
        <cfvo type="num" val="0.5"/>
        <cfvo type="num" val="0.75"/>
      </iconSet>
    </cfRule>
    <cfRule type="cellIs" dxfId="819" priority="1521" operator="lessThan">
      <formula>0</formula>
    </cfRule>
  </conditionalFormatting>
  <conditionalFormatting sqref="BZ82">
    <cfRule type="iconSet" priority="1522">
      <iconSet iconSet="4TrafficLights">
        <cfvo type="percent" val="0"/>
        <cfvo type="num" val="0.25"/>
        <cfvo type="num" val="0.5"/>
        <cfvo type="num" val="0.75"/>
      </iconSet>
    </cfRule>
    <cfRule type="cellIs" dxfId="818" priority="1523" stopIfTrue="1" operator="lessThan">
      <formula>0</formula>
    </cfRule>
  </conditionalFormatting>
  <conditionalFormatting sqref="CD92">
    <cfRule type="iconSet" priority="1512">
      <iconSet iconSet="4TrafficLights">
        <cfvo type="percent" val="0"/>
        <cfvo type="num" val="0.25"/>
        <cfvo type="num" val="0.5"/>
        <cfvo type="num" val="0.75"/>
      </iconSet>
    </cfRule>
    <cfRule type="cellIs" dxfId="817" priority="1513" operator="lessThan">
      <formula>0</formula>
    </cfRule>
  </conditionalFormatting>
  <conditionalFormatting sqref="CH92">
    <cfRule type="iconSet" priority="1510">
      <iconSet iconSet="4TrafficLights">
        <cfvo type="percent" val="0"/>
        <cfvo type="num" val="0.25"/>
        <cfvo type="num" val="0.5"/>
        <cfvo type="num" val="0.75"/>
      </iconSet>
    </cfRule>
    <cfRule type="cellIs" dxfId="816" priority="1511" operator="lessThan">
      <formula>0</formula>
    </cfRule>
  </conditionalFormatting>
  <conditionalFormatting sqref="BV92">
    <cfRule type="iconSet" priority="1514">
      <iconSet iconSet="4TrafficLights">
        <cfvo type="percent" val="0"/>
        <cfvo type="num" val="0.25"/>
        <cfvo type="num" val="0.5"/>
        <cfvo type="num" val="0.75"/>
      </iconSet>
    </cfRule>
    <cfRule type="cellIs" dxfId="815" priority="1515" operator="lessThan">
      <formula>0</formula>
    </cfRule>
  </conditionalFormatting>
  <conditionalFormatting sqref="BZ92">
    <cfRule type="iconSet" priority="1516">
      <iconSet iconSet="4TrafficLights">
        <cfvo type="percent" val="0"/>
        <cfvo type="num" val="0.25"/>
        <cfvo type="num" val="0.5"/>
        <cfvo type="num" val="0.75"/>
      </iconSet>
    </cfRule>
    <cfRule type="cellIs" dxfId="814" priority="1517" stopIfTrue="1" operator="lessThan">
      <formula>0</formula>
    </cfRule>
  </conditionalFormatting>
  <conditionalFormatting sqref="CL92">
    <cfRule type="iconSet" priority="1518">
      <iconSet iconSet="4TrafficLights">
        <cfvo type="percent" val="0"/>
        <cfvo type="num" val="0.25"/>
        <cfvo type="num" val="0.5"/>
        <cfvo type="num" val="0.75"/>
      </iconSet>
    </cfRule>
    <cfRule type="cellIs" dxfId="813" priority="1519" operator="lessThan">
      <formula>0</formula>
    </cfRule>
  </conditionalFormatting>
  <conditionalFormatting sqref="CM82">
    <cfRule type="iconSet" priority="1564">
      <iconSet iconSet="4TrafficLights">
        <cfvo type="percent" val="0"/>
        <cfvo type="num" val="0.25"/>
        <cfvo type="num" val="0.5"/>
        <cfvo type="num" val="0.75"/>
      </iconSet>
    </cfRule>
    <cfRule type="cellIs" dxfId="812" priority="1565" operator="lessThan">
      <formula>0</formula>
    </cfRule>
  </conditionalFormatting>
  <conditionalFormatting sqref="BV83">
    <cfRule type="iconSet" priority="1508">
      <iconSet iconSet="4TrafficLights">
        <cfvo type="percent" val="0"/>
        <cfvo type="num" val="0.25"/>
        <cfvo type="num" val="0.5"/>
        <cfvo type="num" val="0.75"/>
      </iconSet>
    </cfRule>
    <cfRule type="cellIs" dxfId="811" priority="1509" operator="lessThan">
      <formula>0</formula>
    </cfRule>
  </conditionalFormatting>
  <conditionalFormatting sqref="BZ83">
    <cfRule type="iconSet" priority="1506">
      <iconSet iconSet="4TrafficLights">
        <cfvo type="percent" val="0"/>
        <cfvo type="num" val="0.25"/>
        <cfvo type="num" val="0.5"/>
        <cfvo type="num" val="0.75"/>
      </iconSet>
    </cfRule>
    <cfRule type="cellIs" dxfId="810" priority="1507" stopIfTrue="1" operator="lessThan">
      <formula>0</formula>
    </cfRule>
  </conditionalFormatting>
  <conditionalFormatting sqref="CD83">
    <cfRule type="iconSet" priority="1504">
      <iconSet iconSet="4TrafficLights">
        <cfvo type="percent" val="0"/>
        <cfvo type="num" val="0.25"/>
        <cfvo type="num" val="0.5"/>
        <cfvo type="num" val="0.75"/>
      </iconSet>
    </cfRule>
    <cfRule type="cellIs" dxfId="809" priority="1505" operator="lessThan">
      <formula>0</formula>
    </cfRule>
  </conditionalFormatting>
  <conditionalFormatting sqref="CH83">
    <cfRule type="iconSet" priority="1502">
      <iconSet iconSet="4TrafficLights">
        <cfvo type="percent" val="0"/>
        <cfvo type="num" val="0.25"/>
        <cfvo type="num" val="0.5"/>
        <cfvo type="num" val="0.75"/>
      </iconSet>
    </cfRule>
    <cfRule type="cellIs" dxfId="808" priority="1503" operator="lessThan">
      <formula>0</formula>
    </cfRule>
  </conditionalFormatting>
  <conditionalFormatting sqref="CL83">
    <cfRule type="iconSet" priority="1500">
      <iconSet iconSet="4TrafficLights">
        <cfvo type="percent" val="0"/>
        <cfvo type="num" val="0.25"/>
        <cfvo type="num" val="0.5"/>
        <cfvo type="num" val="0.75"/>
      </iconSet>
    </cfRule>
    <cfRule type="cellIs" dxfId="807" priority="1501" operator="lessThan">
      <formula>0</formula>
    </cfRule>
  </conditionalFormatting>
  <conditionalFormatting sqref="BV95">
    <cfRule type="iconSet" priority="1498">
      <iconSet iconSet="4TrafficLights">
        <cfvo type="percent" val="0"/>
        <cfvo type="num" val="0.25"/>
        <cfvo type="num" val="0.5"/>
        <cfvo type="num" val="0.75"/>
      </iconSet>
    </cfRule>
    <cfRule type="cellIs" dxfId="806" priority="1499" operator="lessThan">
      <formula>0</formula>
    </cfRule>
  </conditionalFormatting>
  <conditionalFormatting sqref="BZ95">
    <cfRule type="iconSet" priority="1496">
      <iconSet iconSet="4TrafficLights">
        <cfvo type="percent" val="0"/>
        <cfvo type="num" val="0.25"/>
        <cfvo type="num" val="0.5"/>
        <cfvo type="num" val="0.75"/>
      </iconSet>
    </cfRule>
    <cfRule type="cellIs" dxfId="805" priority="1497" stopIfTrue="1" operator="lessThan">
      <formula>0</formula>
    </cfRule>
  </conditionalFormatting>
  <conditionalFormatting sqref="CD95">
    <cfRule type="iconSet" priority="1494">
      <iconSet iconSet="4TrafficLights">
        <cfvo type="percent" val="0"/>
        <cfvo type="num" val="0.25"/>
        <cfvo type="num" val="0.5"/>
        <cfvo type="num" val="0.75"/>
      </iconSet>
    </cfRule>
    <cfRule type="cellIs" dxfId="804" priority="1495" operator="lessThan">
      <formula>0</formula>
    </cfRule>
  </conditionalFormatting>
  <conditionalFormatting sqref="BV94">
    <cfRule type="iconSet" priority="1492">
      <iconSet iconSet="4TrafficLights">
        <cfvo type="percent" val="0"/>
        <cfvo type="num" val="0.25"/>
        <cfvo type="num" val="0.5"/>
        <cfvo type="num" val="0.75"/>
      </iconSet>
    </cfRule>
    <cfRule type="cellIs" dxfId="803" priority="1493" operator="lessThan">
      <formula>0</formula>
    </cfRule>
  </conditionalFormatting>
  <conditionalFormatting sqref="BZ94">
    <cfRule type="iconSet" priority="1490">
      <iconSet iconSet="4TrafficLights">
        <cfvo type="percent" val="0"/>
        <cfvo type="num" val="0.25"/>
        <cfvo type="num" val="0.5"/>
        <cfvo type="num" val="0.75"/>
      </iconSet>
    </cfRule>
    <cfRule type="cellIs" dxfId="802" priority="1491" stopIfTrue="1" operator="lessThan">
      <formula>0</formula>
    </cfRule>
  </conditionalFormatting>
  <conditionalFormatting sqref="CD94">
    <cfRule type="iconSet" priority="1488">
      <iconSet iconSet="4TrafficLights">
        <cfvo type="percent" val="0"/>
        <cfvo type="num" val="0.25"/>
        <cfvo type="num" val="0.5"/>
        <cfvo type="num" val="0.75"/>
      </iconSet>
    </cfRule>
    <cfRule type="cellIs" dxfId="801" priority="1489" operator="lessThan">
      <formula>0</formula>
    </cfRule>
  </conditionalFormatting>
  <conditionalFormatting sqref="CD82">
    <cfRule type="iconSet" priority="1486">
      <iconSet iconSet="4TrafficLights">
        <cfvo type="percent" val="0"/>
        <cfvo type="num" val="0.25"/>
        <cfvo type="num" val="0.5"/>
        <cfvo type="num" val="0.75"/>
      </iconSet>
    </cfRule>
    <cfRule type="cellIs" dxfId="800" priority="1487" operator="lessThan">
      <formula>0</formula>
    </cfRule>
  </conditionalFormatting>
  <conditionalFormatting sqref="CD86:CD89 CD80">
    <cfRule type="iconSet" priority="1566">
      <iconSet iconSet="4TrafficLights">
        <cfvo type="percent" val="0"/>
        <cfvo type="num" val="0.25"/>
        <cfvo type="num" val="0.5"/>
        <cfvo type="num" val="0.75"/>
      </iconSet>
    </cfRule>
    <cfRule type="cellIs" dxfId="799" priority="1567" operator="lessThan">
      <formula>0</formula>
    </cfRule>
  </conditionalFormatting>
  <conditionalFormatting sqref="CH86:CH89 CH80">
    <cfRule type="iconSet" priority="1568">
      <iconSet iconSet="4TrafficLights">
        <cfvo type="percent" val="0"/>
        <cfvo type="num" val="0.25"/>
        <cfvo type="num" val="0.5"/>
        <cfvo type="num" val="0.75"/>
      </iconSet>
    </cfRule>
    <cfRule type="cellIs" dxfId="798" priority="1569" operator="lessThan">
      <formula>0</formula>
    </cfRule>
  </conditionalFormatting>
  <conditionalFormatting sqref="BV86:BV89 BV80">
    <cfRule type="iconSet" priority="1570">
      <iconSet iconSet="4TrafficLights">
        <cfvo type="percent" val="0"/>
        <cfvo type="num" val="0.25"/>
        <cfvo type="num" val="0.5"/>
        <cfvo type="num" val="0.75"/>
      </iconSet>
    </cfRule>
    <cfRule type="cellIs" dxfId="797" priority="1571" operator="lessThan">
      <formula>0</formula>
    </cfRule>
  </conditionalFormatting>
  <conditionalFormatting sqref="BZ86:BZ89 BZ80">
    <cfRule type="iconSet" priority="1572">
      <iconSet iconSet="4TrafficLights">
        <cfvo type="percent" val="0"/>
        <cfvo type="num" val="0.25"/>
        <cfvo type="num" val="0.5"/>
        <cfvo type="num" val="0.75"/>
      </iconSet>
    </cfRule>
    <cfRule type="cellIs" dxfId="796" priority="1573" stopIfTrue="1" operator="lessThan">
      <formula>0</formula>
    </cfRule>
  </conditionalFormatting>
  <conditionalFormatting sqref="CL86:CL89 CL80">
    <cfRule type="iconSet" priority="1574">
      <iconSet iconSet="4TrafficLights">
        <cfvo type="percent" val="0"/>
        <cfvo type="num" val="0.25"/>
        <cfvo type="num" val="0.5"/>
        <cfvo type="num" val="0.75"/>
      </iconSet>
    </cfRule>
    <cfRule type="cellIs" dxfId="795" priority="1575" operator="lessThan">
      <formula>0</formula>
    </cfRule>
  </conditionalFormatting>
  <conditionalFormatting sqref="CM95 CM86:CM89 CM91:CM92">
    <cfRule type="iconSet" priority="1576">
      <iconSet iconSet="4TrafficLights">
        <cfvo type="percent" val="0"/>
        <cfvo type="num" val="0.25"/>
        <cfvo type="num" val="0.5"/>
        <cfvo type="num" val="0.75"/>
      </iconSet>
    </cfRule>
    <cfRule type="cellIs" dxfId="794" priority="1577" operator="lessThan">
      <formula>0</formula>
    </cfRule>
  </conditionalFormatting>
  <conditionalFormatting sqref="CD77:CD79">
    <cfRule type="iconSet" priority="1476">
      <iconSet iconSet="4TrafficLights">
        <cfvo type="percent" val="0"/>
        <cfvo type="num" val="0.25"/>
        <cfvo type="num" val="0.5"/>
        <cfvo type="num" val="0.75"/>
      </iconSet>
    </cfRule>
    <cfRule type="cellIs" dxfId="793" priority="1477" operator="lessThan">
      <formula>0</formula>
    </cfRule>
  </conditionalFormatting>
  <conditionalFormatting sqref="CH77:CH79">
    <cfRule type="iconSet" priority="1478">
      <iconSet iconSet="4TrafficLights">
        <cfvo type="percent" val="0"/>
        <cfvo type="num" val="0.25"/>
        <cfvo type="num" val="0.5"/>
        <cfvo type="num" val="0.75"/>
      </iconSet>
    </cfRule>
    <cfRule type="cellIs" dxfId="792" priority="1479" operator="lessThan">
      <formula>0</formula>
    </cfRule>
  </conditionalFormatting>
  <conditionalFormatting sqref="BV77:BV79">
    <cfRule type="iconSet" priority="1480">
      <iconSet iconSet="4TrafficLights">
        <cfvo type="percent" val="0"/>
        <cfvo type="num" val="0.25"/>
        <cfvo type="num" val="0.5"/>
        <cfvo type="num" val="0.75"/>
      </iconSet>
    </cfRule>
    <cfRule type="cellIs" dxfId="791" priority="1481" operator="lessThan">
      <formula>0</formula>
    </cfRule>
  </conditionalFormatting>
  <conditionalFormatting sqref="BZ77:BZ79">
    <cfRule type="iconSet" priority="1482">
      <iconSet iconSet="4TrafficLights">
        <cfvo type="percent" val="0"/>
        <cfvo type="num" val="0.25"/>
        <cfvo type="num" val="0.5"/>
        <cfvo type="num" val="0.75"/>
      </iconSet>
    </cfRule>
    <cfRule type="cellIs" dxfId="790" priority="1483" stopIfTrue="1" operator="lessThan">
      <formula>0</formula>
    </cfRule>
  </conditionalFormatting>
  <conditionalFormatting sqref="CL77:CL79">
    <cfRule type="iconSet" priority="1484">
      <iconSet iconSet="4TrafficLights">
        <cfvo type="percent" val="0"/>
        <cfvo type="num" val="0.25"/>
        <cfvo type="num" val="0.5"/>
        <cfvo type="num" val="0.75"/>
      </iconSet>
    </cfRule>
    <cfRule type="cellIs" dxfId="789" priority="1485" operator="lessThan">
      <formula>0</formula>
    </cfRule>
  </conditionalFormatting>
  <conditionalFormatting sqref="CD96">
    <cfRule type="iconSet" priority="1466">
      <iconSet iconSet="4TrafficLights">
        <cfvo type="percent" val="0"/>
        <cfvo type="num" val="0.25"/>
        <cfvo type="num" val="0.5"/>
        <cfvo type="num" val="0.75"/>
      </iconSet>
    </cfRule>
    <cfRule type="cellIs" dxfId="788" priority="1467" operator="lessThan">
      <formula>0</formula>
    </cfRule>
  </conditionalFormatting>
  <conditionalFormatting sqref="CH96">
    <cfRule type="iconSet" priority="1468">
      <iconSet iconSet="4TrafficLights">
        <cfvo type="percent" val="0"/>
        <cfvo type="num" val="0.25"/>
        <cfvo type="num" val="0.5"/>
        <cfvo type="num" val="0.75"/>
      </iconSet>
    </cfRule>
    <cfRule type="cellIs" dxfId="787" priority="1469" operator="lessThan">
      <formula>0</formula>
    </cfRule>
  </conditionalFormatting>
  <conditionalFormatting sqref="BV96">
    <cfRule type="iconSet" priority="1470">
      <iconSet iconSet="4TrafficLights">
        <cfvo type="percent" val="0"/>
        <cfvo type="num" val="0.25"/>
        <cfvo type="num" val="0.5"/>
        <cfvo type="num" val="0.75"/>
      </iconSet>
    </cfRule>
    <cfRule type="cellIs" dxfId="786" priority="1471" operator="lessThan">
      <formula>0</formula>
    </cfRule>
  </conditionalFormatting>
  <conditionalFormatting sqref="BZ96">
    <cfRule type="iconSet" priority="1472">
      <iconSet iconSet="4TrafficLights">
        <cfvo type="percent" val="0"/>
        <cfvo type="num" val="0.25"/>
        <cfvo type="num" val="0.5"/>
        <cfvo type="num" val="0.75"/>
      </iconSet>
    </cfRule>
    <cfRule type="cellIs" dxfId="785" priority="1473" stopIfTrue="1" operator="lessThan">
      <formula>0</formula>
    </cfRule>
  </conditionalFormatting>
  <conditionalFormatting sqref="CL96">
    <cfRule type="iconSet" priority="1474">
      <iconSet iconSet="4TrafficLights">
        <cfvo type="percent" val="0"/>
        <cfvo type="num" val="0.25"/>
        <cfvo type="num" val="0.5"/>
        <cfvo type="num" val="0.75"/>
      </iconSet>
    </cfRule>
    <cfRule type="cellIs" dxfId="784" priority="1475" operator="lessThan">
      <formula>0</formula>
    </cfRule>
  </conditionalFormatting>
  <conditionalFormatting sqref="CD97">
    <cfRule type="iconSet" priority="1456">
      <iconSet iconSet="4TrafficLights">
        <cfvo type="percent" val="0"/>
        <cfvo type="num" val="0.25"/>
        <cfvo type="num" val="0.5"/>
        <cfvo type="num" val="0.75"/>
      </iconSet>
    </cfRule>
    <cfRule type="cellIs" dxfId="783" priority="1457" operator="lessThan">
      <formula>0</formula>
    </cfRule>
  </conditionalFormatting>
  <conditionalFormatting sqref="CH97">
    <cfRule type="iconSet" priority="1458">
      <iconSet iconSet="4TrafficLights">
        <cfvo type="percent" val="0"/>
        <cfvo type="num" val="0.25"/>
        <cfvo type="num" val="0.5"/>
        <cfvo type="num" val="0.75"/>
      </iconSet>
    </cfRule>
    <cfRule type="cellIs" dxfId="782" priority="1459" operator="lessThan">
      <formula>0</formula>
    </cfRule>
  </conditionalFormatting>
  <conditionalFormatting sqref="BV97">
    <cfRule type="iconSet" priority="1460">
      <iconSet iconSet="4TrafficLights">
        <cfvo type="percent" val="0"/>
        <cfvo type="num" val="0.25"/>
        <cfvo type="num" val="0.5"/>
        <cfvo type="num" val="0.75"/>
      </iconSet>
    </cfRule>
    <cfRule type="cellIs" dxfId="781" priority="1461" operator="lessThan">
      <formula>0</formula>
    </cfRule>
  </conditionalFormatting>
  <conditionalFormatting sqref="BZ97">
    <cfRule type="iconSet" priority="1462">
      <iconSet iconSet="4TrafficLights">
        <cfvo type="percent" val="0"/>
        <cfvo type="num" val="0.25"/>
        <cfvo type="num" val="0.5"/>
        <cfvo type="num" val="0.75"/>
      </iconSet>
    </cfRule>
    <cfRule type="cellIs" dxfId="780" priority="1463" stopIfTrue="1" operator="lessThan">
      <formula>0</formula>
    </cfRule>
  </conditionalFormatting>
  <conditionalFormatting sqref="CL97">
    <cfRule type="iconSet" priority="1464">
      <iconSet iconSet="4TrafficLights">
        <cfvo type="percent" val="0"/>
        <cfvo type="num" val="0.25"/>
        <cfvo type="num" val="0.5"/>
        <cfvo type="num" val="0.75"/>
      </iconSet>
    </cfRule>
    <cfRule type="cellIs" dxfId="779" priority="1465" operator="lessThan">
      <formula>0</formula>
    </cfRule>
  </conditionalFormatting>
  <conditionalFormatting sqref="CD98">
    <cfRule type="iconSet" priority="1446">
      <iconSet iconSet="4TrafficLights">
        <cfvo type="percent" val="0"/>
        <cfvo type="num" val="0.25"/>
        <cfvo type="num" val="0.5"/>
        <cfvo type="num" val="0.75"/>
      </iconSet>
    </cfRule>
    <cfRule type="cellIs" dxfId="778" priority="1447" operator="lessThan">
      <formula>0</formula>
    </cfRule>
  </conditionalFormatting>
  <conditionalFormatting sqref="CH98">
    <cfRule type="iconSet" priority="1448">
      <iconSet iconSet="4TrafficLights">
        <cfvo type="percent" val="0"/>
        <cfvo type="num" val="0.25"/>
        <cfvo type="num" val="0.5"/>
        <cfvo type="num" val="0.75"/>
      </iconSet>
    </cfRule>
    <cfRule type="cellIs" dxfId="777" priority="1449" operator="lessThan">
      <formula>0</formula>
    </cfRule>
  </conditionalFormatting>
  <conditionalFormatting sqref="BV98">
    <cfRule type="iconSet" priority="1450">
      <iconSet iconSet="4TrafficLights">
        <cfvo type="percent" val="0"/>
        <cfvo type="num" val="0.25"/>
        <cfvo type="num" val="0.5"/>
        <cfvo type="num" val="0.75"/>
      </iconSet>
    </cfRule>
    <cfRule type="cellIs" dxfId="776" priority="1451" operator="lessThan">
      <formula>0</formula>
    </cfRule>
  </conditionalFormatting>
  <conditionalFormatting sqref="BZ98">
    <cfRule type="iconSet" priority="1452">
      <iconSet iconSet="4TrafficLights">
        <cfvo type="percent" val="0"/>
        <cfvo type="num" val="0.25"/>
        <cfvo type="num" val="0.5"/>
        <cfvo type="num" val="0.75"/>
      </iconSet>
    </cfRule>
    <cfRule type="cellIs" dxfId="775" priority="1453" stopIfTrue="1" operator="lessThan">
      <formula>0</formula>
    </cfRule>
  </conditionalFormatting>
  <conditionalFormatting sqref="CL98">
    <cfRule type="iconSet" priority="1454">
      <iconSet iconSet="4TrafficLights">
        <cfvo type="percent" val="0"/>
        <cfvo type="num" val="0.25"/>
        <cfvo type="num" val="0.5"/>
        <cfvo type="num" val="0.75"/>
      </iconSet>
    </cfRule>
    <cfRule type="cellIs" dxfId="774" priority="1455" operator="lessThan">
      <formula>0</formula>
    </cfRule>
  </conditionalFormatting>
  <conditionalFormatting sqref="CD99:CD101">
    <cfRule type="iconSet" priority="1436">
      <iconSet iconSet="4TrafficLights">
        <cfvo type="percent" val="0"/>
        <cfvo type="num" val="0.25"/>
        <cfvo type="num" val="0.5"/>
        <cfvo type="num" val="0.75"/>
      </iconSet>
    </cfRule>
    <cfRule type="cellIs" dxfId="773" priority="1437" operator="lessThan">
      <formula>0</formula>
    </cfRule>
  </conditionalFormatting>
  <conditionalFormatting sqref="CH99:CH101">
    <cfRule type="iconSet" priority="1438">
      <iconSet iconSet="4TrafficLights">
        <cfvo type="percent" val="0"/>
        <cfvo type="num" val="0.25"/>
        <cfvo type="num" val="0.5"/>
        <cfvo type="num" val="0.75"/>
      </iconSet>
    </cfRule>
    <cfRule type="cellIs" dxfId="772" priority="1439" operator="lessThan">
      <formula>0</formula>
    </cfRule>
  </conditionalFormatting>
  <conditionalFormatting sqref="BV99:BV101">
    <cfRule type="iconSet" priority="1440">
      <iconSet iconSet="4TrafficLights">
        <cfvo type="percent" val="0"/>
        <cfvo type="num" val="0.25"/>
        <cfvo type="num" val="0.5"/>
        <cfvo type="num" val="0.75"/>
      </iconSet>
    </cfRule>
    <cfRule type="cellIs" dxfId="771" priority="1441" operator="lessThan">
      <formula>0</formula>
    </cfRule>
  </conditionalFormatting>
  <conditionalFormatting sqref="BZ99:BZ101">
    <cfRule type="iconSet" priority="1442">
      <iconSet iconSet="4TrafficLights">
        <cfvo type="percent" val="0"/>
        <cfvo type="num" val="0.25"/>
        <cfvo type="num" val="0.5"/>
        <cfvo type="num" val="0.75"/>
      </iconSet>
    </cfRule>
    <cfRule type="cellIs" dxfId="770" priority="1443" stopIfTrue="1" operator="lessThan">
      <formula>0</formula>
    </cfRule>
  </conditionalFormatting>
  <conditionalFormatting sqref="CL99:CL101">
    <cfRule type="iconSet" priority="1444">
      <iconSet iconSet="4TrafficLights">
        <cfvo type="percent" val="0"/>
        <cfvo type="num" val="0.25"/>
        <cfvo type="num" val="0.5"/>
        <cfvo type="num" val="0.75"/>
      </iconSet>
    </cfRule>
    <cfRule type="cellIs" dxfId="769" priority="1445" operator="lessThan">
      <formula>0</formula>
    </cfRule>
  </conditionalFormatting>
  <conditionalFormatting sqref="CD102">
    <cfRule type="iconSet" priority="1424">
      <iconSet iconSet="4TrafficLights">
        <cfvo type="percent" val="0"/>
        <cfvo type="num" val="0.25"/>
        <cfvo type="num" val="0.5"/>
        <cfvo type="num" val="0.75"/>
      </iconSet>
    </cfRule>
    <cfRule type="cellIs" dxfId="768" priority="1425" operator="lessThan">
      <formula>0</formula>
    </cfRule>
  </conditionalFormatting>
  <conditionalFormatting sqref="CH102">
    <cfRule type="iconSet" priority="1426">
      <iconSet iconSet="4TrafficLights">
        <cfvo type="percent" val="0"/>
        <cfvo type="num" val="0.25"/>
        <cfvo type="num" val="0.5"/>
        <cfvo type="num" val="0.75"/>
      </iconSet>
    </cfRule>
    <cfRule type="cellIs" dxfId="767" priority="1427" operator="lessThan">
      <formula>0</formula>
    </cfRule>
  </conditionalFormatting>
  <conditionalFormatting sqref="CL102">
    <cfRule type="iconSet" priority="1428">
      <iconSet iconSet="4TrafficLights">
        <cfvo type="percent" val="0"/>
        <cfvo type="num" val="0.25"/>
        <cfvo type="num" val="0.5"/>
        <cfvo type="num" val="0.75"/>
      </iconSet>
    </cfRule>
    <cfRule type="cellIs" dxfId="766" priority="1429" operator="lessThan">
      <formula>0</formula>
    </cfRule>
  </conditionalFormatting>
  <conditionalFormatting sqref="CM102">
    <cfRule type="iconSet" priority="1430">
      <iconSet iconSet="4TrafficLights">
        <cfvo type="percent" val="0"/>
        <cfvo type="num" val="0.25"/>
        <cfvo type="num" val="0.5"/>
        <cfvo type="num" val="0.75"/>
      </iconSet>
    </cfRule>
    <cfRule type="cellIs" dxfId="765" priority="1431" operator="lessThan">
      <formula>0</formula>
    </cfRule>
  </conditionalFormatting>
  <conditionalFormatting sqref="BV102">
    <cfRule type="iconSet" priority="1432">
      <iconSet iconSet="4TrafficLights">
        <cfvo type="percent" val="0"/>
        <cfvo type="num" val="0.25"/>
        <cfvo type="num" val="0.5"/>
        <cfvo type="num" val="0.75"/>
      </iconSet>
    </cfRule>
    <cfRule type="cellIs" dxfId="764" priority="1433" operator="lessThan">
      <formula>0</formula>
    </cfRule>
  </conditionalFormatting>
  <conditionalFormatting sqref="BZ102">
    <cfRule type="iconSet" priority="1434">
      <iconSet iconSet="4TrafficLights">
        <cfvo type="percent" val="0"/>
        <cfvo type="num" val="0.25"/>
        <cfvo type="num" val="0.5"/>
        <cfvo type="num" val="0.75"/>
      </iconSet>
    </cfRule>
    <cfRule type="cellIs" dxfId="763" priority="1435" stopIfTrue="1" operator="lessThan">
      <formula>0</formula>
    </cfRule>
  </conditionalFormatting>
  <conditionalFormatting sqref="CD103">
    <cfRule type="iconSet" priority="1414">
      <iconSet iconSet="4TrafficLights">
        <cfvo type="percent" val="0"/>
        <cfvo type="num" val="0.25"/>
        <cfvo type="num" val="0.5"/>
        <cfvo type="num" val="0.75"/>
      </iconSet>
    </cfRule>
    <cfRule type="cellIs" dxfId="762" priority="1415" operator="lessThan">
      <formula>0</formula>
    </cfRule>
  </conditionalFormatting>
  <conditionalFormatting sqref="CH103">
    <cfRule type="iconSet" priority="1416">
      <iconSet iconSet="4TrafficLights">
        <cfvo type="percent" val="0"/>
        <cfvo type="num" val="0.25"/>
        <cfvo type="num" val="0.5"/>
        <cfvo type="num" val="0.75"/>
      </iconSet>
    </cfRule>
    <cfRule type="cellIs" dxfId="761" priority="1417" operator="lessThan">
      <formula>0</formula>
    </cfRule>
  </conditionalFormatting>
  <conditionalFormatting sqref="CL103">
    <cfRule type="iconSet" priority="1418">
      <iconSet iconSet="4TrafficLights">
        <cfvo type="percent" val="0"/>
        <cfvo type="num" val="0.25"/>
        <cfvo type="num" val="0.5"/>
        <cfvo type="num" val="0.75"/>
      </iconSet>
    </cfRule>
    <cfRule type="cellIs" dxfId="760" priority="1419" operator="lessThan">
      <formula>0</formula>
    </cfRule>
  </conditionalFormatting>
  <conditionalFormatting sqref="CM103">
    <cfRule type="iconSet" priority="1420">
      <iconSet iconSet="4TrafficLights">
        <cfvo type="percent" val="0"/>
        <cfvo type="num" val="0.25"/>
        <cfvo type="num" val="0.5"/>
        <cfvo type="num" val="0.75"/>
      </iconSet>
    </cfRule>
    <cfRule type="cellIs" dxfId="759" priority="1421" operator="lessThan">
      <formula>0</formula>
    </cfRule>
  </conditionalFormatting>
  <conditionalFormatting sqref="BV103">
    <cfRule type="iconSet" priority="1422">
      <iconSet iconSet="4TrafficLights">
        <cfvo type="percent" val="0"/>
        <cfvo type="num" val="0.25"/>
        <cfvo type="num" val="0.5"/>
        <cfvo type="num" val="0.75"/>
      </iconSet>
    </cfRule>
    <cfRule type="cellIs" dxfId="758" priority="1423" operator="lessThan">
      <formula>0</formula>
    </cfRule>
  </conditionalFormatting>
  <conditionalFormatting sqref="CD104">
    <cfRule type="iconSet" priority="1404">
      <iconSet iconSet="4TrafficLights">
        <cfvo type="percent" val="0"/>
        <cfvo type="num" val="0.25"/>
        <cfvo type="num" val="0.5"/>
        <cfvo type="num" val="0.75"/>
      </iconSet>
    </cfRule>
    <cfRule type="cellIs" dxfId="757" priority="1405" operator="lessThan">
      <formula>0</formula>
    </cfRule>
  </conditionalFormatting>
  <conditionalFormatting sqref="CH104">
    <cfRule type="iconSet" priority="1406">
      <iconSet iconSet="4TrafficLights">
        <cfvo type="percent" val="0"/>
        <cfvo type="num" val="0.25"/>
        <cfvo type="num" val="0.5"/>
        <cfvo type="num" val="0.75"/>
      </iconSet>
    </cfRule>
    <cfRule type="cellIs" dxfId="756" priority="1407" operator="lessThan">
      <formula>0</formula>
    </cfRule>
  </conditionalFormatting>
  <conditionalFormatting sqref="CL104">
    <cfRule type="iconSet" priority="1408">
      <iconSet iconSet="4TrafficLights">
        <cfvo type="percent" val="0"/>
        <cfvo type="num" val="0.25"/>
        <cfvo type="num" val="0.5"/>
        <cfvo type="num" val="0.75"/>
      </iconSet>
    </cfRule>
    <cfRule type="cellIs" dxfId="755" priority="1409" operator="lessThan">
      <formula>0</formula>
    </cfRule>
  </conditionalFormatting>
  <conditionalFormatting sqref="CM104">
    <cfRule type="iconSet" priority="1410">
      <iconSet iconSet="4TrafficLights">
        <cfvo type="percent" val="0"/>
        <cfvo type="num" val="0.25"/>
        <cfvo type="num" val="0.5"/>
        <cfvo type="num" val="0.75"/>
      </iconSet>
    </cfRule>
    <cfRule type="cellIs" dxfId="754" priority="1411" operator="lessThan">
      <formula>0</formula>
    </cfRule>
  </conditionalFormatting>
  <conditionalFormatting sqref="BV104">
    <cfRule type="iconSet" priority="1412">
      <iconSet iconSet="4TrafficLights">
        <cfvo type="percent" val="0"/>
        <cfvo type="num" val="0.25"/>
        <cfvo type="num" val="0.5"/>
        <cfvo type="num" val="0.75"/>
      </iconSet>
    </cfRule>
    <cfRule type="cellIs" dxfId="753" priority="1413" operator="lessThan">
      <formula>0</formula>
    </cfRule>
  </conditionalFormatting>
  <conditionalFormatting sqref="CD105">
    <cfRule type="iconSet" priority="1394">
      <iconSet iconSet="4TrafficLights">
        <cfvo type="percent" val="0"/>
        <cfvo type="num" val="0.25"/>
        <cfvo type="num" val="0.5"/>
        <cfvo type="num" val="0.75"/>
      </iconSet>
    </cfRule>
    <cfRule type="cellIs" dxfId="752" priority="1395" operator="lessThan">
      <formula>0</formula>
    </cfRule>
  </conditionalFormatting>
  <conditionalFormatting sqref="CH105">
    <cfRule type="iconSet" priority="1392">
      <iconSet iconSet="4TrafficLights">
        <cfvo type="percent" val="0"/>
        <cfvo type="num" val="0.25"/>
        <cfvo type="num" val="0.5"/>
        <cfvo type="num" val="0.75"/>
      </iconSet>
    </cfRule>
    <cfRule type="cellIs" dxfId="751" priority="1393" operator="lessThan">
      <formula>0</formula>
    </cfRule>
  </conditionalFormatting>
  <conditionalFormatting sqref="BV105">
    <cfRule type="iconSet" priority="1396">
      <iconSet iconSet="4TrafficLights">
        <cfvo type="percent" val="0"/>
        <cfvo type="num" val="0.25"/>
        <cfvo type="num" val="0.5"/>
        <cfvo type="num" val="0.75"/>
      </iconSet>
    </cfRule>
    <cfRule type="cellIs" dxfId="750" priority="1397" operator="lessThan">
      <formula>0</formula>
    </cfRule>
  </conditionalFormatting>
  <conditionalFormatting sqref="BZ105">
    <cfRule type="iconSet" priority="1398">
      <iconSet iconSet="4TrafficLights">
        <cfvo type="percent" val="0"/>
        <cfvo type="num" val="0.25"/>
        <cfvo type="num" val="0.5"/>
        <cfvo type="num" val="0.75"/>
      </iconSet>
    </cfRule>
    <cfRule type="cellIs" dxfId="749" priority="1399" stopIfTrue="1" operator="lessThan">
      <formula>0</formula>
    </cfRule>
  </conditionalFormatting>
  <conditionalFormatting sqref="CL105">
    <cfRule type="iconSet" priority="1400">
      <iconSet iconSet="4TrafficLights">
        <cfvo type="percent" val="0"/>
        <cfvo type="num" val="0.25"/>
        <cfvo type="num" val="0.5"/>
        <cfvo type="num" val="0.75"/>
      </iconSet>
    </cfRule>
    <cfRule type="cellIs" dxfId="748" priority="1401" operator="lessThan">
      <formula>0</formula>
    </cfRule>
  </conditionalFormatting>
  <conditionalFormatting sqref="CM105">
    <cfRule type="iconSet" priority="1402">
      <iconSet iconSet="4TrafficLights">
        <cfvo type="percent" val="0"/>
        <cfvo type="num" val="0.25"/>
        <cfvo type="num" val="0.5"/>
        <cfvo type="num" val="0.75"/>
      </iconSet>
    </cfRule>
    <cfRule type="cellIs" dxfId="747" priority="1403" operator="lessThan">
      <formula>0</formula>
    </cfRule>
  </conditionalFormatting>
  <conditionalFormatting sqref="CD106">
    <cfRule type="iconSet" priority="1382">
      <iconSet iconSet="4TrafficLights">
        <cfvo type="percent" val="0"/>
        <cfvo type="num" val="0.25"/>
        <cfvo type="num" val="0.5"/>
        <cfvo type="num" val="0.75"/>
      </iconSet>
    </cfRule>
    <cfRule type="cellIs" dxfId="746" priority="1383" operator="lessThan">
      <formula>0</formula>
    </cfRule>
  </conditionalFormatting>
  <conditionalFormatting sqref="CH106">
    <cfRule type="iconSet" priority="1380">
      <iconSet iconSet="4TrafficLights">
        <cfvo type="percent" val="0"/>
        <cfvo type="num" val="0.25"/>
        <cfvo type="num" val="0.5"/>
        <cfvo type="num" val="0.75"/>
      </iconSet>
    </cfRule>
    <cfRule type="cellIs" dxfId="745" priority="1381" operator="lessThan">
      <formula>0</formula>
    </cfRule>
  </conditionalFormatting>
  <conditionalFormatting sqref="BV106">
    <cfRule type="iconSet" priority="1384">
      <iconSet iconSet="4TrafficLights">
        <cfvo type="percent" val="0"/>
        <cfvo type="num" val="0.25"/>
        <cfvo type="num" val="0.5"/>
        <cfvo type="num" val="0.75"/>
      </iconSet>
    </cfRule>
    <cfRule type="cellIs" dxfId="744" priority="1385" operator="lessThan">
      <formula>0</formula>
    </cfRule>
  </conditionalFormatting>
  <conditionalFormatting sqref="BZ106">
    <cfRule type="iconSet" priority="1386">
      <iconSet iconSet="4TrafficLights">
        <cfvo type="percent" val="0"/>
        <cfvo type="num" val="0.25"/>
        <cfvo type="num" val="0.5"/>
        <cfvo type="num" val="0.75"/>
      </iconSet>
    </cfRule>
    <cfRule type="cellIs" dxfId="743" priority="1387" stopIfTrue="1" operator="lessThan">
      <formula>0</formula>
    </cfRule>
  </conditionalFormatting>
  <conditionalFormatting sqref="CL106">
    <cfRule type="iconSet" priority="1388">
      <iconSet iconSet="4TrafficLights">
        <cfvo type="percent" val="0"/>
        <cfvo type="num" val="0.25"/>
        <cfvo type="num" val="0.5"/>
        <cfvo type="num" val="0.75"/>
      </iconSet>
    </cfRule>
    <cfRule type="cellIs" dxfId="742" priority="1389" operator="lessThan">
      <formula>0</formula>
    </cfRule>
  </conditionalFormatting>
  <conditionalFormatting sqref="CM106">
    <cfRule type="iconSet" priority="1390">
      <iconSet iconSet="4TrafficLights">
        <cfvo type="percent" val="0"/>
        <cfvo type="num" val="0.25"/>
        <cfvo type="num" val="0.5"/>
        <cfvo type="num" val="0.75"/>
      </iconSet>
    </cfRule>
    <cfRule type="cellIs" dxfId="741" priority="1391" operator="lessThan">
      <formula>0</formula>
    </cfRule>
  </conditionalFormatting>
  <conditionalFormatting sqref="BV107">
    <cfRule type="iconSet" priority="1370">
      <iconSet iconSet="4TrafficLights">
        <cfvo type="percent" val="0"/>
        <cfvo type="num" val="0.25"/>
        <cfvo type="num" val="0.5"/>
        <cfvo type="num" val="0.75"/>
      </iconSet>
    </cfRule>
    <cfRule type="cellIs" dxfId="740" priority="1371" operator="lessThan">
      <formula>0</formula>
    </cfRule>
  </conditionalFormatting>
  <conditionalFormatting sqref="CD107">
    <cfRule type="iconSet" priority="1372">
      <iconSet iconSet="4TrafficLights">
        <cfvo type="percent" val="0"/>
        <cfvo type="num" val="0.25"/>
        <cfvo type="num" val="0.5"/>
        <cfvo type="num" val="0.75"/>
      </iconSet>
    </cfRule>
    <cfRule type="cellIs" dxfId="739" priority="1373" operator="lessThan">
      <formula>0</formula>
    </cfRule>
  </conditionalFormatting>
  <conditionalFormatting sqref="CH107">
    <cfRule type="iconSet" priority="1374">
      <iconSet iconSet="4TrafficLights">
        <cfvo type="percent" val="0"/>
        <cfvo type="num" val="0.25"/>
        <cfvo type="num" val="0.5"/>
        <cfvo type="num" val="0.75"/>
      </iconSet>
    </cfRule>
    <cfRule type="cellIs" dxfId="738" priority="1375" operator="lessThan">
      <formula>0</formula>
    </cfRule>
  </conditionalFormatting>
  <conditionalFormatting sqref="BZ107">
    <cfRule type="iconSet" priority="1376">
      <iconSet iconSet="4TrafficLights">
        <cfvo type="percent" val="0"/>
        <cfvo type="num" val="0.25"/>
        <cfvo type="num" val="0.5"/>
        <cfvo type="num" val="0.75"/>
      </iconSet>
    </cfRule>
    <cfRule type="cellIs" dxfId="737" priority="1377" stopIfTrue="1" operator="lessThan">
      <formula>0</formula>
    </cfRule>
  </conditionalFormatting>
  <conditionalFormatting sqref="CL107">
    <cfRule type="iconSet" priority="1378">
      <iconSet iconSet="4TrafficLights">
        <cfvo type="percent" val="0"/>
        <cfvo type="num" val="0.25"/>
        <cfvo type="num" val="0.5"/>
        <cfvo type="num" val="0.75"/>
      </iconSet>
    </cfRule>
    <cfRule type="cellIs" dxfId="736" priority="1379" operator="lessThan">
      <formula>0</formula>
    </cfRule>
  </conditionalFormatting>
  <conditionalFormatting sqref="CM111">
    <cfRule type="iconSet" priority="1368">
      <iconSet iconSet="4TrafficLights">
        <cfvo type="percent" val="0"/>
        <cfvo type="num" val="0.25"/>
        <cfvo type="num" val="0.5"/>
        <cfvo type="num" val="0.75"/>
      </iconSet>
    </cfRule>
    <cfRule type="cellIs" dxfId="735" priority="1369" operator="lessThan">
      <formula>0</formula>
    </cfRule>
  </conditionalFormatting>
  <conditionalFormatting sqref="CD120">
    <cfRule type="iconSet" priority="1362">
      <iconSet iconSet="4TrafficLights">
        <cfvo type="percent" val="0"/>
        <cfvo type="num" val="0.25"/>
        <cfvo type="num" val="0.5"/>
        <cfvo type="num" val="0.75"/>
      </iconSet>
    </cfRule>
    <cfRule type="cellIs" dxfId="734" priority="1363" operator="lessThan">
      <formula>0</formula>
    </cfRule>
  </conditionalFormatting>
  <conditionalFormatting sqref="CH120">
    <cfRule type="iconSet" priority="1360">
      <iconSet iconSet="4TrafficLights">
        <cfvo type="percent" val="0"/>
        <cfvo type="num" val="0.25"/>
        <cfvo type="num" val="0.5"/>
        <cfvo type="num" val="0.75"/>
      </iconSet>
    </cfRule>
    <cfRule type="cellIs" dxfId="733" priority="1361" operator="lessThan">
      <formula>0</formula>
    </cfRule>
  </conditionalFormatting>
  <conditionalFormatting sqref="CL120">
    <cfRule type="iconSet" priority="1364">
      <iconSet iconSet="4TrafficLights">
        <cfvo type="percent" val="0"/>
        <cfvo type="num" val="0.25"/>
        <cfvo type="num" val="0.5"/>
        <cfvo type="num" val="0.75"/>
      </iconSet>
    </cfRule>
    <cfRule type="cellIs" dxfId="732" priority="1365" operator="lessThan">
      <formula>0</formula>
    </cfRule>
  </conditionalFormatting>
  <conditionalFormatting sqref="CM118 CM120">
    <cfRule type="iconSet" priority="1366">
      <iconSet iconSet="4TrafficLights">
        <cfvo type="percent" val="0"/>
        <cfvo type="num" val="0.25"/>
        <cfvo type="num" val="0.5"/>
        <cfvo type="num" val="0.75"/>
      </iconSet>
    </cfRule>
    <cfRule type="cellIs" dxfId="731" priority="1367" operator="lessThan">
      <formula>0</formula>
    </cfRule>
  </conditionalFormatting>
  <conditionalFormatting sqref="CD124">
    <cfRule type="iconSet" priority="1350">
      <iconSet iconSet="4TrafficLights">
        <cfvo type="percent" val="0"/>
        <cfvo type="num" val="0.25"/>
        <cfvo type="num" val="0.5"/>
        <cfvo type="num" val="0.75"/>
      </iconSet>
    </cfRule>
    <cfRule type="cellIs" dxfId="730" priority="1351" operator="lessThan">
      <formula>0</formula>
    </cfRule>
  </conditionalFormatting>
  <conditionalFormatting sqref="CH124">
    <cfRule type="iconSet" priority="1348">
      <iconSet iconSet="4TrafficLights">
        <cfvo type="percent" val="0"/>
        <cfvo type="num" val="0.25"/>
        <cfvo type="num" val="0.5"/>
        <cfvo type="num" val="0.75"/>
      </iconSet>
    </cfRule>
    <cfRule type="cellIs" dxfId="729" priority="1349" operator="lessThan">
      <formula>0</formula>
    </cfRule>
  </conditionalFormatting>
  <conditionalFormatting sqref="BV124">
    <cfRule type="iconSet" priority="1352">
      <iconSet iconSet="4TrafficLights">
        <cfvo type="percent" val="0"/>
        <cfvo type="num" val="0.25"/>
        <cfvo type="num" val="0.5"/>
        <cfvo type="num" val="0.75"/>
      </iconSet>
    </cfRule>
    <cfRule type="cellIs" dxfId="728" priority="1353" operator="lessThan">
      <formula>0</formula>
    </cfRule>
  </conditionalFormatting>
  <conditionalFormatting sqref="BZ124">
    <cfRule type="iconSet" priority="1354">
      <iconSet iconSet="4TrafficLights">
        <cfvo type="percent" val="0"/>
        <cfvo type="num" val="0.25"/>
        <cfvo type="num" val="0.5"/>
        <cfvo type="num" val="0.75"/>
      </iconSet>
    </cfRule>
    <cfRule type="cellIs" dxfId="727" priority="1355" stopIfTrue="1" operator="lessThan">
      <formula>0</formula>
    </cfRule>
  </conditionalFormatting>
  <conditionalFormatting sqref="CL124">
    <cfRule type="iconSet" priority="1356">
      <iconSet iconSet="4TrafficLights">
        <cfvo type="percent" val="0"/>
        <cfvo type="num" val="0.25"/>
        <cfvo type="num" val="0.5"/>
        <cfvo type="num" val="0.75"/>
      </iconSet>
    </cfRule>
    <cfRule type="cellIs" dxfId="726" priority="1357" operator="lessThan">
      <formula>0</formula>
    </cfRule>
  </conditionalFormatting>
  <conditionalFormatting sqref="CM124">
    <cfRule type="iconSet" priority="1358">
      <iconSet iconSet="4TrafficLights">
        <cfvo type="percent" val="0"/>
        <cfvo type="num" val="0.25"/>
        <cfvo type="num" val="0.5"/>
        <cfvo type="num" val="0.75"/>
      </iconSet>
    </cfRule>
    <cfRule type="cellIs" dxfId="725" priority="1359" operator="lessThan">
      <formula>0</formula>
    </cfRule>
  </conditionalFormatting>
  <conditionalFormatting sqref="CD118">
    <cfRule type="iconSet" priority="1340">
      <iconSet iconSet="4TrafficLights">
        <cfvo type="percent" val="0"/>
        <cfvo type="num" val="0.25"/>
        <cfvo type="num" val="0.5"/>
        <cfvo type="num" val="0.75"/>
      </iconSet>
    </cfRule>
    <cfRule type="cellIs" dxfId="724" priority="1341" operator="lessThan">
      <formula>0</formula>
    </cfRule>
  </conditionalFormatting>
  <conditionalFormatting sqref="CH118">
    <cfRule type="iconSet" priority="1342">
      <iconSet iconSet="4TrafficLights">
        <cfvo type="percent" val="0"/>
        <cfvo type="num" val="0.25"/>
        <cfvo type="num" val="0.5"/>
        <cfvo type="num" val="0.75"/>
      </iconSet>
    </cfRule>
    <cfRule type="cellIs" dxfId="723" priority="1343" operator="lessThan">
      <formula>0</formula>
    </cfRule>
  </conditionalFormatting>
  <conditionalFormatting sqref="BZ118">
    <cfRule type="iconSet" priority="1344">
      <iconSet iconSet="4TrafficLights">
        <cfvo type="percent" val="0"/>
        <cfvo type="num" val="0.25"/>
        <cfvo type="num" val="0.5"/>
        <cfvo type="num" val="0.75"/>
      </iconSet>
    </cfRule>
    <cfRule type="cellIs" dxfId="722" priority="1345" stopIfTrue="1" operator="lessThan">
      <formula>0</formula>
    </cfRule>
  </conditionalFormatting>
  <conditionalFormatting sqref="CL118">
    <cfRule type="iconSet" priority="1346">
      <iconSet iconSet="4TrafficLights">
        <cfvo type="percent" val="0"/>
        <cfvo type="num" val="0.25"/>
        <cfvo type="num" val="0.5"/>
        <cfvo type="num" val="0.75"/>
      </iconSet>
    </cfRule>
    <cfRule type="cellIs" dxfId="721" priority="1347" operator="lessThan">
      <formula>0</formula>
    </cfRule>
  </conditionalFormatting>
  <conditionalFormatting sqref="CD140">
    <cfRule type="iconSet" priority="1330">
      <iconSet iconSet="4TrafficLights">
        <cfvo type="percent" val="0"/>
        <cfvo type="num" val="0.25"/>
        <cfvo type="num" val="0.5"/>
        <cfvo type="num" val="0.75"/>
      </iconSet>
    </cfRule>
    <cfRule type="cellIs" dxfId="720" priority="1331" operator="lessThan">
      <formula>0</formula>
    </cfRule>
  </conditionalFormatting>
  <conditionalFormatting sqref="CH140">
    <cfRule type="iconSet" priority="1328">
      <iconSet iconSet="4TrafficLights">
        <cfvo type="percent" val="0"/>
        <cfvo type="num" val="0.25"/>
        <cfvo type="num" val="0.5"/>
        <cfvo type="num" val="0.75"/>
      </iconSet>
    </cfRule>
    <cfRule type="cellIs" dxfId="719" priority="1329" operator="lessThan">
      <formula>0</formula>
    </cfRule>
  </conditionalFormatting>
  <conditionalFormatting sqref="BV140">
    <cfRule type="iconSet" priority="1332">
      <iconSet iconSet="4TrafficLights">
        <cfvo type="percent" val="0"/>
        <cfvo type="num" val="0.25"/>
        <cfvo type="num" val="0.5"/>
        <cfvo type="num" val="0.75"/>
      </iconSet>
    </cfRule>
    <cfRule type="cellIs" dxfId="718" priority="1333" operator="lessThan">
      <formula>0</formula>
    </cfRule>
  </conditionalFormatting>
  <conditionalFormatting sqref="BZ140">
    <cfRule type="iconSet" priority="1334">
      <iconSet iconSet="4TrafficLights">
        <cfvo type="percent" val="0"/>
        <cfvo type="num" val="0.25"/>
        <cfvo type="num" val="0.5"/>
        <cfvo type="num" val="0.75"/>
      </iconSet>
    </cfRule>
    <cfRule type="cellIs" dxfId="717" priority="1335" stopIfTrue="1" operator="lessThan">
      <formula>0</formula>
    </cfRule>
  </conditionalFormatting>
  <conditionalFormatting sqref="CL140">
    <cfRule type="iconSet" priority="1336">
      <iconSet iconSet="4TrafficLights">
        <cfvo type="percent" val="0"/>
        <cfvo type="num" val="0.25"/>
        <cfvo type="num" val="0.5"/>
        <cfvo type="num" val="0.75"/>
      </iconSet>
    </cfRule>
    <cfRule type="cellIs" dxfId="716" priority="1337" operator="lessThan">
      <formula>0</formula>
    </cfRule>
  </conditionalFormatting>
  <conditionalFormatting sqref="CM140">
    <cfRule type="iconSet" priority="1338">
      <iconSet iconSet="4TrafficLights">
        <cfvo type="percent" val="0"/>
        <cfvo type="num" val="0.25"/>
        <cfvo type="num" val="0.5"/>
        <cfvo type="num" val="0.75"/>
      </iconSet>
    </cfRule>
    <cfRule type="cellIs" dxfId="715" priority="1339" operator="lessThan">
      <formula>0</formula>
    </cfRule>
  </conditionalFormatting>
  <conditionalFormatting sqref="BV109">
    <cfRule type="iconSet" priority="1318">
      <iconSet iconSet="4TrafficLights">
        <cfvo type="percent" val="0"/>
        <cfvo type="num" val="0.25"/>
        <cfvo type="num" val="0.5"/>
        <cfvo type="num" val="0.75"/>
      </iconSet>
    </cfRule>
    <cfRule type="cellIs" dxfId="714" priority="1319" operator="lessThan">
      <formula>0</formula>
    </cfRule>
  </conditionalFormatting>
  <conditionalFormatting sqref="CD109">
    <cfRule type="iconSet" priority="1320">
      <iconSet iconSet="4TrafficLights">
        <cfvo type="percent" val="0"/>
        <cfvo type="num" val="0.25"/>
        <cfvo type="num" val="0.5"/>
        <cfvo type="num" val="0.75"/>
      </iconSet>
    </cfRule>
    <cfRule type="cellIs" dxfId="713" priority="1321" operator="lessThan">
      <formula>0</formula>
    </cfRule>
  </conditionalFormatting>
  <conditionalFormatting sqref="CH109">
    <cfRule type="iconSet" priority="1322">
      <iconSet iconSet="4TrafficLights">
        <cfvo type="percent" val="0"/>
        <cfvo type="num" val="0.25"/>
        <cfvo type="num" val="0.5"/>
        <cfvo type="num" val="0.75"/>
      </iconSet>
    </cfRule>
    <cfRule type="cellIs" dxfId="712" priority="1323" operator="lessThan">
      <formula>0</formula>
    </cfRule>
  </conditionalFormatting>
  <conditionalFormatting sqref="BZ109">
    <cfRule type="iconSet" priority="1324">
      <iconSet iconSet="4TrafficLights">
        <cfvo type="percent" val="0"/>
        <cfvo type="num" val="0.25"/>
        <cfvo type="num" val="0.5"/>
        <cfvo type="num" val="0.75"/>
      </iconSet>
    </cfRule>
    <cfRule type="cellIs" dxfId="711" priority="1325" stopIfTrue="1" operator="lessThan">
      <formula>0</formula>
    </cfRule>
  </conditionalFormatting>
  <conditionalFormatting sqref="CL109">
    <cfRule type="iconSet" priority="1326">
      <iconSet iconSet="4TrafficLights">
        <cfvo type="percent" val="0"/>
        <cfvo type="num" val="0.25"/>
        <cfvo type="num" val="0.5"/>
        <cfvo type="num" val="0.75"/>
      </iconSet>
    </cfRule>
    <cfRule type="cellIs" dxfId="710" priority="1327" operator="lessThan">
      <formula>0</formula>
    </cfRule>
  </conditionalFormatting>
  <conditionalFormatting sqref="CD111">
    <cfRule type="iconSet" priority="1312">
      <iconSet iconSet="4TrafficLights">
        <cfvo type="percent" val="0"/>
        <cfvo type="num" val="0.25"/>
        <cfvo type="num" val="0.5"/>
        <cfvo type="num" val="0.75"/>
      </iconSet>
    </cfRule>
    <cfRule type="cellIs" dxfId="709" priority="1313" operator="lessThan">
      <formula>0</formula>
    </cfRule>
  </conditionalFormatting>
  <conditionalFormatting sqref="CH111">
    <cfRule type="iconSet" priority="1310">
      <iconSet iconSet="4TrafficLights">
        <cfvo type="percent" val="0"/>
        <cfvo type="num" val="0.25"/>
        <cfvo type="num" val="0.5"/>
        <cfvo type="num" val="0.75"/>
      </iconSet>
    </cfRule>
    <cfRule type="cellIs" dxfId="708" priority="1311" operator="lessThan">
      <formula>0</formula>
    </cfRule>
  </conditionalFormatting>
  <conditionalFormatting sqref="BZ111">
    <cfRule type="iconSet" priority="1314">
      <iconSet iconSet="4TrafficLights">
        <cfvo type="percent" val="0"/>
        <cfvo type="num" val="0.25"/>
        <cfvo type="num" val="0.5"/>
        <cfvo type="num" val="0.75"/>
      </iconSet>
    </cfRule>
    <cfRule type="cellIs" dxfId="707" priority="1315" stopIfTrue="1" operator="lessThan">
      <formula>0</formula>
    </cfRule>
  </conditionalFormatting>
  <conditionalFormatting sqref="CL111">
    <cfRule type="iconSet" priority="1316">
      <iconSet iconSet="4TrafficLights">
        <cfvo type="percent" val="0"/>
        <cfvo type="num" val="0.25"/>
        <cfvo type="num" val="0.5"/>
        <cfvo type="num" val="0.75"/>
      </iconSet>
    </cfRule>
    <cfRule type="cellIs" dxfId="706" priority="1317" operator="lessThan">
      <formula>0</formula>
    </cfRule>
  </conditionalFormatting>
  <conditionalFormatting sqref="BV111">
    <cfRule type="iconSet" priority="1308">
      <iconSet iconSet="4TrafficLights">
        <cfvo type="percent" val="0"/>
        <cfvo type="num" val="0.25"/>
        <cfvo type="num" val="0.5"/>
        <cfvo type="num" val="0.75"/>
      </iconSet>
    </cfRule>
    <cfRule type="cellIs" dxfId="705" priority="1309" operator="lessThan">
      <formula>0</formula>
    </cfRule>
  </conditionalFormatting>
  <conditionalFormatting sqref="BV113">
    <cfRule type="iconSet" priority="1306">
      <iconSet iconSet="4TrafficLights">
        <cfvo type="percent" val="0"/>
        <cfvo type="num" val="0.25"/>
        <cfvo type="num" val="0.5"/>
        <cfvo type="num" val="0.75"/>
      </iconSet>
    </cfRule>
    <cfRule type="cellIs" dxfId="704" priority="1307" operator="lessThan">
      <formula>0</formula>
    </cfRule>
  </conditionalFormatting>
  <conditionalFormatting sqref="BV115">
    <cfRule type="iconSet" priority="1304">
      <iconSet iconSet="4TrafficLights">
        <cfvo type="percent" val="0"/>
        <cfvo type="num" val="0.25"/>
        <cfvo type="num" val="0.5"/>
        <cfvo type="num" val="0.75"/>
      </iconSet>
    </cfRule>
    <cfRule type="cellIs" dxfId="703" priority="1305" operator="lessThan">
      <formula>0</formula>
    </cfRule>
  </conditionalFormatting>
  <conditionalFormatting sqref="BV118">
    <cfRule type="iconSet" priority="1302">
      <iconSet iconSet="4TrafficLights">
        <cfvo type="percent" val="0"/>
        <cfvo type="num" val="0.25"/>
        <cfvo type="num" val="0.5"/>
        <cfvo type="num" val="0.75"/>
      </iconSet>
    </cfRule>
    <cfRule type="cellIs" dxfId="702" priority="1303" operator="lessThan">
      <formula>0</formula>
    </cfRule>
  </conditionalFormatting>
  <conditionalFormatting sqref="BZ120">
    <cfRule type="iconSet" priority="1300">
      <iconSet iconSet="4TrafficLights">
        <cfvo type="percent" val="0"/>
        <cfvo type="num" val="0.25"/>
        <cfvo type="num" val="0.5"/>
        <cfvo type="num" val="0.75"/>
      </iconSet>
    </cfRule>
    <cfRule type="cellIs" dxfId="701" priority="1301" stopIfTrue="1" operator="lessThan">
      <formula>0</formula>
    </cfRule>
  </conditionalFormatting>
  <conditionalFormatting sqref="BZ122">
    <cfRule type="iconSet" priority="1298">
      <iconSet iconSet="4TrafficLights">
        <cfvo type="percent" val="0"/>
        <cfvo type="num" val="0.25"/>
        <cfvo type="num" val="0.5"/>
        <cfvo type="num" val="0.75"/>
      </iconSet>
    </cfRule>
    <cfRule type="cellIs" dxfId="700" priority="1299" stopIfTrue="1" operator="lessThan">
      <formula>0</formula>
    </cfRule>
  </conditionalFormatting>
  <conditionalFormatting sqref="BV120">
    <cfRule type="iconSet" priority="1296">
      <iconSet iconSet="4TrafficLights">
        <cfvo type="percent" val="0"/>
        <cfvo type="num" val="0.25"/>
        <cfvo type="num" val="0.5"/>
        <cfvo type="num" val="0.75"/>
      </iconSet>
    </cfRule>
    <cfRule type="cellIs" dxfId="699" priority="1297" operator="lessThan">
      <formula>0</formula>
    </cfRule>
  </conditionalFormatting>
  <conditionalFormatting sqref="BV122">
    <cfRule type="iconSet" priority="1294">
      <iconSet iconSet="4TrafficLights">
        <cfvo type="percent" val="0"/>
        <cfvo type="num" val="0.25"/>
        <cfvo type="num" val="0.5"/>
        <cfvo type="num" val="0.75"/>
      </iconSet>
    </cfRule>
    <cfRule type="cellIs" dxfId="698" priority="1295" operator="lessThan">
      <formula>0</formula>
    </cfRule>
  </conditionalFormatting>
  <conditionalFormatting sqref="CM119">
    <cfRule type="iconSet" priority="1292">
      <iconSet iconSet="4TrafficLights">
        <cfvo type="percent" val="0"/>
        <cfvo type="num" val="0.25"/>
        <cfvo type="num" val="0.5"/>
        <cfvo type="num" val="0.75"/>
      </iconSet>
    </cfRule>
    <cfRule type="cellIs" dxfId="697" priority="1293" operator="lessThan">
      <formula>0</formula>
    </cfRule>
  </conditionalFormatting>
  <conditionalFormatting sqref="CM121">
    <cfRule type="iconSet" priority="1290">
      <iconSet iconSet="4TrafficLights">
        <cfvo type="percent" val="0"/>
        <cfvo type="num" val="0.25"/>
        <cfvo type="num" val="0.5"/>
        <cfvo type="num" val="0.75"/>
      </iconSet>
    </cfRule>
    <cfRule type="cellIs" dxfId="696" priority="1291" operator="lessThan">
      <formula>0</formula>
    </cfRule>
  </conditionalFormatting>
  <conditionalFormatting sqref="BV125">
    <cfRule type="iconSet" priority="1288">
      <iconSet iconSet="4TrafficLights">
        <cfvo type="percent" val="0"/>
        <cfvo type="num" val="0.25"/>
        <cfvo type="num" val="0.5"/>
        <cfvo type="num" val="0.75"/>
      </iconSet>
    </cfRule>
    <cfRule type="cellIs" dxfId="695" priority="1289" operator="lessThan">
      <formula>0</formula>
    </cfRule>
  </conditionalFormatting>
  <conditionalFormatting sqref="BZ117">
    <cfRule type="iconSet" priority="1286">
      <iconSet iconSet="4TrafficLights">
        <cfvo type="percent" val="0"/>
        <cfvo type="num" val="0.25"/>
        <cfvo type="num" val="0.5"/>
        <cfvo type="num" val="0.75"/>
      </iconSet>
    </cfRule>
    <cfRule type="cellIs" dxfId="694" priority="1287" stopIfTrue="1" operator="lessThan">
      <formula>0</formula>
    </cfRule>
  </conditionalFormatting>
  <conditionalFormatting sqref="BZ103">
    <cfRule type="iconSet" priority="1284">
      <iconSet iconSet="4TrafficLights">
        <cfvo type="percent" val="0"/>
        <cfvo type="num" val="0.25"/>
        <cfvo type="num" val="0.5"/>
        <cfvo type="num" val="0.75"/>
      </iconSet>
    </cfRule>
    <cfRule type="cellIs" dxfId="693" priority="1285" stopIfTrue="1" operator="lessThan">
      <formula>0</formula>
    </cfRule>
  </conditionalFormatting>
  <conditionalFormatting sqref="BZ104">
    <cfRule type="iconSet" priority="1282">
      <iconSet iconSet="4TrafficLights">
        <cfvo type="percent" val="0"/>
        <cfvo type="num" val="0.25"/>
        <cfvo type="num" val="0.5"/>
        <cfvo type="num" val="0.75"/>
      </iconSet>
    </cfRule>
    <cfRule type="cellIs" dxfId="692" priority="1283" stopIfTrue="1" operator="lessThan">
      <formula>0</formula>
    </cfRule>
  </conditionalFormatting>
  <conditionalFormatting sqref="CE141">
    <cfRule type="iconSet" priority="1272">
      <iconSet iconSet="4TrafficLights">
        <cfvo type="percent" val="0"/>
        <cfvo type="num" val="0.25"/>
        <cfvo type="num" val="0.5"/>
        <cfvo type="num" val="0.75"/>
      </iconSet>
    </cfRule>
    <cfRule type="cellIs" dxfId="691" priority="1273" operator="lessThan">
      <formula>0</formula>
    </cfRule>
  </conditionalFormatting>
  <conditionalFormatting sqref="CI141">
    <cfRule type="iconSet" priority="1274">
      <iconSet iconSet="4TrafficLights">
        <cfvo type="percent" val="0"/>
        <cfvo type="num" val="0.25"/>
        <cfvo type="num" val="0.5"/>
        <cfvo type="num" val="0.75"/>
      </iconSet>
    </cfRule>
    <cfRule type="cellIs" dxfId="690" priority="1275" operator="lessThan">
      <formula>0</formula>
    </cfRule>
  </conditionalFormatting>
  <conditionalFormatting sqref="CA141">
    <cfRule type="iconSet" priority="1276">
      <iconSet iconSet="4TrafficLights">
        <cfvo type="percent" val="0"/>
        <cfvo type="num" val="0.25"/>
        <cfvo type="num" val="0.5"/>
        <cfvo type="num" val="0.75"/>
      </iconSet>
    </cfRule>
    <cfRule type="cellIs" dxfId="689" priority="1277" stopIfTrue="1" operator="lessThan">
      <formula>0</formula>
    </cfRule>
  </conditionalFormatting>
  <conditionalFormatting sqref="CM141">
    <cfRule type="iconSet" priority="1278">
      <iconSet iconSet="4TrafficLights">
        <cfvo type="percent" val="0"/>
        <cfvo type="num" val="0.25"/>
        <cfvo type="num" val="0.5"/>
        <cfvo type="num" val="0.75"/>
      </iconSet>
    </cfRule>
    <cfRule type="cellIs" dxfId="688" priority="1279" operator="lessThan">
      <formula>0</formula>
    </cfRule>
  </conditionalFormatting>
  <conditionalFormatting sqref="CN141">
    <cfRule type="iconSet" priority="1280">
      <iconSet iconSet="4TrafficLights">
        <cfvo type="percent" val="0"/>
        <cfvo type="num" val="0.25"/>
        <cfvo type="num" val="0.5"/>
        <cfvo type="num" val="0.75"/>
      </iconSet>
    </cfRule>
    <cfRule type="cellIs" dxfId="687" priority="1281" operator="lessThan">
      <formula>0</formula>
    </cfRule>
  </conditionalFormatting>
  <conditionalFormatting sqref="CE142">
    <cfRule type="iconSet" priority="1262">
      <iconSet iconSet="4TrafficLights">
        <cfvo type="percent" val="0"/>
        <cfvo type="num" val="0.25"/>
        <cfvo type="num" val="0.5"/>
        <cfvo type="num" val="0.75"/>
      </iconSet>
    </cfRule>
    <cfRule type="cellIs" dxfId="686" priority="1263" operator="lessThan">
      <formula>0</formula>
    </cfRule>
  </conditionalFormatting>
  <conditionalFormatting sqref="CI142">
    <cfRule type="iconSet" priority="1264">
      <iconSet iconSet="4TrafficLights">
        <cfvo type="percent" val="0"/>
        <cfvo type="num" val="0.25"/>
        <cfvo type="num" val="0.5"/>
        <cfvo type="num" val="0.75"/>
      </iconSet>
    </cfRule>
    <cfRule type="cellIs" dxfId="685" priority="1265" operator="lessThan">
      <formula>0</formula>
    </cfRule>
  </conditionalFormatting>
  <conditionalFormatting sqref="CA142">
    <cfRule type="iconSet" priority="1266">
      <iconSet iconSet="4TrafficLights">
        <cfvo type="percent" val="0"/>
        <cfvo type="num" val="0.25"/>
        <cfvo type="num" val="0.5"/>
        <cfvo type="num" val="0.75"/>
      </iconSet>
    </cfRule>
    <cfRule type="cellIs" dxfId="684" priority="1267" stopIfTrue="1" operator="lessThan">
      <formula>0</formula>
    </cfRule>
  </conditionalFormatting>
  <conditionalFormatting sqref="CM142">
    <cfRule type="iconSet" priority="1268">
      <iconSet iconSet="4TrafficLights">
        <cfvo type="percent" val="0"/>
        <cfvo type="num" val="0.25"/>
        <cfvo type="num" val="0.5"/>
        <cfvo type="num" val="0.75"/>
      </iconSet>
    </cfRule>
    <cfRule type="cellIs" dxfId="683" priority="1269" operator="lessThan">
      <formula>0</formula>
    </cfRule>
  </conditionalFormatting>
  <conditionalFormatting sqref="CN142">
    <cfRule type="iconSet" priority="1270">
      <iconSet iconSet="4TrafficLights">
        <cfvo type="percent" val="0"/>
        <cfvo type="num" val="0.25"/>
        <cfvo type="num" val="0.5"/>
        <cfvo type="num" val="0.75"/>
      </iconSet>
    </cfRule>
    <cfRule type="cellIs" dxfId="682" priority="1271" operator="lessThan">
      <formula>0</formula>
    </cfRule>
  </conditionalFormatting>
  <conditionalFormatting sqref="CM143:CM144">
    <cfRule type="iconSet" priority="1260">
      <iconSet iconSet="4TrafficLights">
        <cfvo type="percent" val="0"/>
        <cfvo type="num" val="0.25"/>
        <cfvo type="num" val="0.5"/>
        <cfvo type="num" val="0.75"/>
      </iconSet>
    </cfRule>
    <cfRule type="cellIs" dxfId="681" priority="1261" operator="lessThan">
      <formula>0</formula>
    </cfRule>
  </conditionalFormatting>
  <conditionalFormatting sqref="CD143:CD144">
    <cfRule type="iconSet" priority="1252">
      <iconSet iconSet="4TrafficLights">
        <cfvo type="percent" val="0"/>
        <cfvo type="num" val="0.25"/>
        <cfvo type="num" val="0.5"/>
        <cfvo type="num" val="0.75"/>
      </iconSet>
    </cfRule>
    <cfRule type="cellIs" dxfId="680" priority="1253" operator="lessThan">
      <formula>0</formula>
    </cfRule>
  </conditionalFormatting>
  <conditionalFormatting sqref="CH143:CH144">
    <cfRule type="iconSet" priority="1250">
      <iconSet iconSet="4TrafficLights">
        <cfvo type="percent" val="0"/>
        <cfvo type="num" val="0.25"/>
        <cfvo type="num" val="0.5"/>
        <cfvo type="num" val="0.75"/>
      </iconSet>
    </cfRule>
    <cfRule type="cellIs" dxfId="679" priority="1251" operator="lessThan">
      <formula>0</formula>
    </cfRule>
  </conditionalFormatting>
  <conditionalFormatting sqref="BV143:BV144">
    <cfRule type="iconSet" priority="1254">
      <iconSet iconSet="4TrafficLights">
        <cfvo type="percent" val="0"/>
        <cfvo type="num" val="0.25"/>
        <cfvo type="num" val="0.5"/>
        <cfvo type="num" val="0.75"/>
      </iconSet>
    </cfRule>
    <cfRule type="cellIs" dxfId="678" priority="1255" operator="lessThan">
      <formula>0</formula>
    </cfRule>
  </conditionalFormatting>
  <conditionalFormatting sqref="BZ143:BZ144">
    <cfRule type="iconSet" priority="1256">
      <iconSet iconSet="4TrafficLights">
        <cfvo type="percent" val="0"/>
        <cfvo type="num" val="0.25"/>
        <cfvo type="num" val="0.5"/>
        <cfvo type="num" val="0.75"/>
      </iconSet>
    </cfRule>
    <cfRule type="cellIs" dxfId="677" priority="1257" stopIfTrue="1" operator="lessThan">
      <formula>0</formula>
    </cfRule>
  </conditionalFormatting>
  <conditionalFormatting sqref="CL143:CL144">
    <cfRule type="iconSet" priority="1258">
      <iconSet iconSet="4TrafficLights">
        <cfvo type="percent" val="0"/>
        <cfvo type="num" val="0.25"/>
        <cfvo type="num" val="0.5"/>
        <cfvo type="num" val="0.75"/>
      </iconSet>
    </cfRule>
    <cfRule type="cellIs" dxfId="676" priority="1259" operator="lessThan">
      <formula>0</formula>
    </cfRule>
  </conditionalFormatting>
  <conditionalFormatting sqref="BV151">
    <cfRule type="iconSet" priority="1230">
      <iconSet iconSet="4TrafficLights">
        <cfvo type="percent" val="0"/>
        <cfvo type="num" val="0.25"/>
        <cfvo type="num" val="0.5"/>
        <cfvo type="num" val="0.75"/>
      </iconSet>
    </cfRule>
    <cfRule type="cellIs" dxfId="675" priority="1235" operator="lessThan">
      <formula>0</formula>
    </cfRule>
  </conditionalFormatting>
  <conditionalFormatting sqref="BZ151">
    <cfRule type="iconSet" priority="1231">
      <iconSet iconSet="4TrafficLights">
        <cfvo type="percent" val="0"/>
        <cfvo type="num" val="0.25"/>
        <cfvo type="num" val="0.5"/>
        <cfvo type="num" val="0.75"/>
      </iconSet>
    </cfRule>
    <cfRule type="cellIs" dxfId="674" priority="1233" stopIfTrue="1" operator="lessThan">
      <formula>0</formula>
    </cfRule>
  </conditionalFormatting>
  <conditionalFormatting sqref="CD151">
    <cfRule type="iconSet" priority="1232">
      <iconSet iconSet="4TrafficLights">
        <cfvo type="percent" val="0"/>
        <cfvo type="num" val="0.25"/>
        <cfvo type="num" val="0.5"/>
        <cfvo type="num" val="0.75"/>
      </iconSet>
    </cfRule>
    <cfRule type="cellIs" dxfId="673" priority="1234" operator="lessThan">
      <formula>0</formula>
    </cfRule>
  </conditionalFormatting>
  <conditionalFormatting sqref="CH151">
    <cfRule type="iconSet" priority="1228">
      <iconSet iconSet="4TrafficLights">
        <cfvo type="percent" val="0"/>
        <cfvo type="num" val="0.25"/>
        <cfvo type="num" val="0.5"/>
        <cfvo type="num" val="0.75"/>
      </iconSet>
    </cfRule>
    <cfRule type="cellIs" dxfId="672" priority="1229" operator="lessThan">
      <formula>0</formula>
    </cfRule>
  </conditionalFormatting>
  <conditionalFormatting sqref="CL151">
    <cfRule type="iconSet" priority="1236">
      <iconSet iconSet="4TrafficLights">
        <cfvo type="percent" val="0"/>
        <cfvo type="num" val="0.25"/>
        <cfvo type="num" val="0.5"/>
        <cfvo type="num" val="0.75"/>
      </iconSet>
    </cfRule>
    <cfRule type="cellIs" dxfId="671" priority="1237" operator="lessThan">
      <formula>0</formula>
    </cfRule>
  </conditionalFormatting>
  <conditionalFormatting sqref="CD150">
    <cfRule type="iconSet" priority="1218">
      <iconSet iconSet="4TrafficLights">
        <cfvo type="percent" val="0"/>
        <cfvo type="num" val="0.25"/>
        <cfvo type="num" val="0.5"/>
        <cfvo type="num" val="0.75"/>
      </iconSet>
    </cfRule>
    <cfRule type="cellIs" dxfId="670" priority="1219" operator="lessThan">
      <formula>0</formula>
    </cfRule>
  </conditionalFormatting>
  <conditionalFormatting sqref="CH150">
    <cfRule type="iconSet" priority="1220">
      <iconSet iconSet="4TrafficLights">
        <cfvo type="percent" val="0"/>
        <cfvo type="num" val="0.25"/>
        <cfvo type="num" val="0.5"/>
        <cfvo type="num" val="0.75"/>
      </iconSet>
    </cfRule>
    <cfRule type="cellIs" dxfId="669" priority="1221" operator="lessThan">
      <formula>0</formula>
    </cfRule>
  </conditionalFormatting>
  <conditionalFormatting sqref="BV150">
    <cfRule type="iconSet" priority="1222">
      <iconSet iconSet="4TrafficLights">
        <cfvo type="percent" val="0"/>
        <cfvo type="num" val="0.25"/>
        <cfvo type="num" val="0.5"/>
        <cfvo type="num" val="0.75"/>
      </iconSet>
    </cfRule>
    <cfRule type="cellIs" dxfId="668" priority="1223" operator="lessThan">
      <formula>0</formula>
    </cfRule>
  </conditionalFormatting>
  <conditionalFormatting sqref="BZ150">
    <cfRule type="iconSet" priority="1224">
      <iconSet iconSet="4TrafficLights">
        <cfvo type="percent" val="0"/>
        <cfvo type="num" val="0.25"/>
        <cfvo type="num" val="0.5"/>
        <cfvo type="num" val="0.75"/>
      </iconSet>
    </cfRule>
    <cfRule type="cellIs" dxfId="667" priority="1225" stopIfTrue="1" operator="lessThan">
      <formula>0</formula>
    </cfRule>
  </conditionalFormatting>
  <conditionalFormatting sqref="CL150">
    <cfRule type="iconSet" priority="1226">
      <iconSet iconSet="4TrafficLights">
        <cfvo type="percent" val="0"/>
        <cfvo type="num" val="0.25"/>
        <cfvo type="num" val="0.5"/>
        <cfvo type="num" val="0.75"/>
      </iconSet>
    </cfRule>
    <cfRule type="cellIs" dxfId="666" priority="1227" operator="lessThan">
      <formula>0</formula>
    </cfRule>
  </conditionalFormatting>
  <conditionalFormatting sqref="BZ150">
    <cfRule type="iconSet" priority="1216">
      <iconSet iconSet="4TrafficLights">
        <cfvo type="percent" val="0"/>
        <cfvo type="num" val="0.25"/>
        <cfvo type="num" val="0.5"/>
        <cfvo type="num" val="0.75"/>
      </iconSet>
    </cfRule>
    <cfRule type="cellIs" dxfId="665" priority="1217" operator="lessThan">
      <formula>0</formula>
    </cfRule>
  </conditionalFormatting>
  <conditionalFormatting sqref="CD150 CH150 CL150">
    <cfRule type="iconSet" priority="1214">
      <iconSet iconSet="4TrafficLights">
        <cfvo type="percent" val="0"/>
        <cfvo type="num" val="0.25"/>
        <cfvo type="num" val="0.5"/>
        <cfvo type="num" val="0.75"/>
      </iconSet>
    </cfRule>
    <cfRule type="cellIs" dxfId="664" priority="1215" stopIfTrue="1" operator="lessThan">
      <formula>0</formula>
    </cfRule>
  </conditionalFormatting>
  <conditionalFormatting sqref="CD150 CH150 CL150">
    <cfRule type="iconSet" priority="1212">
      <iconSet iconSet="4TrafficLights">
        <cfvo type="percent" val="0"/>
        <cfvo type="num" val="0.25"/>
        <cfvo type="num" val="0.5"/>
        <cfvo type="num" val="0.75"/>
      </iconSet>
    </cfRule>
    <cfRule type="cellIs" dxfId="663" priority="1213" operator="lessThan">
      <formula>0</formula>
    </cfRule>
  </conditionalFormatting>
  <conditionalFormatting sqref="BZ150 CD150 CH150 CL150">
    <cfRule type="iconSet" priority="1210">
      <iconSet iconSet="4TrafficLights">
        <cfvo type="percent" val="0"/>
        <cfvo type="num" val="0.25"/>
        <cfvo type="num" val="0.5"/>
        <cfvo type="num" val="0.75"/>
      </iconSet>
    </cfRule>
    <cfRule type="cellIs" dxfId="662" priority="1211" operator="lessThan">
      <formula>0</formula>
    </cfRule>
  </conditionalFormatting>
  <conditionalFormatting sqref="CM155">
    <cfRule type="iconSet" priority="1208">
      <iconSet iconSet="4TrafficLights">
        <cfvo type="percent" val="0"/>
        <cfvo type="num" val="0.25"/>
        <cfvo type="num" val="0.5"/>
        <cfvo type="num" val="0.75"/>
      </iconSet>
    </cfRule>
    <cfRule type="cellIs" dxfId="661" priority="1209" operator="lessThan">
      <formula>0</formula>
    </cfRule>
  </conditionalFormatting>
  <conditionalFormatting sqref="CM157">
    <cfRule type="iconSet" priority="1206">
      <iconSet iconSet="4TrafficLights">
        <cfvo type="percent" val="0"/>
        <cfvo type="num" val="0.25"/>
        <cfvo type="num" val="0.5"/>
        <cfvo type="num" val="0.75"/>
      </iconSet>
    </cfRule>
    <cfRule type="cellIs" dxfId="660" priority="1207" operator="lessThan">
      <formula>0</formula>
    </cfRule>
  </conditionalFormatting>
  <conditionalFormatting sqref="CD153">
    <cfRule type="iconSet" priority="1194">
      <iconSet iconSet="4TrafficLights">
        <cfvo type="percent" val="0"/>
        <cfvo type="num" val="0.25"/>
        <cfvo type="num" val="0.5"/>
        <cfvo type="num" val="0.75"/>
      </iconSet>
    </cfRule>
    <cfRule type="cellIs" dxfId="659" priority="1195" operator="lessThan">
      <formula>0</formula>
    </cfRule>
  </conditionalFormatting>
  <conditionalFormatting sqref="CH153">
    <cfRule type="iconSet" priority="1196">
      <iconSet iconSet="4TrafficLights">
        <cfvo type="percent" val="0"/>
        <cfvo type="num" val="0.25"/>
        <cfvo type="num" val="0.5"/>
        <cfvo type="num" val="0.75"/>
      </iconSet>
    </cfRule>
    <cfRule type="cellIs" dxfId="658" priority="1197" operator="lessThan">
      <formula>0</formula>
    </cfRule>
  </conditionalFormatting>
  <conditionalFormatting sqref="BV152:BV153">
    <cfRule type="iconSet" priority="1198">
      <iconSet iconSet="4TrafficLights">
        <cfvo type="percent" val="0"/>
        <cfvo type="num" val="0.25"/>
        <cfvo type="num" val="0.5"/>
        <cfvo type="num" val="0.75"/>
      </iconSet>
    </cfRule>
    <cfRule type="cellIs" dxfId="657" priority="1199" operator="lessThan">
      <formula>0</formula>
    </cfRule>
  </conditionalFormatting>
  <conditionalFormatting sqref="BZ153">
    <cfRule type="iconSet" priority="1200">
      <iconSet iconSet="4TrafficLights">
        <cfvo type="percent" val="0"/>
        <cfvo type="num" val="0.25"/>
        <cfvo type="num" val="0.5"/>
        <cfvo type="num" val="0.75"/>
      </iconSet>
    </cfRule>
    <cfRule type="cellIs" dxfId="656" priority="1201" stopIfTrue="1" operator="lessThan">
      <formula>0</formula>
    </cfRule>
  </conditionalFormatting>
  <conditionalFormatting sqref="CL153">
    <cfRule type="iconSet" priority="1202">
      <iconSet iconSet="4TrafficLights">
        <cfvo type="percent" val="0"/>
        <cfvo type="num" val="0.25"/>
        <cfvo type="num" val="0.5"/>
        <cfvo type="num" val="0.75"/>
      </iconSet>
    </cfRule>
    <cfRule type="cellIs" dxfId="655" priority="1203" operator="lessThan">
      <formula>0</formula>
    </cfRule>
  </conditionalFormatting>
  <conditionalFormatting sqref="CM152:CM153">
    <cfRule type="iconSet" priority="1204">
      <iconSet iconSet="4TrafficLights">
        <cfvo type="percent" val="0"/>
        <cfvo type="num" val="0.25"/>
        <cfvo type="num" val="0.5"/>
        <cfvo type="num" val="0.75"/>
      </iconSet>
    </cfRule>
    <cfRule type="cellIs" dxfId="654" priority="1205" operator="lessThan">
      <formula>0</formula>
    </cfRule>
  </conditionalFormatting>
  <conditionalFormatting sqref="CM154">
    <cfRule type="cellIs" priority="1193" operator="lessThan">
      <formula>0</formula>
    </cfRule>
  </conditionalFormatting>
  <conditionalFormatting sqref="BZ152">
    <cfRule type="iconSet" priority="1191">
      <iconSet iconSet="4TrafficLights">
        <cfvo type="percent" val="0"/>
        <cfvo type="num" val="0.25"/>
        <cfvo type="num" val="0.5"/>
        <cfvo type="num" val="0.75"/>
      </iconSet>
    </cfRule>
    <cfRule type="cellIs" dxfId="653" priority="1192" operator="lessThan">
      <formula>0</formula>
    </cfRule>
  </conditionalFormatting>
  <conditionalFormatting sqref="CD152">
    <cfRule type="iconSet" priority="1189">
      <iconSet iconSet="4TrafficLights">
        <cfvo type="percent" val="0"/>
        <cfvo type="num" val="0.25"/>
        <cfvo type="num" val="0.5"/>
        <cfvo type="num" val="0.75"/>
      </iconSet>
    </cfRule>
    <cfRule type="cellIs" dxfId="652" priority="1190" operator="lessThan">
      <formula>0</formula>
    </cfRule>
  </conditionalFormatting>
  <conditionalFormatting sqref="CH152">
    <cfRule type="iconSet" priority="1187">
      <iconSet iconSet="4TrafficLights">
        <cfvo type="percent" val="0"/>
        <cfvo type="num" val="0.25"/>
        <cfvo type="num" val="0.5"/>
        <cfvo type="num" val="0.75"/>
      </iconSet>
    </cfRule>
    <cfRule type="cellIs" dxfId="651" priority="1188" operator="lessThan">
      <formula>0</formula>
    </cfRule>
  </conditionalFormatting>
  <conditionalFormatting sqref="CL152">
    <cfRule type="iconSet" priority="1185">
      <iconSet iconSet="4TrafficLights">
        <cfvo type="percent" val="0"/>
        <cfvo type="num" val="0.25"/>
        <cfvo type="num" val="0.5"/>
        <cfvo type="num" val="0.75"/>
      </iconSet>
    </cfRule>
    <cfRule type="cellIs" dxfId="650" priority="1186" operator="lessThan">
      <formula>0</formula>
    </cfRule>
  </conditionalFormatting>
  <conditionalFormatting sqref="CD154">
    <cfRule type="iconSet" priority="1177">
      <iconSet iconSet="4TrafficLights">
        <cfvo type="percent" val="0"/>
        <cfvo type="num" val="0.25"/>
        <cfvo type="num" val="0.5"/>
        <cfvo type="num" val="0.75"/>
      </iconSet>
    </cfRule>
    <cfRule type="cellIs" dxfId="649" priority="1178" operator="lessThan">
      <formula>0</formula>
    </cfRule>
  </conditionalFormatting>
  <conditionalFormatting sqref="CH154">
    <cfRule type="iconSet" priority="1179">
      <iconSet iconSet="4TrafficLights">
        <cfvo type="percent" val="0"/>
        <cfvo type="num" val="0.25"/>
        <cfvo type="num" val="0.5"/>
        <cfvo type="num" val="0.75"/>
      </iconSet>
    </cfRule>
    <cfRule type="cellIs" dxfId="648" priority="1180" operator="lessThan">
      <formula>0</formula>
    </cfRule>
  </conditionalFormatting>
  <conditionalFormatting sqref="BZ154">
    <cfRule type="iconSet" priority="1181">
      <iconSet iconSet="4TrafficLights">
        <cfvo type="percent" val="0"/>
        <cfvo type="num" val="0.25"/>
        <cfvo type="num" val="0.5"/>
        <cfvo type="num" val="0.75"/>
      </iconSet>
    </cfRule>
    <cfRule type="cellIs" dxfId="647" priority="1182" stopIfTrue="1" operator="lessThan">
      <formula>0</formula>
    </cfRule>
  </conditionalFormatting>
  <conditionalFormatting sqref="CL154">
    <cfRule type="iconSet" priority="1183">
      <iconSet iconSet="4TrafficLights">
        <cfvo type="percent" val="0"/>
        <cfvo type="num" val="0.25"/>
        <cfvo type="num" val="0.5"/>
        <cfvo type="num" val="0.75"/>
      </iconSet>
    </cfRule>
    <cfRule type="cellIs" dxfId="646" priority="1184" operator="lessThan">
      <formula>0</formula>
    </cfRule>
  </conditionalFormatting>
  <conditionalFormatting sqref="CD155">
    <cfRule type="iconSet" priority="1169">
      <iconSet iconSet="4TrafficLights">
        <cfvo type="percent" val="0"/>
        <cfvo type="num" val="0.25"/>
        <cfvo type="num" val="0.5"/>
        <cfvo type="num" val="0.75"/>
      </iconSet>
    </cfRule>
    <cfRule type="cellIs" dxfId="645" priority="1170" operator="lessThan">
      <formula>0</formula>
    </cfRule>
  </conditionalFormatting>
  <conditionalFormatting sqref="CH155">
    <cfRule type="iconSet" priority="1171">
      <iconSet iconSet="4TrafficLights">
        <cfvo type="percent" val="0"/>
        <cfvo type="num" val="0.25"/>
        <cfvo type="num" val="0.5"/>
        <cfvo type="num" val="0.75"/>
      </iconSet>
    </cfRule>
    <cfRule type="cellIs" dxfId="644" priority="1172" operator="lessThan">
      <formula>0</formula>
    </cfRule>
  </conditionalFormatting>
  <conditionalFormatting sqref="BZ155">
    <cfRule type="iconSet" priority="1173">
      <iconSet iconSet="4TrafficLights">
        <cfvo type="percent" val="0"/>
        <cfvo type="num" val="0.25"/>
        <cfvo type="num" val="0.5"/>
        <cfvo type="num" val="0.75"/>
      </iconSet>
    </cfRule>
    <cfRule type="cellIs" dxfId="643" priority="1174" stopIfTrue="1" operator="lessThan">
      <formula>0</formula>
    </cfRule>
  </conditionalFormatting>
  <conditionalFormatting sqref="CL155">
    <cfRule type="iconSet" priority="1175">
      <iconSet iconSet="4TrafficLights">
        <cfvo type="percent" val="0"/>
        <cfvo type="num" val="0.25"/>
        <cfvo type="num" val="0.5"/>
        <cfvo type="num" val="0.75"/>
      </iconSet>
    </cfRule>
    <cfRule type="cellIs" dxfId="642" priority="1176" operator="lessThan">
      <formula>0</formula>
    </cfRule>
  </conditionalFormatting>
  <conditionalFormatting sqref="CD157">
    <cfRule type="iconSet" priority="1159">
      <iconSet iconSet="4TrafficLights">
        <cfvo type="percent" val="0"/>
        <cfvo type="num" val="0.25"/>
        <cfvo type="num" val="0.5"/>
        <cfvo type="num" val="0.75"/>
      </iconSet>
    </cfRule>
    <cfRule type="cellIs" dxfId="641" priority="1160" operator="lessThan">
      <formula>0</formula>
    </cfRule>
  </conditionalFormatting>
  <conditionalFormatting sqref="CH157">
    <cfRule type="iconSet" priority="1161">
      <iconSet iconSet="4TrafficLights">
        <cfvo type="percent" val="0"/>
        <cfvo type="num" val="0.25"/>
        <cfvo type="num" val="0.5"/>
        <cfvo type="num" val="0.75"/>
      </iconSet>
    </cfRule>
    <cfRule type="cellIs" dxfId="640" priority="1162" operator="lessThan">
      <formula>0</formula>
    </cfRule>
  </conditionalFormatting>
  <conditionalFormatting sqref="BV157">
    <cfRule type="iconSet" priority="1163">
      <iconSet iconSet="4TrafficLights">
        <cfvo type="percent" val="0"/>
        <cfvo type="num" val="0.25"/>
        <cfvo type="num" val="0.5"/>
        <cfvo type="num" val="0.75"/>
      </iconSet>
    </cfRule>
    <cfRule type="cellIs" dxfId="639" priority="1164" operator="lessThan">
      <formula>0</formula>
    </cfRule>
  </conditionalFormatting>
  <conditionalFormatting sqref="BZ157">
    <cfRule type="iconSet" priority="1165">
      <iconSet iconSet="4TrafficLights">
        <cfvo type="percent" val="0"/>
        <cfvo type="num" val="0.25"/>
        <cfvo type="num" val="0.5"/>
        <cfvo type="num" val="0.75"/>
      </iconSet>
    </cfRule>
    <cfRule type="cellIs" dxfId="638" priority="1166" stopIfTrue="1" operator="lessThan">
      <formula>0</formula>
    </cfRule>
  </conditionalFormatting>
  <conditionalFormatting sqref="CL157">
    <cfRule type="iconSet" priority="1167">
      <iconSet iconSet="4TrafficLights">
        <cfvo type="percent" val="0"/>
        <cfvo type="num" val="0.25"/>
        <cfvo type="num" val="0.5"/>
        <cfvo type="num" val="0.75"/>
      </iconSet>
    </cfRule>
    <cfRule type="cellIs" dxfId="637" priority="1168" operator="lessThan">
      <formula>0</formula>
    </cfRule>
  </conditionalFormatting>
  <conditionalFormatting sqref="CD158">
    <cfRule type="iconSet" priority="1149">
      <iconSet iconSet="4TrafficLights">
        <cfvo type="percent" val="0"/>
        <cfvo type="num" val="0.25"/>
        <cfvo type="num" val="0.5"/>
        <cfvo type="num" val="0.75"/>
      </iconSet>
    </cfRule>
    <cfRule type="cellIs" dxfId="636" priority="1150" operator="lessThan">
      <formula>0</formula>
    </cfRule>
  </conditionalFormatting>
  <conditionalFormatting sqref="CH158">
    <cfRule type="iconSet" priority="1151">
      <iconSet iconSet="4TrafficLights">
        <cfvo type="percent" val="0"/>
        <cfvo type="num" val="0.25"/>
        <cfvo type="num" val="0.5"/>
        <cfvo type="num" val="0.75"/>
      </iconSet>
    </cfRule>
    <cfRule type="cellIs" dxfId="635" priority="1152" operator="lessThan">
      <formula>0</formula>
    </cfRule>
  </conditionalFormatting>
  <conditionalFormatting sqref="BV158">
    <cfRule type="iconSet" priority="1153">
      <iconSet iconSet="4TrafficLights">
        <cfvo type="percent" val="0"/>
        <cfvo type="num" val="0.25"/>
        <cfvo type="num" val="0.5"/>
        <cfvo type="num" val="0.75"/>
      </iconSet>
    </cfRule>
    <cfRule type="cellIs" dxfId="634" priority="1154" operator="lessThan">
      <formula>0</formula>
    </cfRule>
  </conditionalFormatting>
  <conditionalFormatting sqref="BZ158">
    <cfRule type="iconSet" priority="1155">
      <iconSet iconSet="4TrafficLights">
        <cfvo type="percent" val="0"/>
        <cfvo type="num" val="0.25"/>
        <cfvo type="num" val="0.5"/>
        <cfvo type="num" val="0.75"/>
      </iconSet>
    </cfRule>
    <cfRule type="cellIs" dxfId="633" priority="1156" stopIfTrue="1" operator="lessThan">
      <formula>0</formula>
    </cfRule>
  </conditionalFormatting>
  <conditionalFormatting sqref="CL158">
    <cfRule type="iconSet" priority="1157">
      <iconSet iconSet="4TrafficLights">
        <cfvo type="percent" val="0"/>
        <cfvo type="num" val="0.25"/>
        <cfvo type="num" val="0.5"/>
        <cfvo type="num" val="0.75"/>
      </iconSet>
    </cfRule>
    <cfRule type="cellIs" dxfId="632" priority="1158" operator="lessThan">
      <formula>0</formula>
    </cfRule>
  </conditionalFormatting>
  <conditionalFormatting sqref="CD156">
    <cfRule type="iconSet" priority="1139">
      <iconSet iconSet="4TrafficLights">
        <cfvo type="percent" val="0"/>
        <cfvo type="num" val="0.25"/>
        <cfvo type="num" val="0.5"/>
        <cfvo type="num" val="0.75"/>
      </iconSet>
    </cfRule>
    <cfRule type="cellIs" dxfId="631" priority="1140" operator="lessThan">
      <formula>0</formula>
    </cfRule>
  </conditionalFormatting>
  <conditionalFormatting sqref="CH156">
    <cfRule type="iconSet" priority="1141">
      <iconSet iconSet="4TrafficLights">
        <cfvo type="percent" val="0"/>
        <cfvo type="num" val="0.25"/>
        <cfvo type="num" val="0.5"/>
        <cfvo type="num" val="0.75"/>
      </iconSet>
    </cfRule>
    <cfRule type="cellIs" dxfId="630" priority="1142" operator="lessThan">
      <formula>0</formula>
    </cfRule>
  </conditionalFormatting>
  <conditionalFormatting sqref="BV156">
    <cfRule type="iconSet" priority="1143">
      <iconSet iconSet="4TrafficLights">
        <cfvo type="percent" val="0"/>
        <cfvo type="num" val="0.25"/>
        <cfvo type="num" val="0.5"/>
        <cfvo type="num" val="0.75"/>
      </iconSet>
    </cfRule>
    <cfRule type="cellIs" dxfId="629" priority="1144" operator="lessThan">
      <formula>0</formula>
    </cfRule>
  </conditionalFormatting>
  <conditionalFormatting sqref="BZ156">
    <cfRule type="iconSet" priority="1145">
      <iconSet iconSet="4TrafficLights">
        <cfvo type="percent" val="0"/>
        <cfvo type="num" val="0.25"/>
        <cfvo type="num" val="0.5"/>
        <cfvo type="num" val="0.75"/>
      </iconSet>
    </cfRule>
    <cfRule type="cellIs" dxfId="628" priority="1146" stopIfTrue="1" operator="lessThan">
      <formula>0</formula>
    </cfRule>
  </conditionalFormatting>
  <conditionalFormatting sqref="CL156">
    <cfRule type="iconSet" priority="1147">
      <iconSet iconSet="4TrafficLights">
        <cfvo type="percent" val="0"/>
        <cfvo type="num" val="0.25"/>
        <cfvo type="num" val="0.5"/>
        <cfvo type="num" val="0.75"/>
      </iconSet>
    </cfRule>
    <cfRule type="cellIs" dxfId="627" priority="1148" operator="lessThan">
      <formula>0</formula>
    </cfRule>
  </conditionalFormatting>
  <conditionalFormatting sqref="CD159">
    <cfRule type="iconSet" priority="1129">
      <iconSet iconSet="4TrafficLights">
        <cfvo type="percent" val="0"/>
        <cfvo type="num" val="0.25"/>
        <cfvo type="num" val="0.5"/>
        <cfvo type="num" val="0.75"/>
      </iconSet>
    </cfRule>
    <cfRule type="cellIs" dxfId="626" priority="1130" operator="lessThan">
      <formula>0</formula>
    </cfRule>
  </conditionalFormatting>
  <conditionalFormatting sqref="CH159">
    <cfRule type="iconSet" priority="1131">
      <iconSet iconSet="4TrafficLights">
        <cfvo type="percent" val="0"/>
        <cfvo type="num" val="0.25"/>
        <cfvo type="num" val="0.5"/>
        <cfvo type="num" val="0.75"/>
      </iconSet>
    </cfRule>
    <cfRule type="cellIs" dxfId="625" priority="1132" operator="lessThan">
      <formula>0</formula>
    </cfRule>
  </conditionalFormatting>
  <conditionalFormatting sqref="BV159">
    <cfRule type="iconSet" priority="1133">
      <iconSet iconSet="4TrafficLights">
        <cfvo type="percent" val="0"/>
        <cfvo type="num" val="0.25"/>
        <cfvo type="num" val="0.5"/>
        <cfvo type="num" val="0.75"/>
      </iconSet>
    </cfRule>
    <cfRule type="cellIs" dxfId="624" priority="1134" operator="lessThan">
      <formula>0</formula>
    </cfRule>
  </conditionalFormatting>
  <conditionalFormatting sqref="BZ159">
    <cfRule type="iconSet" priority="1135">
      <iconSet iconSet="4TrafficLights">
        <cfvo type="percent" val="0"/>
        <cfvo type="num" val="0.25"/>
        <cfvo type="num" val="0.5"/>
        <cfvo type="num" val="0.75"/>
      </iconSet>
    </cfRule>
    <cfRule type="cellIs" dxfId="623" priority="1136" stopIfTrue="1" operator="lessThan">
      <formula>0</formula>
    </cfRule>
  </conditionalFormatting>
  <conditionalFormatting sqref="CL159">
    <cfRule type="iconSet" priority="1137">
      <iconSet iconSet="4TrafficLights">
        <cfvo type="percent" val="0"/>
        <cfvo type="num" val="0.25"/>
        <cfvo type="num" val="0.5"/>
        <cfvo type="num" val="0.75"/>
      </iconSet>
    </cfRule>
    <cfRule type="cellIs" dxfId="622" priority="1138" operator="lessThan">
      <formula>0</formula>
    </cfRule>
  </conditionalFormatting>
  <conditionalFormatting sqref="CD160">
    <cfRule type="iconSet" priority="1119">
      <iconSet iconSet="4TrafficLights">
        <cfvo type="percent" val="0"/>
        <cfvo type="num" val="0.25"/>
        <cfvo type="num" val="0.5"/>
        <cfvo type="num" val="0.75"/>
      </iconSet>
    </cfRule>
    <cfRule type="cellIs" dxfId="621" priority="1120" operator="lessThan">
      <formula>0</formula>
    </cfRule>
  </conditionalFormatting>
  <conditionalFormatting sqref="CH160">
    <cfRule type="iconSet" priority="1121">
      <iconSet iconSet="4TrafficLights">
        <cfvo type="percent" val="0"/>
        <cfvo type="num" val="0.25"/>
        <cfvo type="num" val="0.5"/>
        <cfvo type="num" val="0.75"/>
      </iconSet>
    </cfRule>
    <cfRule type="cellIs" dxfId="620" priority="1122" operator="lessThan">
      <formula>0</formula>
    </cfRule>
  </conditionalFormatting>
  <conditionalFormatting sqref="BV160">
    <cfRule type="iconSet" priority="1123">
      <iconSet iconSet="4TrafficLights">
        <cfvo type="percent" val="0"/>
        <cfvo type="num" val="0.25"/>
        <cfvo type="num" val="0.5"/>
        <cfvo type="num" val="0.75"/>
      </iconSet>
    </cfRule>
    <cfRule type="cellIs" dxfId="619" priority="1124" operator="lessThan">
      <formula>0</formula>
    </cfRule>
  </conditionalFormatting>
  <conditionalFormatting sqref="BZ160">
    <cfRule type="iconSet" priority="1125">
      <iconSet iconSet="4TrafficLights">
        <cfvo type="percent" val="0"/>
        <cfvo type="num" val="0.25"/>
        <cfvo type="num" val="0.5"/>
        <cfvo type="num" val="0.75"/>
      </iconSet>
    </cfRule>
    <cfRule type="cellIs" dxfId="618" priority="1126" stopIfTrue="1" operator="lessThan">
      <formula>0</formula>
    </cfRule>
  </conditionalFormatting>
  <conditionalFormatting sqref="CL160">
    <cfRule type="iconSet" priority="1127">
      <iconSet iconSet="4TrafficLights">
        <cfvo type="percent" val="0"/>
        <cfvo type="num" val="0.25"/>
        <cfvo type="num" val="0.5"/>
        <cfvo type="num" val="0.75"/>
      </iconSet>
    </cfRule>
    <cfRule type="cellIs" dxfId="617" priority="1128" operator="lessThan">
      <formula>0</formula>
    </cfRule>
  </conditionalFormatting>
  <conditionalFormatting sqref="CD161">
    <cfRule type="iconSet" priority="1109">
      <iconSet iconSet="4TrafficLights">
        <cfvo type="percent" val="0"/>
        <cfvo type="num" val="0.25"/>
        <cfvo type="num" val="0.5"/>
        <cfvo type="num" val="0.75"/>
      </iconSet>
    </cfRule>
    <cfRule type="cellIs" dxfId="616" priority="1110" operator="lessThan">
      <formula>0</formula>
    </cfRule>
  </conditionalFormatting>
  <conditionalFormatting sqref="CH161">
    <cfRule type="iconSet" priority="1111">
      <iconSet iconSet="4TrafficLights">
        <cfvo type="percent" val="0"/>
        <cfvo type="num" val="0.25"/>
        <cfvo type="num" val="0.5"/>
        <cfvo type="num" val="0.75"/>
      </iconSet>
    </cfRule>
    <cfRule type="cellIs" dxfId="615" priority="1112" operator="lessThan">
      <formula>0</formula>
    </cfRule>
  </conditionalFormatting>
  <conditionalFormatting sqref="BV161">
    <cfRule type="iconSet" priority="1113">
      <iconSet iconSet="4TrafficLights">
        <cfvo type="percent" val="0"/>
        <cfvo type="num" val="0.25"/>
        <cfvo type="num" val="0.5"/>
        <cfvo type="num" val="0.75"/>
      </iconSet>
    </cfRule>
    <cfRule type="cellIs" dxfId="614" priority="1114" operator="lessThan">
      <formula>0</formula>
    </cfRule>
  </conditionalFormatting>
  <conditionalFormatting sqref="BZ161">
    <cfRule type="iconSet" priority="1115">
      <iconSet iconSet="4TrafficLights">
        <cfvo type="percent" val="0"/>
        <cfvo type="num" val="0.25"/>
        <cfvo type="num" val="0.5"/>
        <cfvo type="num" val="0.75"/>
      </iconSet>
    </cfRule>
    <cfRule type="cellIs" dxfId="613" priority="1116" stopIfTrue="1" operator="lessThan">
      <formula>0</formula>
    </cfRule>
  </conditionalFormatting>
  <conditionalFormatting sqref="CL161">
    <cfRule type="iconSet" priority="1117">
      <iconSet iconSet="4TrafficLights">
        <cfvo type="percent" val="0"/>
        <cfvo type="num" val="0.25"/>
        <cfvo type="num" val="0.5"/>
        <cfvo type="num" val="0.75"/>
      </iconSet>
    </cfRule>
    <cfRule type="cellIs" dxfId="612" priority="1118" operator="lessThan">
      <formula>0</formula>
    </cfRule>
  </conditionalFormatting>
  <conditionalFormatting sqref="CD162">
    <cfRule type="iconSet" priority="1099">
      <iconSet iconSet="4TrafficLights">
        <cfvo type="percent" val="0"/>
        <cfvo type="num" val="0.25"/>
        <cfvo type="num" val="0.5"/>
        <cfvo type="num" val="0.75"/>
      </iconSet>
    </cfRule>
    <cfRule type="cellIs" dxfId="611" priority="1100" operator="lessThan">
      <formula>0</formula>
    </cfRule>
  </conditionalFormatting>
  <conditionalFormatting sqref="CH162">
    <cfRule type="iconSet" priority="1101">
      <iconSet iconSet="4TrafficLights">
        <cfvo type="percent" val="0"/>
        <cfvo type="num" val="0.25"/>
        <cfvo type="num" val="0.5"/>
        <cfvo type="num" val="0.75"/>
      </iconSet>
    </cfRule>
    <cfRule type="cellIs" dxfId="610" priority="1102" operator="lessThan">
      <formula>0</formula>
    </cfRule>
  </conditionalFormatting>
  <conditionalFormatting sqref="BV162">
    <cfRule type="iconSet" priority="1103">
      <iconSet iconSet="4TrafficLights">
        <cfvo type="percent" val="0"/>
        <cfvo type="num" val="0.25"/>
        <cfvo type="num" val="0.5"/>
        <cfvo type="num" val="0.75"/>
      </iconSet>
    </cfRule>
    <cfRule type="cellIs" dxfId="609" priority="1104" operator="lessThan">
      <formula>0</formula>
    </cfRule>
  </conditionalFormatting>
  <conditionalFormatting sqref="BZ162">
    <cfRule type="iconSet" priority="1105">
      <iconSet iconSet="4TrafficLights">
        <cfvo type="percent" val="0"/>
        <cfvo type="num" val="0.25"/>
        <cfvo type="num" val="0.5"/>
        <cfvo type="num" val="0.75"/>
      </iconSet>
    </cfRule>
    <cfRule type="cellIs" dxfId="608" priority="1106" stopIfTrue="1" operator="lessThan">
      <formula>0</formula>
    </cfRule>
  </conditionalFormatting>
  <conditionalFormatting sqref="CL162">
    <cfRule type="iconSet" priority="1107">
      <iconSet iconSet="4TrafficLights">
        <cfvo type="percent" val="0"/>
        <cfvo type="num" val="0.25"/>
        <cfvo type="num" val="0.5"/>
        <cfvo type="num" val="0.75"/>
      </iconSet>
    </cfRule>
    <cfRule type="cellIs" dxfId="607" priority="1108" operator="lessThan">
      <formula>0</formula>
    </cfRule>
  </conditionalFormatting>
  <conditionalFormatting sqref="CD167">
    <cfRule type="iconSet" priority="1089">
      <iconSet iconSet="4TrafficLights">
        <cfvo type="percent" val="0"/>
        <cfvo type="num" val="0.25"/>
        <cfvo type="num" val="0.5"/>
        <cfvo type="num" val="0.75"/>
      </iconSet>
    </cfRule>
    <cfRule type="cellIs" dxfId="606" priority="1090" operator="lessThan">
      <formula>0</formula>
    </cfRule>
  </conditionalFormatting>
  <conditionalFormatting sqref="CH167">
    <cfRule type="iconSet" priority="1091">
      <iconSet iconSet="4TrafficLights">
        <cfvo type="percent" val="0"/>
        <cfvo type="num" val="0.25"/>
        <cfvo type="num" val="0.5"/>
        <cfvo type="num" val="0.75"/>
      </iconSet>
    </cfRule>
    <cfRule type="cellIs" dxfId="605" priority="1092" operator="lessThan">
      <formula>0</formula>
    </cfRule>
  </conditionalFormatting>
  <conditionalFormatting sqref="BV167">
    <cfRule type="iconSet" priority="1093">
      <iconSet iconSet="4TrafficLights">
        <cfvo type="percent" val="0"/>
        <cfvo type="num" val="0.25"/>
        <cfvo type="num" val="0.5"/>
        <cfvo type="num" val="0.75"/>
      </iconSet>
    </cfRule>
    <cfRule type="cellIs" dxfId="604" priority="1094" operator="lessThan">
      <formula>0</formula>
    </cfRule>
  </conditionalFormatting>
  <conditionalFormatting sqref="BZ167">
    <cfRule type="iconSet" priority="1095">
      <iconSet iconSet="4TrafficLights">
        <cfvo type="percent" val="0"/>
        <cfvo type="num" val="0.25"/>
        <cfvo type="num" val="0.5"/>
        <cfvo type="num" val="0.75"/>
      </iconSet>
    </cfRule>
    <cfRule type="cellIs" dxfId="603" priority="1096" stopIfTrue="1" operator="lessThan">
      <formula>0</formula>
    </cfRule>
  </conditionalFormatting>
  <conditionalFormatting sqref="CL167">
    <cfRule type="iconSet" priority="1097">
      <iconSet iconSet="4TrafficLights">
        <cfvo type="percent" val="0"/>
        <cfvo type="num" val="0.25"/>
        <cfvo type="num" val="0.5"/>
        <cfvo type="num" val="0.75"/>
      </iconSet>
    </cfRule>
    <cfRule type="cellIs" dxfId="602" priority="1098" operator="lessThan">
      <formula>0</formula>
    </cfRule>
  </conditionalFormatting>
  <conditionalFormatting sqref="CD168">
    <cfRule type="iconSet" priority="1079">
      <iconSet iconSet="4TrafficLights">
        <cfvo type="percent" val="0"/>
        <cfvo type="num" val="0.25"/>
        <cfvo type="num" val="0.5"/>
        <cfvo type="num" val="0.75"/>
      </iconSet>
    </cfRule>
    <cfRule type="cellIs" dxfId="601" priority="1080" operator="lessThan">
      <formula>0</formula>
    </cfRule>
  </conditionalFormatting>
  <conditionalFormatting sqref="CH168">
    <cfRule type="iconSet" priority="1081">
      <iconSet iconSet="4TrafficLights">
        <cfvo type="percent" val="0"/>
        <cfvo type="num" val="0.25"/>
        <cfvo type="num" val="0.5"/>
        <cfvo type="num" val="0.75"/>
      </iconSet>
    </cfRule>
    <cfRule type="cellIs" dxfId="600" priority="1082" operator="lessThan">
      <formula>0</formula>
    </cfRule>
  </conditionalFormatting>
  <conditionalFormatting sqref="BV168">
    <cfRule type="iconSet" priority="1083">
      <iconSet iconSet="4TrafficLights">
        <cfvo type="percent" val="0"/>
        <cfvo type="num" val="0.25"/>
        <cfvo type="num" val="0.5"/>
        <cfvo type="num" val="0.75"/>
      </iconSet>
    </cfRule>
    <cfRule type="cellIs" dxfId="599" priority="1084" operator="lessThan">
      <formula>0</formula>
    </cfRule>
  </conditionalFormatting>
  <conditionalFormatting sqref="BZ168">
    <cfRule type="iconSet" priority="1085">
      <iconSet iconSet="4TrafficLights">
        <cfvo type="percent" val="0"/>
        <cfvo type="num" val="0.25"/>
        <cfvo type="num" val="0.5"/>
        <cfvo type="num" val="0.75"/>
      </iconSet>
    </cfRule>
    <cfRule type="cellIs" dxfId="598" priority="1086" stopIfTrue="1" operator="lessThan">
      <formula>0</formula>
    </cfRule>
  </conditionalFormatting>
  <conditionalFormatting sqref="CL168">
    <cfRule type="iconSet" priority="1087">
      <iconSet iconSet="4TrafficLights">
        <cfvo type="percent" val="0"/>
        <cfvo type="num" val="0.25"/>
        <cfvo type="num" val="0.5"/>
        <cfvo type="num" val="0.75"/>
      </iconSet>
    </cfRule>
    <cfRule type="cellIs" dxfId="597" priority="1088" operator="lessThan">
      <formula>0</formula>
    </cfRule>
  </conditionalFormatting>
  <conditionalFormatting sqref="CD169">
    <cfRule type="iconSet" priority="1069">
      <iconSet iconSet="4TrafficLights">
        <cfvo type="percent" val="0"/>
        <cfvo type="num" val="0.25"/>
        <cfvo type="num" val="0.5"/>
        <cfvo type="num" val="0.75"/>
      </iconSet>
    </cfRule>
    <cfRule type="cellIs" dxfId="596" priority="1070" operator="lessThan">
      <formula>0</formula>
    </cfRule>
  </conditionalFormatting>
  <conditionalFormatting sqref="CH169">
    <cfRule type="iconSet" priority="1071">
      <iconSet iconSet="4TrafficLights">
        <cfvo type="percent" val="0"/>
        <cfvo type="num" val="0.25"/>
        <cfvo type="num" val="0.5"/>
        <cfvo type="num" val="0.75"/>
      </iconSet>
    </cfRule>
    <cfRule type="cellIs" dxfId="595" priority="1072" operator="lessThan">
      <formula>0</formula>
    </cfRule>
  </conditionalFormatting>
  <conditionalFormatting sqref="BV169">
    <cfRule type="iconSet" priority="1073">
      <iconSet iconSet="4TrafficLights">
        <cfvo type="percent" val="0"/>
        <cfvo type="num" val="0.25"/>
        <cfvo type="num" val="0.5"/>
        <cfvo type="num" val="0.75"/>
      </iconSet>
    </cfRule>
    <cfRule type="cellIs" dxfId="594" priority="1074" operator="lessThan">
      <formula>0</formula>
    </cfRule>
  </conditionalFormatting>
  <conditionalFormatting sqref="BZ169">
    <cfRule type="iconSet" priority="1075">
      <iconSet iconSet="4TrafficLights">
        <cfvo type="percent" val="0"/>
        <cfvo type="num" val="0.25"/>
        <cfvo type="num" val="0.5"/>
        <cfvo type="num" val="0.75"/>
      </iconSet>
    </cfRule>
    <cfRule type="cellIs" dxfId="593" priority="1076" stopIfTrue="1" operator="lessThan">
      <formula>0</formula>
    </cfRule>
  </conditionalFormatting>
  <conditionalFormatting sqref="CL169">
    <cfRule type="iconSet" priority="1077">
      <iconSet iconSet="4TrafficLights">
        <cfvo type="percent" val="0"/>
        <cfvo type="num" val="0.25"/>
        <cfvo type="num" val="0.5"/>
        <cfvo type="num" val="0.75"/>
      </iconSet>
    </cfRule>
    <cfRule type="cellIs" dxfId="592" priority="1078" operator="lessThan">
      <formula>0</formula>
    </cfRule>
  </conditionalFormatting>
  <conditionalFormatting sqref="CD170">
    <cfRule type="iconSet" priority="1059">
      <iconSet iconSet="4TrafficLights">
        <cfvo type="percent" val="0"/>
        <cfvo type="num" val="0.25"/>
        <cfvo type="num" val="0.5"/>
        <cfvo type="num" val="0.75"/>
      </iconSet>
    </cfRule>
    <cfRule type="cellIs" dxfId="591" priority="1060" operator="lessThan">
      <formula>0</formula>
    </cfRule>
  </conditionalFormatting>
  <conditionalFormatting sqref="CH170">
    <cfRule type="iconSet" priority="1061">
      <iconSet iconSet="4TrafficLights">
        <cfvo type="percent" val="0"/>
        <cfvo type="num" val="0.25"/>
        <cfvo type="num" val="0.5"/>
        <cfvo type="num" val="0.75"/>
      </iconSet>
    </cfRule>
    <cfRule type="cellIs" dxfId="590" priority="1062" operator="lessThan">
      <formula>0</formula>
    </cfRule>
  </conditionalFormatting>
  <conditionalFormatting sqref="BV170">
    <cfRule type="iconSet" priority="1063">
      <iconSet iconSet="4TrafficLights">
        <cfvo type="percent" val="0"/>
        <cfvo type="num" val="0.25"/>
        <cfvo type="num" val="0.5"/>
        <cfvo type="num" val="0.75"/>
      </iconSet>
    </cfRule>
    <cfRule type="cellIs" dxfId="589" priority="1064" operator="lessThan">
      <formula>0</formula>
    </cfRule>
  </conditionalFormatting>
  <conditionalFormatting sqref="BZ170">
    <cfRule type="iconSet" priority="1065">
      <iconSet iconSet="4TrafficLights">
        <cfvo type="percent" val="0"/>
        <cfvo type="num" val="0.25"/>
        <cfvo type="num" val="0.5"/>
        <cfvo type="num" val="0.75"/>
      </iconSet>
    </cfRule>
    <cfRule type="cellIs" dxfId="588" priority="1066" stopIfTrue="1" operator="lessThan">
      <formula>0</formula>
    </cfRule>
  </conditionalFormatting>
  <conditionalFormatting sqref="CL170">
    <cfRule type="iconSet" priority="1067">
      <iconSet iconSet="4TrafficLights">
        <cfvo type="percent" val="0"/>
        <cfvo type="num" val="0.25"/>
        <cfvo type="num" val="0.5"/>
        <cfvo type="num" val="0.75"/>
      </iconSet>
    </cfRule>
    <cfRule type="cellIs" dxfId="587" priority="1068" operator="lessThan">
      <formula>0</formula>
    </cfRule>
  </conditionalFormatting>
  <conditionalFormatting sqref="CD171">
    <cfRule type="iconSet" priority="1049">
      <iconSet iconSet="4TrafficLights">
        <cfvo type="percent" val="0"/>
        <cfvo type="num" val="0.25"/>
        <cfvo type="num" val="0.5"/>
        <cfvo type="num" val="0.75"/>
      </iconSet>
    </cfRule>
    <cfRule type="cellIs" dxfId="586" priority="1050" operator="lessThan">
      <formula>0</formula>
    </cfRule>
  </conditionalFormatting>
  <conditionalFormatting sqref="CH171">
    <cfRule type="iconSet" priority="1051">
      <iconSet iconSet="4TrafficLights">
        <cfvo type="percent" val="0"/>
        <cfvo type="num" val="0.25"/>
        <cfvo type="num" val="0.5"/>
        <cfvo type="num" val="0.75"/>
      </iconSet>
    </cfRule>
    <cfRule type="cellIs" dxfId="585" priority="1052" operator="lessThan">
      <formula>0</formula>
    </cfRule>
  </conditionalFormatting>
  <conditionalFormatting sqref="BV171">
    <cfRule type="iconSet" priority="1053">
      <iconSet iconSet="4TrafficLights">
        <cfvo type="percent" val="0"/>
        <cfvo type="num" val="0.25"/>
        <cfvo type="num" val="0.5"/>
        <cfvo type="num" val="0.75"/>
      </iconSet>
    </cfRule>
    <cfRule type="cellIs" dxfId="584" priority="1054" operator="lessThan">
      <formula>0</formula>
    </cfRule>
  </conditionalFormatting>
  <conditionalFormatting sqref="BZ171">
    <cfRule type="iconSet" priority="1055">
      <iconSet iconSet="4TrafficLights">
        <cfvo type="percent" val="0"/>
        <cfvo type="num" val="0.25"/>
        <cfvo type="num" val="0.5"/>
        <cfvo type="num" val="0.75"/>
      </iconSet>
    </cfRule>
    <cfRule type="cellIs" dxfId="583" priority="1056" stopIfTrue="1" operator="lessThan">
      <formula>0</formula>
    </cfRule>
  </conditionalFormatting>
  <conditionalFormatting sqref="CL171">
    <cfRule type="iconSet" priority="1057">
      <iconSet iconSet="4TrafficLights">
        <cfvo type="percent" val="0"/>
        <cfvo type="num" val="0.25"/>
        <cfvo type="num" val="0.5"/>
        <cfvo type="num" val="0.75"/>
      </iconSet>
    </cfRule>
    <cfRule type="cellIs" dxfId="582" priority="1058" operator="lessThan">
      <formula>0</formula>
    </cfRule>
  </conditionalFormatting>
  <conditionalFormatting sqref="CD172">
    <cfRule type="iconSet" priority="1039">
      <iconSet iconSet="4TrafficLights">
        <cfvo type="percent" val="0"/>
        <cfvo type="num" val="0.25"/>
        <cfvo type="num" val="0.5"/>
        <cfvo type="num" val="0.75"/>
      </iconSet>
    </cfRule>
    <cfRule type="cellIs" dxfId="581" priority="1040" operator="lessThan">
      <formula>0</formula>
    </cfRule>
  </conditionalFormatting>
  <conditionalFormatting sqref="CH172">
    <cfRule type="iconSet" priority="1041">
      <iconSet iconSet="4TrafficLights">
        <cfvo type="percent" val="0"/>
        <cfvo type="num" val="0.25"/>
        <cfvo type="num" val="0.5"/>
        <cfvo type="num" val="0.75"/>
      </iconSet>
    </cfRule>
    <cfRule type="cellIs" dxfId="580" priority="1042" operator="lessThan">
      <formula>0</formula>
    </cfRule>
  </conditionalFormatting>
  <conditionalFormatting sqref="BV172">
    <cfRule type="iconSet" priority="1043">
      <iconSet iconSet="4TrafficLights">
        <cfvo type="percent" val="0"/>
        <cfvo type="num" val="0.25"/>
        <cfvo type="num" val="0.5"/>
        <cfvo type="num" val="0.75"/>
      </iconSet>
    </cfRule>
    <cfRule type="cellIs" dxfId="579" priority="1044" operator="lessThan">
      <formula>0</formula>
    </cfRule>
  </conditionalFormatting>
  <conditionalFormatting sqref="BZ172">
    <cfRule type="iconSet" priority="1045">
      <iconSet iconSet="4TrafficLights">
        <cfvo type="percent" val="0"/>
        <cfvo type="num" val="0.25"/>
        <cfvo type="num" val="0.5"/>
        <cfvo type="num" val="0.75"/>
      </iconSet>
    </cfRule>
    <cfRule type="cellIs" dxfId="578" priority="1046" stopIfTrue="1" operator="lessThan">
      <formula>0</formula>
    </cfRule>
  </conditionalFormatting>
  <conditionalFormatting sqref="CL172">
    <cfRule type="iconSet" priority="1047">
      <iconSet iconSet="4TrafficLights">
        <cfvo type="percent" val="0"/>
        <cfvo type="num" val="0.25"/>
        <cfvo type="num" val="0.5"/>
        <cfvo type="num" val="0.75"/>
      </iconSet>
    </cfRule>
    <cfRule type="cellIs" dxfId="577" priority="1048" operator="lessThan">
      <formula>0</formula>
    </cfRule>
  </conditionalFormatting>
  <conditionalFormatting sqref="CD175">
    <cfRule type="iconSet" priority="1029">
      <iconSet iconSet="4TrafficLights">
        <cfvo type="percent" val="0"/>
        <cfvo type="num" val="0.25"/>
        <cfvo type="num" val="0.5"/>
        <cfvo type="num" val="0.75"/>
      </iconSet>
    </cfRule>
    <cfRule type="cellIs" dxfId="576" priority="1030" operator="lessThan">
      <formula>0</formula>
    </cfRule>
  </conditionalFormatting>
  <conditionalFormatting sqref="CH175">
    <cfRule type="iconSet" priority="1031">
      <iconSet iconSet="4TrafficLights">
        <cfvo type="percent" val="0"/>
        <cfvo type="num" val="0.25"/>
        <cfvo type="num" val="0.5"/>
        <cfvo type="num" val="0.75"/>
      </iconSet>
    </cfRule>
    <cfRule type="cellIs" dxfId="575" priority="1032" operator="lessThan">
      <formula>0</formula>
    </cfRule>
  </conditionalFormatting>
  <conditionalFormatting sqref="BV175">
    <cfRule type="iconSet" priority="1033">
      <iconSet iconSet="4TrafficLights">
        <cfvo type="percent" val="0"/>
        <cfvo type="num" val="0.25"/>
        <cfvo type="num" val="0.5"/>
        <cfvo type="num" val="0.75"/>
      </iconSet>
    </cfRule>
    <cfRule type="cellIs" dxfId="574" priority="1034" operator="lessThan">
      <formula>0</formula>
    </cfRule>
  </conditionalFormatting>
  <conditionalFormatting sqref="BZ175">
    <cfRule type="iconSet" priority="1035">
      <iconSet iconSet="4TrafficLights">
        <cfvo type="percent" val="0"/>
        <cfvo type="num" val="0.25"/>
        <cfvo type="num" val="0.5"/>
        <cfvo type="num" val="0.75"/>
      </iconSet>
    </cfRule>
    <cfRule type="cellIs" dxfId="573" priority="1036" stopIfTrue="1" operator="lessThan">
      <formula>0</formula>
    </cfRule>
  </conditionalFormatting>
  <conditionalFormatting sqref="CL175">
    <cfRule type="iconSet" priority="1037">
      <iconSet iconSet="4TrafficLights">
        <cfvo type="percent" val="0"/>
        <cfvo type="num" val="0.25"/>
        <cfvo type="num" val="0.5"/>
        <cfvo type="num" val="0.75"/>
      </iconSet>
    </cfRule>
    <cfRule type="cellIs" dxfId="572" priority="1038" operator="lessThan">
      <formula>0</formula>
    </cfRule>
  </conditionalFormatting>
  <conditionalFormatting sqref="CD176">
    <cfRule type="iconSet" priority="1019">
      <iconSet iconSet="4TrafficLights">
        <cfvo type="percent" val="0"/>
        <cfvo type="num" val="0.25"/>
        <cfvo type="num" val="0.5"/>
        <cfvo type="num" val="0.75"/>
      </iconSet>
    </cfRule>
    <cfRule type="cellIs" dxfId="571" priority="1020" operator="lessThan">
      <formula>0</formula>
    </cfRule>
  </conditionalFormatting>
  <conditionalFormatting sqref="CH176">
    <cfRule type="iconSet" priority="1021">
      <iconSet iconSet="4TrafficLights">
        <cfvo type="percent" val="0"/>
        <cfvo type="num" val="0.25"/>
        <cfvo type="num" val="0.5"/>
        <cfvo type="num" val="0.75"/>
      </iconSet>
    </cfRule>
    <cfRule type="cellIs" dxfId="570" priority="1022" operator="lessThan">
      <formula>0</formula>
    </cfRule>
  </conditionalFormatting>
  <conditionalFormatting sqref="BV176">
    <cfRule type="iconSet" priority="1023">
      <iconSet iconSet="4TrafficLights">
        <cfvo type="percent" val="0"/>
        <cfvo type="num" val="0.25"/>
        <cfvo type="num" val="0.5"/>
        <cfvo type="num" val="0.75"/>
      </iconSet>
    </cfRule>
    <cfRule type="cellIs" dxfId="569" priority="1024" operator="lessThan">
      <formula>0</formula>
    </cfRule>
  </conditionalFormatting>
  <conditionalFormatting sqref="BZ176">
    <cfRule type="iconSet" priority="1025">
      <iconSet iconSet="4TrafficLights">
        <cfvo type="percent" val="0"/>
        <cfvo type="num" val="0.25"/>
        <cfvo type="num" val="0.5"/>
        <cfvo type="num" val="0.75"/>
      </iconSet>
    </cfRule>
    <cfRule type="cellIs" dxfId="568" priority="1026" stopIfTrue="1" operator="lessThan">
      <formula>0</formula>
    </cfRule>
  </conditionalFormatting>
  <conditionalFormatting sqref="CL176">
    <cfRule type="iconSet" priority="1027">
      <iconSet iconSet="4TrafficLights">
        <cfvo type="percent" val="0"/>
        <cfvo type="num" val="0.25"/>
        <cfvo type="num" val="0.5"/>
        <cfvo type="num" val="0.75"/>
      </iconSet>
    </cfRule>
    <cfRule type="cellIs" dxfId="567" priority="1028" operator="lessThan">
      <formula>0</formula>
    </cfRule>
  </conditionalFormatting>
  <conditionalFormatting sqref="CD177">
    <cfRule type="iconSet" priority="1009">
      <iconSet iconSet="4TrafficLights">
        <cfvo type="percent" val="0"/>
        <cfvo type="num" val="0.25"/>
        <cfvo type="num" val="0.5"/>
        <cfvo type="num" val="0.75"/>
      </iconSet>
    </cfRule>
    <cfRule type="cellIs" dxfId="566" priority="1010" operator="lessThan">
      <formula>0</formula>
    </cfRule>
  </conditionalFormatting>
  <conditionalFormatting sqref="CH177">
    <cfRule type="iconSet" priority="1011">
      <iconSet iconSet="4TrafficLights">
        <cfvo type="percent" val="0"/>
        <cfvo type="num" val="0.25"/>
        <cfvo type="num" val="0.5"/>
        <cfvo type="num" val="0.75"/>
      </iconSet>
    </cfRule>
    <cfRule type="cellIs" dxfId="565" priority="1012" operator="lessThan">
      <formula>0</formula>
    </cfRule>
  </conditionalFormatting>
  <conditionalFormatting sqref="BV177">
    <cfRule type="iconSet" priority="1013">
      <iconSet iconSet="4TrafficLights">
        <cfvo type="percent" val="0"/>
        <cfvo type="num" val="0.25"/>
        <cfvo type="num" val="0.5"/>
        <cfvo type="num" val="0.75"/>
      </iconSet>
    </cfRule>
    <cfRule type="cellIs" dxfId="564" priority="1014" operator="lessThan">
      <formula>0</formula>
    </cfRule>
  </conditionalFormatting>
  <conditionalFormatting sqref="BZ177">
    <cfRule type="iconSet" priority="1015">
      <iconSet iconSet="4TrafficLights">
        <cfvo type="percent" val="0"/>
        <cfvo type="num" val="0.25"/>
        <cfvo type="num" val="0.5"/>
        <cfvo type="num" val="0.75"/>
      </iconSet>
    </cfRule>
    <cfRule type="cellIs" dxfId="563" priority="1016" stopIfTrue="1" operator="lessThan">
      <formula>0</formula>
    </cfRule>
  </conditionalFormatting>
  <conditionalFormatting sqref="CL177">
    <cfRule type="iconSet" priority="1017">
      <iconSet iconSet="4TrafficLights">
        <cfvo type="percent" val="0"/>
        <cfvo type="num" val="0.25"/>
        <cfvo type="num" val="0.5"/>
        <cfvo type="num" val="0.75"/>
      </iconSet>
    </cfRule>
    <cfRule type="cellIs" dxfId="562" priority="1018" operator="lessThan">
      <formula>0</formula>
    </cfRule>
  </conditionalFormatting>
  <conditionalFormatting sqref="CD178">
    <cfRule type="iconSet" priority="999">
      <iconSet iconSet="4TrafficLights">
        <cfvo type="percent" val="0"/>
        <cfvo type="num" val="0.25"/>
        <cfvo type="num" val="0.5"/>
        <cfvo type="num" val="0.75"/>
      </iconSet>
    </cfRule>
    <cfRule type="cellIs" dxfId="561" priority="1000" operator="lessThan">
      <formula>0</formula>
    </cfRule>
  </conditionalFormatting>
  <conditionalFormatting sqref="CH178">
    <cfRule type="iconSet" priority="1001">
      <iconSet iconSet="4TrafficLights">
        <cfvo type="percent" val="0"/>
        <cfvo type="num" val="0.25"/>
        <cfvo type="num" val="0.5"/>
        <cfvo type="num" val="0.75"/>
      </iconSet>
    </cfRule>
    <cfRule type="cellIs" dxfId="560" priority="1002" operator="lessThan">
      <formula>0</formula>
    </cfRule>
  </conditionalFormatting>
  <conditionalFormatting sqref="BV178">
    <cfRule type="iconSet" priority="1003">
      <iconSet iconSet="4TrafficLights">
        <cfvo type="percent" val="0"/>
        <cfvo type="num" val="0.25"/>
        <cfvo type="num" val="0.5"/>
        <cfvo type="num" val="0.75"/>
      </iconSet>
    </cfRule>
    <cfRule type="cellIs" dxfId="559" priority="1004" operator="lessThan">
      <formula>0</formula>
    </cfRule>
  </conditionalFormatting>
  <conditionalFormatting sqref="BZ178">
    <cfRule type="iconSet" priority="1005">
      <iconSet iconSet="4TrafficLights">
        <cfvo type="percent" val="0"/>
        <cfvo type="num" val="0.25"/>
        <cfvo type="num" val="0.5"/>
        <cfvo type="num" val="0.75"/>
      </iconSet>
    </cfRule>
    <cfRule type="cellIs" dxfId="558" priority="1006" stopIfTrue="1" operator="lessThan">
      <formula>0</formula>
    </cfRule>
  </conditionalFormatting>
  <conditionalFormatting sqref="CL178">
    <cfRule type="iconSet" priority="1007">
      <iconSet iconSet="4TrafficLights">
        <cfvo type="percent" val="0"/>
        <cfvo type="num" val="0.25"/>
        <cfvo type="num" val="0.5"/>
        <cfvo type="num" val="0.75"/>
      </iconSet>
    </cfRule>
    <cfRule type="cellIs" dxfId="557" priority="1008" operator="lessThan">
      <formula>0</formula>
    </cfRule>
  </conditionalFormatting>
  <conditionalFormatting sqref="CD179">
    <cfRule type="iconSet" priority="989">
      <iconSet iconSet="4TrafficLights">
        <cfvo type="percent" val="0"/>
        <cfvo type="num" val="0.25"/>
        <cfvo type="num" val="0.5"/>
        <cfvo type="num" val="0.75"/>
      </iconSet>
    </cfRule>
    <cfRule type="cellIs" dxfId="556" priority="990" operator="lessThan">
      <formula>0</formula>
    </cfRule>
  </conditionalFormatting>
  <conditionalFormatting sqref="CH179">
    <cfRule type="iconSet" priority="991">
      <iconSet iconSet="4TrafficLights">
        <cfvo type="percent" val="0"/>
        <cfvo type="num" val="0.25"/>
        <cfvo type="num" val="0.5"/>
        <cfvo type="num" val="0.75"/>
      </iconSet>
    </cfRule>
    <cfRule type="cellIs" dxfId="555" priority="992" operator="lessThan">
      <formula>0</formula>
    </cfRule>
  </conditionalFormatting>
  <conditionalFormatting sqref="BV179">
    <cfRule type="iconSet" priority="993">
      <iconSet iconSet="4TrafficLights">
        <cfvo type="percent" val="0"/>
        <cfvo type="num" val="0.25"/>
        <cfvo type="num" val="0.5"/>
        <cfvo type="num" val="0.75"/>
      </iconSet>
    </cfRule>
    <cfRule type="cellIs" dxfId="554" priority="994" operator="lessThan">
      <formula>0</formula>
    </cfRule>
  </conditionalFormatting>
  <conditionalFormatting sqref="BZ179">
    <cfRule type="iconSet" priority="995">
      <iconSet iconSet="4TrafficLights">
        <cfvo type="percent" val="0"/>
        <cfvo type="num" val="0.25"/>
        <cfvo type="num" val="0.5"/>
        <cfvo type="num" val="0.75"/>
      </iconSet>
    </cfRule>
    <cfRule type="cellIs" dxfId="553" priority="996" stopIfTrue="1" operator="lessThan">
      <formula>0</formula>
    </cfRule>
  </conditionalFormatting>
  <conditionalFormatting sqref="CL179">
    <cfRule type="iconSet" priority="997">
      <iconSet iconSet="4TrafficLights">
        <cfvo type="percent" val="0"/>
        <cfvo type="num" val="0.25"/>
        <cfvo type="num" val="0.5"/>
        <cfvo type="num" val="0.75"/>
      </iconSet>
    </cfRule>
    <cfRule type="cellIs" dxfId="552" priority="998" operator="lessThan">
      <formula>0</formula>
    </cfRule>
  </conditionalFormatting>
  <conditionalFormatting sqref="CD180">
    <cfRule type="iconSet" priority="979">
      <iconSet iconSet="4TrafficLights">
        <cfvo type="percent" val="0"/>
        <cfvo type="num" val="0.25"/>
        <cfvo type="num" val="0.5"/>
        <cfvo type="num" val="0.75"/>
      </iconSet>
    </cfRule>
    <cfRule type="cellIs" dxfId="551" priority="980" operator="lessThan">
      <formula>0</formula>
    </cfRule>
  </conditionalFormatting>
  <conditionalFormatting sqref="CH180">
    <cfRule type="iconSet" priority="981">
      <iconSet iconSet="4TrafficLights">
        <cfvo type="percent" val="0"/>
        <cfvo type="num" val="0.25"/>
        <cfvo type="num" val="0.5"/>
        <cfvo type="num" val="0.75"/>
      </iconSet>
    </cfRule>
    <cfRule type="cellIs" dxfId="550" priority="982" operator="lessThan">
      <formula>0</formula>
    </cfRule>
  </conditionalFormatting>
  <conditionalFormatting sqref="BV180">
    <cfRule type="iconSet" priority="983">
      <iconSet iconSet="4TrafficLights">
        <cfvo type="percent" val="0"/>
        <cfvo type="num" val="0.25"/>
        <cfvo type="num" val="0.5"/>
        <cfvo type="num" val="0.75"/>
      </iconSet>
    </cfRule>
    <cfRule type="cellIs" dxfId="549" priority="984" operator="lessThan">
      <formula>0</formula>
    </cfRule>
  </conditionalFormatting>
  <conditionalFormatting sqref="BZ180">
    <cfRule type="iconSet" priority="985">
      <iconSet iconSet="4TrafficLights">
        <cfvo type="percent" val="0"/>
        <cfvo type="num" val="0.25"/>
        <cfvo type="num" val="0.5"/>
        <cfvo type="num" val="0.75"/>
      </iconSet>
    </cfRule>
    <cfRule type="cellIs" dxfId="548" priority="986" stopIfTrue="1" operator="lessThan">
      <formula>0</formula>
    </cfRule>
  </conditionalFormatting>
  <conditionalFormatting sqref="CL180">
    <cfRule type="iconSet" priority="987">
      <iconSet iconSet="4TrafficLights">
        <cfvo type="percent" val="0"/>
        <cfvo type="num" val="0.25"/>
        <cfvo type="num" val="0.5"/>
        <cfvo type="num" val="0.75"/>
      </iconSet>
    </cfRule>
    <cfRule type="cellIs" dxfId="547" priority="988" operator="lessThan">
      <formula>0</formula>
    </cfRule>
  </conditionalFormatting>
  <conditionalFormatting sqref="CD182:CD187">
    <cfRule type="iconSet" priority="947">
      <iconSet iconSet="4TrafficLights">
        <cfvo type="percent" val="0"/>
        <cfvo type="num" val="0.25"/>
        <cfvo type="num" val="0.5"/>
        <cfvo type="num" val="0.75"/>
      </iconSet>
    </cfRule>
    <cfRule type="cellIs" dxfId="546" priority="948" operator="lessThan">
      <formula>0</formula>
    </cfRule>
  </conditionalFormatting>
  <conditionalFormatting sqref="CH182:CH187">
    <cfRule type="iconSet" priority="949">
      <iconSet iconSet="4TrafficLights">
        <cfvo type="percent" val="0"/>
        <cfvo type="num" val="0.25"/>
        <cfvo type="num" val="0.5"/>
        <cfvo type="num" val="0.75"/>
      </iconSet>
    </cfRule>
    <cfRule type="cellIs" dxfId="545" priority="950" operator="lessThan">
      <formula>0</formula>
    </cfRule>
  </conditionalFormatting>
  <conditionalFormatting sqref="BV182:BV187">
    <cfRule type="iconSet" priority="951">
      <iconSet iconSet="4TrafficLights">
        <cfvo type="percent" val="0"/>
        <cfvo type="num" val="0.25"/>
        <cfvo type="num" val="0.5"/>
        <cfvo type="num" val="0.75"/>
      </iconSet>
    </cfRule>
    <cfRule type="cellIs" dxfId="544" priority="952" operator="lessThan">
      <formula>0</formula>
    </cfRule>
  </conditionalFormatting>
  <conditionalFormatting sqref="BZ182:BZ187">
    <cfRule type="iconSet" priority="953">
      <iconSet iconSet="4TrafficLights">
        <cfvo type="percent" val="0"/>
        <cfvo type="num" val="0.25"/>
        <cfvo type="num" val="0.5"/>
        <cfvo type="num" val="0.75"/>
      </iconSet>
    </cfRule>
    <cfRule type="cellIs" dxfId="543" priority="954" stopIfTrue="1" operator="lessThan">
      <formula>0</formula>
    </cfRule>
  </conditionalFormatting>
  <conditionalFormatting sqref="CL182:CL187">
    <cfRule type="iconSet" priority="955">
      <iconSet iconSet="4TrafficLights">
        <cfvo type="percent" val="0"/>
        <cfvo type="num" val="0.25"/>
        <cfvo type="num" val="0.5"/>
        <cfvo type="num" val="0.75"/>
      </iconSet>
    </cfRule>
    <cfRule type="cellIs" dxfId="542" priority="956" operator="lessThan">
      <formula>0</formula>
    </cfRule>
  </conditionalFormatting>
  <conditionalFormatting sqref="CM182:CM187">
    <cfRule type="iconSet" priority="957">
      <iconSet iconSet="4TrafficLights">
        <cfvo type="percent" val="0"/>
        <cfvo type="num" val="0.25"/>
        <cfvo type="num" val="0.5"/>
        <cfvo type="num" val="0.75"/>
      </iconSet>
    </cfRule>
    <cfRule type="cellIs" dxfId="541" priority="958" operator="lessThan">
      <formula>0</formula>
    </cfRule>
  </conditionalFormatting>
  <conditionalFormatting sqref="CD181">
    <cfRule type="iconSet" priority="2398">
      <iconSet iconSet="4TrafficLights">
        <cfvo type="percent" val="0"/>
        <cfvo type="num" val="0.25"/>
        <cfvo type="num" val="0.5"/>
        <cfvo type="num" val="0.75"/>
      </iconSet>
    </cfRule>
    <cfRule type="cellIs" dxfId="540" priority="2399" operator="lessThan">
      <formula>0</formula>
    </cfRule>
  </conditionalFormatting>
  <conditionalFormatting sqref="CH181">
    <cfRule type="iconSet" priority="2400">
      <iconSet iconSet="4TrafficLights">
        <cfvo type="percent" val="0"/>
        <cfvo type="num" val="0.25"/>
        <cfvo type="num" val="0.5"/>
        <cfvo type="num" val="0.75"/>
      </iconSet>
    </cfRule>
    <cfRule type="cellIs" dxfId="539" priority="2401" operator="lessThan">
      <formula>0</formula>
    </cfRule>
  </conditionalFormatting>
  <conditionalFormatting sqref="BZ181">
    <cfRule type="iconSet" priority="2402">
      <iconSet iconSet="4TrafficLights">
        <cfvo type="percent" val="0"/>
        <cfvo type="num" val="0.25"/>
        <cfvo type="num" val="0.5"/>
        <cfvo type="num" val="0.75"/>
      </iconSet>
    </cfRule>
    <cfRule type="cellIs" dxfId="538" priority="2403" stopIfTrue="1" operator="lessThan">
      <formula>0</formula>
    </cfRule>
  </conditionalFormatting>
  <conditionalFormatting sqref="CL181">
    <cfRule type="iconSet" priority="2404">
      <iconSet iconSet="4TrafficLights">
        <cfvo type="percent" val="0"/>
        <cfvo type="num" val="0.25"/>
        <cfvo type="num" val="0.5"/>
        <cfvo type="num" val="0.75"/>
      </iconSet>
    </cfRule>
    <cfRule type="cellIs" dxfId="537" priority="2405" operator="lessThan">
      <formula>0</formula>
    </cfRule>
  </conditionalFormatting>
  <conditionalFormatting sqref="CD188">
    <cfRule type="iconSet" priority="935">
      <iconSet iconSet="4TrafficLights">
        <cfvo type="percent" val="0"/>
        <cfvo type="num" val="0.25"/>
        <cfvo type="num" val="0.5"/>
        <cfvo type="num" val="0.75"/>
      </iconSet>
    </cfRule>
    <cfRule type="cellIs" dxfId="536" priority="936" operator="lessThan">
      <formula>0</formula>
    </cfRule>
  </conditionalFormatting>
  <conditionalFormatting sqref="CH188">
    <cfRule type="iconSet" priority="937">
      <iconSet iconSet="4TrafficLights">
        <cfvo type="percent" val="0"/>
        <cfvo type="num" val="0.25"/>
        <cfvo type="num" val="0.5"/>
        <cfvo type="num" val="0.75"/>
      </iconSet>
    </cfRule>
    <cfRule type="cellIs" dxfId="535" priority="938" operator="lessThan">
      <formula>0</formula>
    </cfRule>
  </conditionalFormatting>
  <conditionalFormatting sqref="BV188">
    <cfRule type="iconSet" priority="939">
      <iconSet iconSet="4TrafficLights">
        <cfvo type="percent" val="0"/>
        <cfvo type="num" val="0.25"/>
        <cfvo type="num" val="0.5"/>
        <cfvo type="num" val="0.75"/>
      </iconSet>
    </cfRule>
    <cfRule type="cellIs" dxfId="534" priority="940" operator="lessThan">
      <formula>0</formula>
    </cfRule>
  </conditionalFormatting>
  <conditionalFormatting sqref="BZ188">
    <cfRule type="iconSet" priority="941">
      <iconSet iconSet="4TrafficLights">
        <cfvo type="percent" val="0"/>
        <cfvo type="num" val="0.25"/>
        <cfvo type="num" val="0.5"/>
        <cfvo type="num" val="0.75"/>
      </iconSet>
    </cfRule>
    <cfRule type="cellIs" dxfId="533" priority="942" stopIfTrue="1" operator="lessThan">
      <formula>0</formula>
    </cfRule>
  </conditionalFormatting>
  <conditionalFormatting sqref="CL188">
    <cfRule type="iconSet" priority="943">
      <iconSet iconSet="4TrafficLights">
        <cfvo type="percent" val="0"/>
        <cfvo type="num" val="0.25"/>
        <cfvo type="num" val="0.5"/>
        <cfvo type="num" val="0.75"/>
      </iconSet>
    </cfRule>
    <cfRule type="cellIs" dxfId="532" priority="944" operator="lessThan">
      <formula>0</formula>
    </cfRule>
  </conditionalFormatting>
  <conditionalFormatting sqref="CM188">
    <cfRule type="iconSet" priority="945">
      <iconSet iconSet="4TrafficLights">
        <cfvo type="percent" val="0"/>
        <cfvo type="num" val="0.25"/>
        <cfvo type="num" val="0.5"/>
        <cfvo type="num" val="0.75"/>
      </iconSet>
    </cfRule>
    <cfRule type="cellIs" dxfId="531" priority="946" operator="lessThan">
      <formula>0</formula>
    </cfRule>
  </conditionalFormatting>
  <conditionalFormatting sqref="CD189">
    <cfRule type="iconSet" priority="923">
      <iconSet iconSet="4TrafficLights">
        <cfvo type="percent" val="0"/>
        <cfvo type="num" val="0.25"/>
        <cfvo type="num" val="0.5"/>
        <cfvo type="num" val="0.75"/>
      </iconSet>
    </cfRule>
    <cfRule type="cellIs" dxfId="530" priority="924" operator="lessThan">
      <formula>0</formula>
    </cfRule>
  </conditionalFormatting>
  <conditionalFormatting sqref="CH189">
    <cfRule type="iconSet" priority="925">
      <iconSet iconSet="4TrafficLights">
        <cfvo type="percent" val="0"/>
        <cfvo type="num" val="0.25"/>
        <cfvo type="num" val="0.5"/>
        <cfvo type="num" val="0.75"/>
      </iconSet>
    </cfRule>
    <cfRule type="cellIs" dxfId="529" priority="926" operator="lessThan">
      <formula>0</formula>
    </cfRule>
  </conditionalFormatting>
  <conditionalFormatting sqref="BV189">
    <cfRule type="iconSet" priority="927">
      <iconSet iconSet="4TrafficLights">
        <cfvo type="percent" val="0"/>
        <cfvo type="num" val="0.25"/>
        <cfvo type="num" val="0.5"/>
        <cfvo type="num" val="0.75"/>
      </iconSet>
    </cfRule>
    <cfRule type="cellIs" dxfId="528" priority="928" operator="lessThan">
      <formula>0</formula>
    </cfRule>
  </conditionalFormatting>
  <conditionalFormatting sqref="BZ189">
    <cfRule type="iconSet" priority="929">
      <iconSet iconSet="4TrafficLights">
        <cfvo type="percent" val="0"/>
        <cfvo type="num" val="0.25"/>
        <cfvo type="num" val="0.5"/>
        <cfvo type="num" val="0.75"/>
      </iconSet>
    </cfRule>
    <cfRule type="cellIs" dxfId="527" priority="930" stopIfTrue="1" operator="lessThan">
      <formula>0</formula>
    </cfRule>
  </conditionalFormatting>
  <conditionalFormatting sqref="CL189">
    <cfRule type="iconSet" priority="931">
      <iconSet iconSet="4TrafficLights">
        <cfvo type="percent" val="0"/>
        <cfvo type="num" val="0.25"/>
        <cfvo type="num" val="0.5"/>
        <cfvo type="num" val="0.75"/>
      </iconSet>
    </cfRule>
    <cfRule type="cellIs" dxfId="526" priority="932" operator="lessThan">
      <formula>0</formula>
    </cfRule>
  </conditionalFormatting>
  <conditionalFormatting sqref="CM189">
    <cfRule type="iconSet" priority="933">
      <iconSet iconSet="4TrafficLights">
        <cfvo type="percent" val="0"/>
        <cfvo type="num" val="0.25"/>
        <cfvo type="num" val="0.5"/>
        <cfvo type="num" val="0.75"/>
      </iconSet>
    </cfRule>
    <cfRule type="cellIs" dxfId="525" priority="934" operator="lessThan">
      <formula>0</formula>
    </cfRule>
  </conditionalFormatting>
  <conditionalFormatting sqref="CD190">
    <cfRule type="iconSet" priority="911">
      <iconSet iconSet="4TrafficLights">
        <cfvo type="percent" val="0"/>
        <cfvo type="num" val="0.25"/>
        <cfvo type="num" val="0.5"/>
        <cfvo type="num" val="0.75"/>
      </iconSet>
    </cfRule>
    <cfRule type="cellIs" dxfId="524" priority="912" operator="lessThan">
      <formula>0</formula>
    </cfRule>
  </conditionalFormatting>
  <conditionalFormatting sqref="CH190">
    <cfRule type="iconSet" priority="913">
      <iconSet iconSet="4TrafficLights">
        <cfvo type="percent" val="0"/>
        <cfvo type="num" val="0.25"/>
        <cfvo type="num" val="0.5"/>
        <cfvo type="num" val="0.75"/>
      </iconSet>
    </cfRule>
    <cfRule type="cellIs" dxfId="523" priority="914" operator="lessThan">
      <formula>0</formula>
    </cfRule>
  </conditionalFormatting>
  <conditionalFormatting sqref="BV190">
    <cfRule type="iconSet" priority="915">
      <iconSet iconSet="4TrafficLights">
        <cfvo type="percent" val="0"/>
        <cfvo type="num" val="0.25"/>
        <cfvo type="num" val="0.5"/>
        <cfvo type="num" val="0.75"/>
      </iconSet>
    </cfRule>
    <cfRule type="cellIs" dxfId="522" priority="916" operator="lessThan">
      <formula>0</formula>
    </cfRule>
  </conditionalFormatting>
  <conditionalFormatting sqref="BZ190">
    <cfRule type="iconSet" priority="917">
      <iconSet iconSet="4TrafficLights">
        <cfvo type="percent" val="0"/>
        <cfvo type="num" val="0.25"/>
        <cfvo type="num" val="0.5"/>
        <cfvo type="num" val="0.75"/>
      </iconSet>
    </cfRule>
    <cfRule type="cellIs" dxfId="521" priority="918" stopIfTrue="1" operator="lessThan">
      <formula>0</formula>
    </cfRule>
  </conditionalFormatting>
  <conditionalFormatting sqref="CL190">
    <cfRule type="iconSet" priority="919">
      <iconSet iconSet="4TrafficLights">
        <cfvo type="percent" val="0"/>
        <cfvo type="num" val="0.25"/>
        <cfvo type="num" val="0.5"/>
        <cfvo type="num" val="0.75"/>
      </iconSet>
    </cfRule>
    <cfRule type="cellIs" dxfId="520" priority="920" operator="lessThan">
      <formula>0</formula>
    </cfRule>
  </conditionalFormatting>
  <conditionalFormatting sqref="CM190">
    <cfRule type="iconSet" priority="921">
      <iconSet iconSet="4TrafficLights">
        <cfvo type="percent" val="0"/>
        <cfvo type="num" val="0.25"/>
        <cfvo type="num" val="0.5"/>
        <cfvo type="num" val="0.75"/>
      </iconSet>
    </cfRule>
    <cfRule type="cellIs" dxfId="519" priority="922" operator="lessThan">
      <formula>0</formula>
    </cfRule>
  </conditionalFormatting>
  <conditionalFormatting sqref="CN191">
    <cfRule type="iconSet" priority="897">
      <iconSet iconSet="4TrafficLights">
        <cfvo type="percent" val="0"/>
        <cfvo type="num" val="0.25"/>
        <cfvo type="num" val="0.5"/>
        <cfvo type="num" val="0.75"/>
      </iconSet>
    </cfRule>
    <cfRule type="cellIs" dxfId="518" priority="898" operator="lessThan">
      <formula>0</formula>
    </cfRule>
  </conditionalFormatting>
  <conditionalFormatting sqref="CD196">
    <cfRule type="iconSet" priority="885">
      <iconSet iconSet="4TrafficLights">
        <cfvo type="percent" val="0"/>
        <cfvo type="num" val="0.25"/>
        <cfvo type="num" val="0.5"/>
        <cfvo type="num" val="0.75"/>
      </iconSet>
    </cfRule>
    <cfRule type="cellIs" dxfId="517" priority="886" operator="lessThan">
      <formula>0</formula>
    </cfRule>
  </conditionalFormatting>
  <conditionalFormatting sqref="CH196">
    <cfRule type="iconSet" priority="887">
      <iconSet iconSet="4TrafficLights">
        <cfvo type="percent" val="0"/>
        <cfvo type="num" val="0.25"/>
        <cfvo type="num" val="0.5"/>
        <cfvo type="num" val="0.75"/>
      </iconSet>
    </cfRule>
    <cfRule type="cellIs" dxfId="516" priority="888" operator="lessThan">
      <formula>0</formula>
    </cfRule>
  </conditionalFormatting>
  <conditionalFormatting sqref="BZ196">
    <cfRule type="iconSet" priority="891">
      <iconSet iconSet="4TrafficLights">
        <cfvo type="percent" val="0"/>
        <cfvo type="num" val="0.25"/>
        <cfvo type="num" val="0.5"/>
        <cfvo type="num" val="0.75"/>
      </iconSet>
    </cfRule>
    <cfRule type="cellIs" dxfId="515" priority="892" stopIfTrue="1" operator="lessThan">
      <formula>0</formula>
    </cfRule>
  </conditionalFormatting>
  <conditionalFormatting sqref="CL196">
    <cfRule type="iconSet" priority="893">
      <iconSet iconSet="4TrafficLights">
        <cfvo type="percent" val="0"/>
        <cfvo type="num" val="0.25"/>
        <cfvo type="num" val="0.5"/>
        <cfvo type="num" val="0.75"/>
      </iconSet>
    </cfRule>
    <cfRule type="cellIs" dxfId="514" priority="894" operator="lessThan">
      <formula>0</formula>
    </cfRule>
  </conditionalFormatting>
  <conditionalFormatting sqref="CM196">
    <cfRule type="iconSet" priority="895">
      <iconSet iconSet="4TrafficLights">
        <cfvo type="percent" val="0"/>
        <cfvo type="num" val="0.25"/>
        <cfvo type="num" val="0.5"/>
        <cfvo type="num" val="0.75"/>
      </iconSet>
    </cfRule>
    <cfRule type="cellIs" dxfId="513" priority="896" operator="lessThan">
      <formula>0</formula>
    </cfRule>
  </conditionalFormatting>
  <conditionalFormatting sqref="CD191:CD195">
    <cfRule type="iconSet" priority="2406">
      <iconSet iconSet="4TrafficLights">
        <cfvo type="percent" val="0"/>
        <cfvo type="num" val="0.25"/>
        <cfvo type="num" val="0.5"/>
        <cfvo type="num" val="0.75"/>
      </iconSet>
    </cfRule>
    <cfRule type="cellIs" dxfId="512" priority="2407" operator="lessThan">
      <formula>0</formula>
    </cfRule>
  </conditionalFormatting>
  <conditionalFormatting sqref="CH191:CH195">
    <cfRule type="iconSet" priority="2410">
      <iconSet iconSet="4TrafficLights">
        <cfvo type="percent" val="0"/>
        <cfvo type="num" val="0.25"/>
        <cfvo type="num" val="0.5"/>
        <cfvo type="num" val="0.75"/>
      </iconSet>
    </cfRule>
    <cfRule type="cellIs" dxfId="511" priority="2411" operator="lessThan">
      <formula>0</formula>
    </cfRule>
  </conditionalFormatting>
  <conditionalFormatting sqref="BV191:BV196">
    <cfRule type="iconSet" priority="2414">
      <iconSet iconSet="4TrafficLights">
        <cfvo type="percent" val="0"/>
        <cfvo type="num" val="0.25"/>
        <cfvo type="num" val="0.5"/>
        <cfvo type="num" val="0.75"/>
      </iconSet>
    </cfRule>
    <cfRule type="cellIs" dxfId="510" priority="2415" operator="lessThan">
      <formula>0</formula>
    </cfRule>
  </conditionalFormatting>
  <conditionalFormatting sqref="BZ191:BZ195">
    <cfRule type="iconSet" priority="2418">
      <iconSet iconSet="4TrafficLights">
        <cfvo type="percent" val="0"/>
        <cfvo type="num" val="0.25"/>
        <cfvo type="num" val="0.5"/>
        <cfvo type="num" val="0.75"/>
      </iconSet>
    </cfRule>
    <cfRule type="cellIs" dxfId="509" priority="2419" stopIfTrue="1" operator="lessThan">
      <formula>0</formula>
    </cfRule>
  </conditionalFormatting>
  <conditionalFormatting sqref="CL191:CL195">
    <cfRule type="iconSet" priority="2422">
      <iconSet iconSet="4TrafficLights">
        <cfvo type="percent" val="0"/>
        <cfvo type="num" val="0.25"/>
        <cfvo type="num" val="0.5"/>
        <cfvo type="num" val="0.75"/>
      </iconSet>
    </cfRule>
    <cfRule type="cellIs" dxfId="508" priority="2423" operator="lessThan">
      <formula>0</formula>
    </cfRule>
  </conditionalFormatting>
  <conditionalFormatting sqref="CM191:CM195">
    <cfRule type="iconSet" priority="2426">
      <iconSet iconSet="4TrafficLights">
        <cfvo type="percent" val="0"/>
        <cfvo type="num" val="0.25"/>
        <cfvo type="num" val="0.5"/>
        <cfvo type="num" val="0.75"/>
      </iconSet>
    </cfRule>
    <cfRule type="cellIs" dxfId="507" priority="2427" operator="lessThan">
      <formula>0</formula>
    </cfRule>
  </conditionalFormatting>
  <conditionalFormatting sqref="CD197">
    <cfRule type="iconSet" priority="873">
      <iconSet iconSet="4TrafficLights">
        <cfvo type="percent" val="0"/>
        <cfvo type="num" val="0.25"/>
        <cfvo type="num" val="0.5"/>
        <cfvo type="num" val="0.75"/>
      </iconSet>
    </cfRule>
    <cfRule type="cellIs" dxfId="506" priority="874" operator="lessThan">
      <formula>0</formula>
    </cfRule>
  </conditionalFormatting>
  <conditionalFormatting sqref="CH197">
    <cfRule type="iconSet" priority="875">
      <iconSet iconSet="4TrafficLights">
        <cfvo type="percent" val="0"/>
        <cfvo type="num" val="0.25"/>
        <cfvo type="num" val="0.5"/>
        <cfvo type="num" val="0.75"/>
      </iconSet>
    </cfRule>
    <cfRule type="cellIs" dxfId="505" priority="876" operator="lessThan">
      <formula>0</formula>
    </cfRule>
  </conditionalFormatting>
  <conditionalFormatting sqref="BV197">
    <cfRule type="iconSet" priority="877">
      <iconSet iconSet="4TrafficLights">
        <cfvo type="percent" val="0"/>
        <cfvo type="num" val="0.25"/>
        <cfvo type="num" val="0.5"/>
        <cfvo type="num" val="0.75"/>
      </iconSet>
    </cfRule>
    <cfRule type="cellIs" dxfId="504" priority="878" operator="lessThan">
      <formula>0</formula>
    </cfRule>
  </conditionalFormatting>
  <conditionalFormatting sqref="BZ197">
    <cfRule type="iconSet" priority="879">
      <iconSet iconSet="4TrafficLights">
        <cfvo type="percent" val="0"/>
        <cfvo type="num" val="0.25"/>
        <cfvo type="num" val="0.5"/>
        <cfvo type="num" val="0.75"/>
      </iconSet>
    </cfRule>
    <cfRule type="cellIs" dxfId="503" priority="880" stopIfTrue="1" operator="lessThan">
      <formula>0</formula>
    </cfRule>
  </conditionalFormatting>
  <conditionalFormatting sqref="CL197">
    <cfRule type="iconSet" priority="881">
      <iconSet iconSet="4TrafficLights">
        <cfvo type="percent" val="0"/>
        <cfvo type="num" val="0.25"/>
        <cfvo type="num" val="0.5"/>
        <cfvo type="num" val="0.75"/>
      </iconSet>
    </cfRule>
    <cfRule type="cellIs" dxfId="502" priority="882" operator="lessThan">
      <formula>0</formula>
    </cfRule>
  </conditionalFormatting>
  <conditionalFormatting sqref="CM197">
    <cfRule type="iconSet" priority="883">
      <iconSet iconSet="4TrafficLights">
        <cfvo type="percent" val="0"/>
        <cfvo type="num" val="0.25"/>
        <cfvo type="num" val="0.5"/>
        <cfvo type="num" val="0.75"/>
      </iconSet>
    </cfRule>
    <cfRule type="cellIs" dxfId="501" priority="884" operator="lessThan">
      <formula>0</formula>
    </cfRule>
  </conditionalFormatting>
  <conditionalFormatting sqref="CM198">
    <cfRule type="iconSet" priority="871">
      <iconSet iconSet="4TrafficLights">
        <cfvo type="percent" val="0"/>
        <cfvo type="num" val="0.25"/>
        <cfvo type="num" val="0.5"/>
        <cfvo type="num" val="0.75"/>
      </iconSet>
    </cfRule>
    <cfRule type="cellIs" dxfId="500" priority="872" operator="lessThan">
      <formula>0</formula>
    </cfRule>
  </conditionalFormatting>
  <conditionalFormatting sqref="CD198">
    <cfRule type="iconSet" priority="861">
      <iconSet iconSet="4TrafficLights">
        <cfvo type="percent" val="0"/>
        <cfvo type="num" val="0.25"/>
        <cfvo type="num" val="0.5"/>
        <cfvo type="num" val="0.75"/>
      </iconSet>
    </cfRule>
    <cfRule type="cellIs" dxfId="499" priority="862" operator="lessThan">
      <formula>0</formula>
    </cfRule>
  </conditionalFormatting>
  <conditionalFormatting sqref="CH198">
    <cfRule type="iconSet" priority="863">
      <iconSet iconSet="4TrafficLights">
        <cfvo type="percent" val="0"/>
        <cfvo type="num" val="0.25"/>
        <cfvo type="num" val="0.5"/>
        <cfvo type="num" val="0.75"/>
      </iconSet>
    </cfRule>
    <cfRule type="cellIs" dxfId="498" priority="864" operator="lessThan">
      <formula>0</formula>
    </cfRule>
  </conditionalFormatting>
  <conditionalFormatting sqref="BV198">
    <cfRule type="iconSet" priority="865">
      <iconSet iconSet="4TrafficLights">
        <cfvo type="percent" val="0"/>
        <cfvo type="num" val="0.25"/>
        <cfvo type="num" val="0.5"/>
        <cfvo type="num" val="0.75"/>
      </iconSet>
    </cfRule>
    <cfRule type="cellIs" dxfId="497" priority="866" operator="lessThan">
      <formula>0</formula>
    </cfRule>
  </conditionalFormatting>
  <conditionalFormatting sqref="BZ198">
    <cfRule type="iconSet" priority="867">
      <iconSet iconSet="4TrafficLights">
        <cfvo type="percent" val="0"/>
        <cfvo type="num" val="0.25"/>
        <cfvo type="num" val="0.5"/>
        <cfvo type="num" val="0.75"/>
      </iconSet>
    </cfRule>
    <cfRule type="cellIs" dxfId="496" priority="868" stopIfTrue="1" operator="lessThan">
      <formula>0</formula>
    </cfRule>
  </conditionalFormatting>
  <conditionalFormatting sqref="CL198">
    <cfRule type="iconSet" priority="869">
      <iconSet iconSet="4TrafficLights">
        <cfvo type="percent" val="0"/>
        <cfvo type="num" val="0.25"/>
        <cfvo type="num" val="0.5"/>
        <cfvo type="num" val="0.75"/>
      </iconSet>
    </cfRule>
    <cfRule type="cellIs" dxfId="495" priority="870" operator="lessThan">
      <formula>0</formula>
    </cfRule>
  </conditionalFormatting>
  <conditionalFormatting sqref="CM199">
    <cfRule type="iconSet" priority="859">
      <iconSet iconSet="4TrafficLights">
        <cfvo type="percent" val="0"/>
        <cfvo type="num" val="0.25"/>
        <cfvo type="num" val="0.5"/>
        <cfvo type="num" val="0.75"/>
      </iconSet>
    </cfRule>
    <cfRule type="cellIs" dxfId="494" priority="860" operator="lessThan">
      <formula>0</formula>
    </cfRule>
  </conditionalFormatting>
  <conditionalFormatting sqref="CD199">
    <cfRule type="iconSet" priority="849">
      <iconSet iconSet="4TrafficLights">
        <cfvo type="percent" val="0"/>
        <cfvo type="num" val="0.25"/>
        <cfvo type="num" val="0.5"/>
        <cfvo type="num" val="0.75"/>
      </iconSet>
    </cfRule>
    <cfRule type="cellIs" dxfId="493" priority="850" operator="lessThan">
      <formula>0</formula>
    </cfRule>
  </conditionalFormatting>
  <conditionalFormatting sqref="CH199">
    <cfRule type="iconSet" priority="851">
      <iconSet iconSet="4TrafficLights">
        <cfvo type="percent" val="0"/>
        <cfvo type="num" val="0.25"/>
        <cfvo type="num" val="0.5"/>
        <cfvo type="num" val="0.75"/>
      </iconSet>
    </cfRule>
    <cfRule type="cellIs" dxfId="492" priority="852" operator="lessThan">
      <formula>0</formula>
    </cfRule>
  </conditionalFormatting>
  <conditionalFormatting sqref="BV199">
    <cfRule type="iconSet" priority="853">
      <iconSet iconSet="4TrafficLights">
        <cfvo type="percent" val="0"/>
        <cfvo type="num" val="0.25"/>
        <cfvo type="num" val="0.5"/>
        <cfvo type="num" val="0.75"/>
      </iconSet>
    </cfRule>
    <cfRule type="cellIs" dxfId="491" priority="854" operator="lessThan">
      <formula>0</formula>
    </cfRule>
  </conditionalFormatting>
  <conditionalFormatting sqref="BZ199">
    <cfRule type="iconSet" priority="855">
      <iconSet iconSet="4TrafficLights">
        <cfvo type="percent" val="0"/>
        <cfvo type="num" val="0.25"/>
        <cfvo type="num" val="0.5"/>
        <cfvo type="num" val="0.75"/>
      </iconSet>
    </cfRule>
    <cfRule type="cellIs" dxfId="490" priority="856" stopIfTrue="1" operator="lessThan">
      <formula>0</formula>
    </cfRule>
  </conditionalFormatting>
  <conditionalFormatting sqref="CL199">
    <cfRule type="iconSet" priority="857">
      <iconSet iconSet="4TrafficLights">
        <cfvo type="percent" val="0"/>
        <cfvo type="num" val="0.25"/>
        <cfvo type="num" val="0.5"/>
        <cfvo type="num" val="0.75"/>
      </iconSet>
    </cfRule>
    <cfRule type="cellIs" dxfId="489" priority="858" operator="lessThan">
      <formula>0</formula>
    </cfRule>
  </conditionalFormatting>
  <conditionalFormatting sqref="CM200">
    <cfRule type="iconSet" priority="847">
      <iconSet iconSet="4TrafficLights">
        <cfvo type="percent" val="0"/>
        <cfvo type="num" val="0.25"/>
        <cfvo type="num" val="0.5"/>
        <cfvo type="num" val="0.75"/>
      </iconSet>
    </cfRule>
    <cfRule type="cellIs" dxfId="488" priority="848" operator="lessThan">
      <formula>0</formula>
    </cfRule>
  </conditionalFormatting>
  <conditionalFormatting sqref="CD200">
    <cfRule type="iconSet" priority="837">
      <iconSet iconSet="4TrafficLights">
        <cfvo type="percent" val="0"/>
        <cfvo type="num" val="0.25"/>
        <cfvo type="num" val="0.5"/>
        <cfvo type="num" val="0.75"/>
      </iconSet>
    </cfRule>
    <cfRule type="cellIs" dxfId="487" priority="838" operator="lessThan">
      <formula>0</formula>
    </cfRule>
  </conditionalFormatting>
  <conditionalFormatting sqref="CH200">
    <cfRule type="iconSet" priority="839">
      <iconSet iconSet="4TrafficLights">
        <cfvo type="percent" val="0"/>
        <cfvo type="num" val="0.25"/>
        <cfvo type="num" val="0.5"/>
        <cfvo type="num" val="0.75"/>
      </iconSet>
    </cfRule>
    <cfRule type="cellIs" dxfId="486" priority="840" operator="lessThan">
      <formula>0</formula>
    </cfRule>
  </conditionalFormatting>
  <conditionalFormatting sqref="BV200">
    <cfRule type="iconSet" priority="841">
      <iconSet iconSet="4TrafficLights">
        <cfvo type="percent" val="0"/>
        <cfvo type="num" val="0.25"/>
        <cfvo type="num" val="0.5"/>
        <cfvo type="num" val="0.75"/>
      </iconSet>
    </cfRule>
    <cfRule type="cellIs" dxfId="485" priority="842" operator="lessThan">
      <formula>0</formula>
    </cfRule>
  </conditionalFormatting>
  <conditionalFormatting sqref="BZ200">
    <cfRule type="iconSet" priority="843">
      <iconSet iconSet="4TrafficLights">
        <cfvo type="percent" val="0"/>
        <cfvo type="num" val="0.25"/>
        <cfvo type="num" val="0.5"/>
        <cfvo type="num" val="0.75"/>
      </iconSet>
    </cfRule>
    <cfRule type="cellIs" dxfId="484" priority="844" stopIfTrue="1" operator="lessThan">
      <formula>0</formula>
    </cfRule>
  </conditionalFormatting>
  <conditionalFormatting sqref="CL200">
    <cfRule type="iconSet" priority="845">
      <iconSet iconSet="4TrafficLights">
        <cfvo type="percent" val="0"/>
        <cfvo type="num" val="0.25"/>
        <cfvo type="num" val="0.5"/>
        <cfvo type="num" val="0.75"/>
      </iconSet>
    </cfRule>
    <cfRule type="cellIs" dxfId="483" priority="846" operator="lessThan">
      <formula>0</formula>
    </cfRule>
  </conditionalFormatting>
  <conditionalFormatting sqref="CM201">
    <cfRule type="iconSet" priority="835">
      <iconSet iconSet="4TrafficLights">
        <cfvo type="percent" val="0"/>
        <cfvo type="num" val="0.25"/>
        <cfvo type="num" val="0.5"/>
        <cfvo type="num" val="0.75"/>
      </iconSet>
    </cfRule>
    <cfRule type="cellIs" dxfId="482" priority="836" operator="lessThan">
      <formula>0</formula>
    </cfRule>
  </conditionalFormatting>
  <conditionalFormatting sqref="CD201">
    <cfRule type="iconSet" priority="825">
      <iconSet iconSet="4TrafficLights">
        <cfvo type="percent" val="0"/>
        <cfvo type="num" val="0.25"/>
        <cfvo type="num" val="0.5"/>
        <cfvo type="num" val="0.75"/>
      </iconSet>
    </cfRule>
    <cfRule type="cellIs" dxfId="481" priority="826" operator="lessThan">
      <formula>0</formula>
    </cfRule>
  </conditionalFormatting>
  <conditionalFormatting sqref="CH201">
    <cfRule type="iconSet" priority="827">
      <iconSet iconSet="4TrafficLights">
        <cfvo type="percent" val="0"/>
        <cfvo type="num" val="0.25"/>
        <cfvo type="num" val="0.5"/>
        <cfvo type="num" val="0.75"/>
      </iconSet>
    </cfRule>
    <cfRule type="cellIs" dxfId="480" priority="828" operator="lessThan">
      <formula>0</formula>
    </cfRule>
  </conditionalFormatting>
  <conditionalFormatting sqref="BV201">
    <cfRule type="iconSet" priority="829">
      <iconSet iconSet="4TrafficLights">
        <cfvo type="percent" val="0"/>
        <cfvo type="num" val="0.25"/>
        <cfvo type="num" val="0.5"/>
        <cfvo type="num" val="0.75"/>
      </iconSet>
    </cfRule>
    <cfRule type="cellIs" dxfId="479" priority="830" operator="lessThan">
      <formula>0</formula>
    </cfRule>
  </conditionalFormatting>
  <conditionalFormatting sqref="BZ201">
    <cfRule type="iconSet" priority="831">
      <iconSet iconSet="4TrafficLights">
        <cfvo type="percent" val="0"/>
        <cfvo type="num" val="0.25"/>
        <cfvo type="num" val="0.5"/>
        <cfvo type="num" val="0.75"/>
      </iconSet>
    </cfRule>
    <cfRule type="cellIs" dxfId="478" priority="832" stopIfTrue="1" operator="lessThan">
      <formula>0</formula>
    </cfRule>
  </conditionalFormatting>
  <conditionalFormatting sqref="CL201">
    <cfRule type="iconSet" priority="833">
      <iconSet iconSet="4TrafficLights">
        <cfvo type="percent" val="0"/>
        <cfvo type="num" val="0.25"/>
        <cfvo type="num" val="0.5"/>
        <cfvo type="num" val="0.75"/>
      </iconSet>
    </cfRule>
    <cfRule type="cellIs" dxfId="477" priority="834" operator="lessThan">
      <formula>0</formula>
    </cfRule>
  </conditionalFormatting>
  <conditionalFormatting sqref="BV219">
    <cfRule type="iconSet" priority="805">
      <iconSet iconSet="4TrafficLights">
        <cfvo type="percent" val="0"/>
        <cfvo type="num" val="0.25"/>
        <cfvo type="num" val="0.5"/>
        <cfvo type="num" val="0.75"/>
      </iconSet>
    </cfRule>
    <cfRule type="cellIs" dxfId="476" priority="810" operator="lessThan">
      <formula>0</formula>
    </cfRule>
  </conditionalFormatting>
  <conditionalFormatting sqref="BZ219">
    <cfRule type="iconSet" priority="806">
      <iconSet iconSet="4TrafficLights">
        <cfvo type="percent" val="0"/>
        <cfvo type="num" val="0.25"/>
        <cfvo type="num" val="0.5"/>
        <cfvo type="num" val="0.75"/>
      </iconSet>
    </cfRule>
    <cfRule type="cellIs" dxfId="475" priority="808" stopIfTrue="1" operator="lessThan">
      <formula>0</formula>
    </cfRule>
  </conditionalFormatting>
  <conditionalFormatting sqref="CD219">
    <cfRule type="iconSet" priority="807">
      <iconSet iconSet="4TrafficLights">
        <cfvo type="percent" val="0"/>
        <cfvo type="num" val="0.25"/>
        <cfvo type="num" val="0.5"/>
        <cfvo type="num" val="0.75"/>
      </iconSet>
    </cfRule>
    <cfRule type="cellIs" dxfId="474" priority="809" operator="lessThan">
      <formula>0</formula>
    </cfRule>
  </conditionalFormatting>
  <conditionalFormatting sqref="CH219">
    <cfRule type="iconSet" priority="803">
      <iconSet iconSet="4TrafficLights">
        <cfvo type="percent" val="0"/>
        <cfvo type="num" val="0.25"/>
        <cfvo type="num" val="0.5"/>
        <cfvo type="num" val="0.75"/>
      </iconSet>
    </cfRule>
    <cfRule type="cellIs" dxfId="473" priority="804" operator="lessThan">
      <formula>0</formula>
    </cfRule>
  </conditionalFormatting>
  <conditionalFormatting sqref="CL219">
    <cfRule type="iconSet" priority="811">
      <iconSet iconSet="4TrafficLights">
        <cfvo type="percent" val="0"/>
        <cfvo type="num" val="0.25"/>
        <cfvo type="num" val="0.5"/>
        <cfvo type="num" val="0.75"/>
      </iconSet>
    </cfRule>
    <cfRule type="cellIs" dxfId="472" priority="812" operator="lessThan">
      <formula>0</formula>
    </cfRule>
  </conditionalFormatting>
  <conditionalFormatting sqref="CD218 CD220">
    <cfRule type="iconSet" priority="813">
      <iconSet iconSet="4TrafficLights">
        <cfvo type="percent" val="0"/>
        <cfvo type="num" val="0.25"/>
        <cfvo type="num" val="0.5"/>
        <cfvo type="num" val="0.75"/>
      </iconSet>
    </cfRule>
    <cfRule type="cellIs" dxfId="471" priority="814" operator="lessThan">
      <formula>0</formula>
    </cfRule>
  </conditionalFormatting>
  <conditionalFormatting sqref="CH218 CH220">
    <cfRule type="iconSet" priority="815">
      <iconSet iconSet="4TrafficLights">
        <cfvo type="percent" val="0"/>
        <cfvo type="num" val="0.25"/>
        <cfvo type="num" val="0.5"/>
        <cfvo type="num" val="0.75"/>
      </iconSet>
    </cfRule>
    <cfRule type="cellIs" dxfId="470" priority="816" operator="lessThan">
      <formula>0</formula>
    </cfRule>
  </conditionalFormatting>
  <conditionalFormatting sqref="BV218 BV220">
    <cfRule type="iconSet" priority="817">
      <iconSet iconSet="4TrafficLights">
        <cfvo type="percent" val="0"/>
        <cfvo type="num" val="0.25"/>
        <cfvo type="num" val="0.5"/>
        <cfvo type="num" val="0.75"/>
      </iconSet>
    </cfRule>
    <cfRule type="cellIs" dxfId="469" priority="818" operator="lessThan">
      <formula>0</formula>
    </cfRule>
  </conditionalFormatting>
  <conditionalFormatting sqref="BZ218 BZ220">
    <cfRule type="iconSet" priority="819">
      <iconSet iconSet="4TrafficLights">
        <cfvo type="percent" val="0"/>
        <cfvo type="num" val="0.25"/>
        <cfvo type="num" val="0.5"/>
        <cfvo type="num" val="0.75"/>
      </iconSet>
    </cfRule>
    <cfRule type="cellIs" dxfId="468" priority="820" stopIfTrue="1" operator="lessThan">
      <formula>0</formula>
    </cfRule>
  </conditionalFormatting>
  <conditionalFormatting sqref="CL218 CL220">
    <cfRule type="iconSet" priority="821">
      <iconSet iconSet="4TrafficLights">
        <cfvo type="percent" val="0"/>
        <cfvo type="num" val="0.25"/>
        <cfvo type="num" val="0.5"/>
        <cfvo type="num" val="0.75"/>
      </iconSet>
    </cfRule>
    <cfRule type="cellIs" dxfId="467" priority="822" operator="lessThan">
      <formula>0</formula>
    </cfRule>
  </conditionalFormatting>
  <conditionalFormatting sqref="CM218:CM220">
    <cfRule type="iconSet" priority="823">
      <iconSet iconSet="4TrafficLights">
        <cfvo type="percent" val="0"/>
        <cfvo type="num" val="0.25"/>
        <cfvo type="num" val="0.5"/>
        <cfvo type="num" val="0.75"/>
      </iconSet>
    </cfRule>
    <cfRule type="cellIs" dxfId="466" priority="824" operator="lessThan">
      <formula>0</formula>
    </cfRule>
  </conditionalFormatting>
  <conditionalFormatting sqref="BV221">
    <cfRule type="iconSet" priority="793">
      <iconSet iconSet="4TrafficLights">
        <cfvo type="percent" val="0"/>
        <cfvo type="num" val="0.25"/>
        <cfvo type="num" val="0.5"/>
        <cfvo type="num" val="0.75"/>
      </iconSet>
    </cfRule>
    <cfRule type="cellIs" dxfId="465" priority="798" operator="lessThan">
      <formula>0</formula>
    </cfRule>
  </conditionalFormatting>
  <conditionalFormatting sqref="BZ221">
    <cfRule type="iconSet" priority="794">
      <iconSet iconSet="4TrafficLights">
        <cfvo type="percent" val="0"/>
        <cfvo type="num" val="0.25"/>
        <cfvo type="num" val="0.5"/>
        <cfvo type="num" val="0.75"/>
      </iconSet>
    </cfRule>
    <cfRule type="cellIs" dxfId="464" priority="796" stopIfTrue="1" operator="lessThan">
      <formula>0</formula>
    </cfRule>
  </conditionalFormatting>
  <conditionalFormatting sqref="CD221">
    <cfRule type="iconSet" priority="795">
      <iconSet iconSet="4TrafficLights">
        <cfvo type="percent" val="0"/>
        <cfvo type="num" val="0.25"/>
        <cfvo type="num" val="0.5"/>
        <cfvo type="num" val="0.75"/>
      </iconSet>
    </cfRule>
    <cfRule type="cellIs" dxfId="463" priority="797" operator="lessThan">
      <formula>0</formula>
    </cfRule>
  </conditionalFormatting>
  <conditionalFormatting sqref="CH221">
    <cfRule type="iconSet" priority="791">
      <iconSet iconSet="4TrafficLights">
        <cfvo type="percent" val="0"/>
        <cfvo type="num" val="0.25"/>
        <cfvo type="num" val="0.5"/>
        <cfvo type="num" val="0.75"/>
      </iconSet>
    </cfRule>
    <cfRule type="cellIs" dxfId="462" priority="792" operator="lessThan">
      <formula>0</formula>
    </cfRule>
  </conditionalFormatting>
  <conditionalFormatting sqref="CL221">
    <cfRule type="iconSet" priority="799">
      <iconSet iconSet="4TrafficLights">
        <cfvo type="percent" val="0"/>
        <cfvo type="num" val="0.25"/>
        <cfvo type="num" val="0.5"/>
        <cfvo type="num" val="0.75"/>
      </iconSet>
    </cfRule>
    <cfRule type="cellIs" dxfId="461" priority="800" operator="lessThan">
      <formula>0</formula>
    </cfRule>
  </conditionalFormatting>
  <conditionalFormatting sqref="CM221">
    <cfRule type="iconSet" priority="801">
      <iconSet iconSet="4TrafficLights">
        <cfvo type="percent" val="0"/>
        <cfvo type="num" val="0.25"/>
        <cfvo type="num" val="0.5"/>
        <cfvo type="num" val="0.75"/>
      </iconSet>
    </cfRule>
    <cfRule type="cellIs" dxfId="460" priority="802" operator="lessThan">
      <formula>0</formula>
    </cfRule>
  </conditionalFormatting>
  <conditionalFormatting sqref="BV222:BV226">
    <cfRule type="iconSet" priority="783">
      <iconSet iconSet="4TrafficLights">
        <cfvo type="percent" val="0"/>
        <cfvo type="num" val="0.25"/>
        <cfvo type="num" val="0.5"/>
        <cfvo type="num" val="0.75"/>
      </iconSet>
    </cfRule>
    <cfRule type="cellIs" dxfId="459" priority="788" operator="lessThan">
      <formula>0</formula>
    </cfRule>
  </conditionalFormatting>
  <conditionalFormatting sqref="BZ222:BZ226">
    <cfRule type="iconSet" priority="784">
      <iconSet iconSet="4TrafficLights">
        <cfvo type="percent" val="0"/>
        <cfvo type="num" val="0.25"/>
        <cfvo type="num" val="0.5"/>
        <cfvo type="num" val="0.75"/>
      </iconSet>
    </cfRule>
    <cfRule type="cellIs" dxfId="458" priority="786" stopIfTrue="1" operator="lessThan">
      <formula>0</formula>
    </cfRule>
  </conditionalFormatting>
  <conditionalFormatting sqref="CD222:CD226">
    <cfRule type="iconSet" priority="785">
      <iconSet iconSet="4TrafficLights">
        <cfvo type="percent" val="0"/>
        <cfvo type="num" val="0.25"/>
        <cfvo type="num" val="0.5"/>
        <cfvo type="num" val="0.75"/>
      </iconSet>
    </cfRule>
    <cfRule type="cellIs" dxfId="457" priority="787" operator="lessThan">
      <formula>0</formula>
    </cfRule>
  </conditionalFormatting>
  <conditionalFormatting sqref="CH222:CH226">
    <cfRule type="iconSet" priority="781">
      <iconSet iconSet="4TrafficLights">
        <cfvo type="percent" val="0"/>
        <cfvo type="num" val="0.25"/>
        <cfvo type="num" val="0.5"/>
        <cfvo type="num" val="0.75"/>
      </iconSet>
    </cfRule>
    <cfRule type="cellIs" dxfId="456" priority="782" operator="lessThan">
      <formula>0</formula>
    </cfRule>
  </conditionalFormatting>
  <conditionalFormatting sqref="CL222:CL226">
    <cfRule type="iconSet" priority="789">
      <iconSet iconSet="4TrafficLights">
        <cfvo type="percent" val="0"/>
        <cfvo type="num" val="0.25"/>
        <cfvo type="num" val="0.5"/>
        <cfvo type="num" val="0.75"/>
      </iconSet>
    </cfRule>
    <cfRule type="cellIs" dxfId="455" priority="790" operator="lessThan">
      <formula>0</formula>
    </cfRule>
  </conditionalFormatting>
  <conditionalFormatting sqref="CM222:CM226">
    <cfRule type="iconSet" priority="779">
      <iconSet iconSet="4TrafficLights">
        <cfvo type="percent" val="0"/>
        <cfvo type="num" val="0.25"/>
        <cfvo type="num" val="0.5"/>
        <cfvo type="num" val="0.75"/>
      </iconSet>
    </cfRule>
    <cfRule type="cellIs" dxfId="454" priority="780" operator="lessThan">
      <formula>0</formula>
    </cfRule>
  </conditionalFormatting>
  <conditionalFormatting sqref="CD227">
    <cfRule type="iconSet" priority="769">
      <iconSet iconSet="4TrafficLights">
        <cfvo type="percent" val="0"/>
        <cfvo type="num" val="0.25"/>
        <cfvo type="num" val="0.5"/>
        <cfvo type="num" val="0.75"/>
      </iconSet>
    </cfRule>
    <cfRule type="cellIs" dxfId="453" priority="770" operator="lessThan">
      <formula>0</formula>
    </cfRule>
  </conditionalFormatting>
  <conditionalFormatting sqref="CH227">
    <cfRule type="iconSet" priority="767">
      <iconSet iconSet="4TrafficLights">
        <cfvo type="percent" val="0"/>
        <cfvo type="num" val="0.25"/>
        <cfvo type="num" val="0.5"/>
        <cfvo type="num" val="0.75"/>
      </iconSet>
    </cfRule>
    <cfRule type="cellIs" dxfId="452" priority="768" operator="lessThan">
      <formula>0</formula>
    </cfRule>
  </conditionalFormatting>
  <conditionalFormatting sqref="BV227">
    <cfRule type="iconSet" priority="771">
      <iconSet iconSet="4TrafficLights">
        <cfvo type="percent" val="0"/>
        <cfvo type="num" val="0.25"/>
        <cfvo type="num" val="0.5"/>
        <cfvo type="num" val="0.75"/>
      </iconSet>
    </cfRule>
    <cfRule type="cellIs" dxfId="451" priority="772" operator="lessThan">
      <formula>0</formula>
    </cfRule>
  </conditionalFormatting>
  <conditionalFormatting sqref="BZ227">
    <cfRule type="iconSet" priority="773">
      <iconSet iconSet="4TrafficLights">
        <cfvo type="percent" val="0"/>
        <cfvo type="num" val="0.25"/>
        <cfvo type="num" val="0.5"/>
        <cfvo type="num" val="0.75"/>
      </iconSet>
    </cfRule>
    <cfRule type="cellIs" dxfId="450" priority="774" stopIfTrue="1" operator="lessThan">
      <formula>0</formula>
    </cfRule>
  </conditionalFormatting>
  <conditionalFormatting sqref="CL227">
    <cfRule type="iconSet" priority="775">
      <iconSet iconSet="4TrafficLights">
        <cfvo type="percent" val="0"/>
        <cfvo type="num" val="0.25"/>
        <cfvo type="num" val="0.5"/>
        <cfvo type="num" val="0.75"/>
      </iconSet>
    </cfRule>
    <cfRule type="cellIs" dxfId="449" priority="776" operator="lessThan">
      <formula>0</formula>
    </cfRule>
  </conditionalFormatting>
  <conditionalFormatting sqref="CM227">
    <cfRule type="iconSet" priority="777">
      <iconSet iconSet="4TrafficLights">
        <cfvo type="percent" val="0"/>
        <cfvo type="num" val="0.25"/>
        <cfvo type="num" val="0.5"/>
        <cfvo type="num" val="0.75"/>
      </iconSet>
    </cfRule>
    <cfRule type="cellIs" dxfId="448" priority="778" operator="lessThan">
      <formula>0</formula>
    </cfRule>
  </conditionalFormatting>
  <conditionalFormatting sqref="CD228">
    <cfRule type="iconSet" priority="757">
      <iconSet iconSet="4TrafficLights">
        <cfvo type="percent" val="0"/>
        <cfvo type="num" val="0.25"/>
        <cfvo type="num" val="0.5"/>
        <cfvo type="num" val="0.75"/>
      </iconSet>
    </cfRule>
    <cfRule type="cellIs" dxfId="447" priority="758" operator="lessThan">
      <formula>0</formula>
    </cfRule>
  </conditionalFormatting>
  <conditionalFormatting sqref="CH228">
    <cfRule type="iconSet" priority="755">
      <iconSet iconSet="4TrafficLights">
        <cfvo type="percent" val="0"/>
        <cfvo type="num" val="0.25"/>
        <cfvo type="num" val="0.5"/>
        <cfvo type="num" val="0.75"/>
      </iconSet>
    </cfRule>
    <cfRule type="cellIs" dxfId="446" priority="756" operator="lessThan">
      <formula>0</formula>
    </cfRule>
  </conditionalFormatting>
  <conditionalFormatting sqref="BV228">
    <cfRule type="iconSet" priority="759">
      <iconSet iconSet="4TrafficLights">
        <cfvo type="percent" val="0"/>
        <cfvo type="num" val="0.25"/>
        <cfvo type="num" val="0.5"/>
        <cfvo type="num" val="0.75"/>
      </iconSet>
    </cfRule>
    <cfRule type="cellIs" dxfId="445" priority="760" operator="lessThan">
      <formula>0</formula>
    </cfRule>
  </conditionalFormatting>
  <conditionalFormatting sqref="BZ228">
    <cfRule type="iconSet" priority="761">
      <iconSet iconSet="4TrafficLights">
        <cfvo type="percent" val="0"/>
        <cfvo type="num" val="0.25"/>
        <cfvo type="num" val="0.5"/>
        <cfvo type="num" val="0.75"/>
      </iconSet>
    </cfRule>
    <cfRule type="cellIs" dxfId="444" priority="762" stopIfTrue="1" operator="lessThan">
      <formula>0</formula>
    </cfRule>
  </conditionalFormatting>
  <conditionalFormatting sqref="CL228">
    <cfRule type="iconSet" priority="763">
      <iconSet iconSet="4TrafficLights">
        <cfvo type="percent" val="0"/>
        <cfvo type="num" val="0.25"/>
        <cfvo type="num" val="0.5"/>
        <cfvo type="num" val="0.75"/>
      </iconSet>
    </cfRule>
    <cfRule type="cellIs" dxfId="443" priority="764" operator="lessThan">
      <formula>0</formula>
    </cfRule>
  </conditionalFormatting>
  <conditionalFormatting sqref="CM228">
    <cfRule type="iconSet" priority="765">
      <iconSet iconSet="4TrafficLights">
        <cfvo type="percent" val="0"/>
        <cfvo type="num" val="0.25"/>
        <cfvo type="num" val="0.5"/>
        <cfvo type="num" val="0.75"/>
      </iconSet>
    </cfRule>
    <cfRule type="cellIs" dxfId="442" priority="766" operator="lessThan">
      <formula>0</formula>
    </cfRule>
  </conditionalFormatting>
  <conditionalFormatting sqref="CD229:CD236">
    <cfRule type="iconSet" priority="743">
      <iconSet iconSet="4TrafficLights">
        <cfvo type="percent" val="0"/>
        <cfvo type="num" val="0.25"/>
        <cfvo type="num" val="0.5"/>
        <cfvo type="num" val="0.75"/>
      </iconSet>
    </cfRule>
    <cfRule type="cellIs" dxfId="441" priority="744" operator="lessThan">
      <formula>0</formula>
    </cfRule>
  </conditionalFormatting>
  <conditionalFormatting sqref="CH229:CH236">
    <cfRule type="iconSet" priority="745">
      <iconSet iconSet="4TrafficLights">
        <cfvo type="percent" val="0"/>
        <cfvo type="num" val="0.25"/>
        <cfvo type="num" val="0.5"/>
        <cfvo type="num" val="0.75"/>
      </iconSet>
    </cfRule>
    <cfRule type="cellIs" dxfId="440" priority="746" operator="lessThan">
      <formula>0</formula>
    </cfRule>
  </conditionalFormatting>
  <conditionalFormatting sqref="BV229:BV236">
    <cfRule type="iconSet" priority="747">
      <iconSet iconSet="4TrafficLights">
        <cfvo type="percent" val="0"/>
        <cfvo type="num" val="0.25"/>
        <cfvo type="num" val="0.5"/>
        <cfvo type="num" val="0.75"/>
      </iconSet>
    </cfRule>
    <cfRule type="cellIs" dxfId="439" priority="748" operator="lessThan">
      <formula>0</formula>
    </cfRule>
  </conditionalFormatting>
  <conditionalFormatting sqref="BZ229:BZ236">
    <cfRule type="iconSet" priority="749">
      <iconSet iconSet="4TrafficLights">
        <cfvo type="percent" val="0"/>
        <cfvo type="num" val="0.25"/>
        <cfvo type="num" val="0.5"/>
        <cfvo type="num" val="0.75"/>
      </iconSet>
    </cfRule>
    <cfRule type="cellIs" dxfId="438" priority="750" stopIfTrue="1" operator="lessThan">
      <formula>0</formula>
    </cfRule>
  </conditionalFormatting>
  <conditionalFormatting sqref="CL229:CL236">
    <cfRule type="iconSet" priority="751">
      <iconSet iconSet="4TrafficLights">
        <cfvo type="percent" val="0"/>
        <cfvo type="num" val="0.25"/>
        <cfvo type="num" val="0.5"/>
        <cfvo type="num" val="0.75"/>
      </iconSet>
    </cfRule>
    <cfRule type="cellIs" dxfId="437" priority="752" operator="lessThan">
      <formula>0</formula>
    </cfRule>
  </conditionalFormatting>
  <conditionalFormatting sqref="CM229:CM236">
    <cfRule type="iconSet" priority="753">
      <iconSet iconSet="4TrafficLights">
        <cfvo type="percent" val="0"/>
        <cfvo type="num" val="0.25"/>
        <cfvo type="num" val="0.5"/>
        <cfvo type="num" val="0.75"/>
      </iconSet>
    </cfRule>
    <cfRule type="cellIs" dxfId="436" priority="754" operator="lessThan">
      <formula>0</formula>
    </cfRule>
  </conditionalFormatting>
  <conditionalFormatting sqref="CD149 CD145:CD147">
    <cfRule type="iconSet" priority="2428">
      <iconSet iconSet="4TrafficLights">
        <cfvo type="percent" val="0"/>
        <cfvo type="num" val="0.25"/>
        <cfvo type="num" val="0.5"/>
        <cfvo type="num" val="0.75"/>
      </iconSet>
    </cfRule>
    <cfRule type="cellIs" dxfId="435" priority="2429" operator="lessThan">
      <formula>0</formula>
    </cfRule>
  </conditionalFormatting>
  <conditionalFormatting sqref="CH149 CH145:CH147">
    <cfRule type="iconSet" priority="2432">
      <iconSet iconSet="4TrafficLights">
        <cfvo type="percent" val="0"/>
        <cfvo type="num" val="0.25"/>
        <cfvo type="num" val="0.5"/>
        <cfvo type="num" val="0.75"/>
      </iconSet>
    </cfRule>
    <cfRule type="cellIs" dxfId="434" priority="2433" operator="lessThan">
      <formula>0</formula>
    </cfRule>
  </conditionalFormatting>
  <conditionalFormatting sqref="BV149 BV145:BV147">
    <cfRule type="iconSet" priority="2436">
      <iconSet iconSet="4TrafficLights">
        <cfvo type="percent" val="0"/>
        <cfvo type="num" val="0.25"/>
        <cfvo type="num" val="0.5"/>
        <cfvo type="num" val="0.75"/>
      </iconSet>
    </cfRule>
    <cfRule type="cellIs" dxfId="433" priority="2437" operator="lessThan">
      <formula>0</formula>
    </cfRule>
  </conditionalFormatting>
  <conditionalFormatting sqref="BZ149 BZ145:BZ147">
    <cfRule type="iconSet" priority="2440">
      <iconSet iconSet="4TrafficLights">
        <cfvo type="percent" val="0"/>
        <cfvo type="num" val="0.25"/>
        <cfvo type="num" val="0.5"/>
        <cfvo type="num" val="0.75"/>
      </iconSet>
    </cfRule>
    <cfRule type="cellIs" dxfId="432" priority="2441" stopIfTrue="1" operator="lessThan">
      <formula>0</formula>
    </cfRule>
  </conditionalFormatting>
  <conditionalFormatting sqref="CL149 CL145:CL147">
    <cfRule type="iconSet" priority="2444">
      <iconSet iconSet="4TrafficLights">
        <cfvo type="percent" val="0"/>
        <cfvo type="num" val="0.25"/>
        <cfvo type="num" val="0.5"/>
        <cfvo type="num" val="0.75"/>
      </iconSet>
    </cfRule>
    <cfRule type="cellIs" dxfId="431" priority="2445" operator="lessThan">
      <formula>0</formula>
    </cfRule>
  </conditionalFormatting>
  <conditionalFormatting sqref="CM145:CM151">
    <cfRule type="iconSet" priority="2520">
      <iconSet iconSet="4TrafficLights">
        <cfvo type="percent" val="0"/>
        <cfvo type="num" val="0.25"/>
        <cfvo type="num" val="0.5"/>
        <cfvo type="num" val="0.75"/>
      </iconSet>
    </cfRule>
    <cfRule type="cellIs" dxfId="430" priority="2521" operator="lessThan">
      <formula>0</formula>
    </cfRule>
  </conditionalFormatting>
  <conditionalFormatting sqref="BV4:BV43">
    <cfRule type="iconSet" priority="2522">
      <iconSet iconSet="4TrafficLights">
        <cfvo type="percent" val="0"/>
        <cfvo type="num" val="0.25"/>
        <cfvo type="num" val="0.5"/>
        <cfvo type="num" val="0.75"/>
      </iconSet>
    </cfRule>
    <cfRule type="cellIs" dxfId="429" priority="2523" operator="lessThan">
      <formula>0</formula>
    </cfRule>
  </conditionalFormatting>
  <conditionalFormatting sqref="BZ26:BZ43">
    <cfRule type="iconSet" priority="2526">
      <iconSet iconSet="4TrafficLights">
        <cfvo type="percent" val="0"/>
        <cfvo type="num" val="0.25"/>
        <cfvo type="num" val="0.5"/>
        <cfvo type="num" val="0.75"/>
      </iconSet>
    </cfRule>
    <cfRule type="cellIs" dxfId="428" priority="2527" stopIfTrue="1" operator="lessThan">
      <formula>0</formula>
    </cfRule>
  </conditionalFormatting>
  <conditionalFormatting sqref="CD26:CD43">
    <cfRule type="iconSet" priority="2530">
      <iconSet iconSet="4TrafficLights">
        <cfvo type="percent" val="0"/>
        <cfvo type="num" val="0.25"/>
        <cfvo type="num" val="0.5"/>
        <cfvo type="num" val="0.75"/>
      </iconSet>
    </cfRule>
    <cfRule type="cellIs" dxfId="427" priority="2531" operator="lessThan">
      <formula>0</formula>
    </cfRule>
  </conditionalFormatting>
  <conditionalFormatting sqref="CH26:CH43">
    <cfRule type="iconSet" priority="2534">
      <iconSet iconSet="4TrafficLights">
        <cfvo type="percent" val="0"/>
        <cfvo type="num" val="0.25"/>
        <cfvo type="num" val="0.5"/>
        <cfvo type="num" val="0.75"/>
      </iconSet>
    </cfRule>
    <cfRule type="cellIs" dxfId="426" priority="2535" operator="lessThan">
      <formula>0</formula>
    </cfRule>
  </conditionalFormatting>
  <conditionalFormatting sqref="CL26:CL43">
    <cfRule type="iconSet" priority="2538">
      <iconSet iconSet="4TrafficLights">
        <cfvo type="percent" val="0"/>
        <cfvo type="num" val="0.25"/>
        <cfvo type="num" val="0.5"/>
        <cfvo type="num" val="0.75"/>
      </iconSet>
    </cfRule>
    <cfRule type="cellIs" dxfId="425" priority="2539" operator="lessThan">
      <formula>0</formula>
    </cfRule>
  </conditionalFormatting>
  <conditionalFormatting sqref="CM20:CM39">
    <cfRule type="iconSet" priority="2542">
      <iconSet iconSet="4TrafficLights">
        <cfvo type="percent" val="0"/>
        <cfvo type="num" val="0.25"/>
        <cfvo type="num" val="0.5"/>
        <cfvo type="num" val="0.75"/>
      </iconSet>
    </cfRule>
    <cfRule type="cellIs" dxfId="424" priority="2543" operator="lessThan">
      <formula>0</formula>
    </cfRule>
  </conditionalFormatting>
  <conditionalFormatting sqref="CM245">
    <cfRule type="iconSet" priority="685">
      <iconSet iconSet="4TrafficLights">
        <cfvo type="percent" val="0"/>
        <cfvo type="num" val="0.25"/>
        <cfvo type="num" val="0.5"/>
        <cfvo type="num" val="0.75"/>
      </iconSet>
    </cfRule>
    <cfRule type="cellIs" dxfId="423" priority="686" operator="lessThan">
      <formula>0</formula>
    </cfRule>
  </conditionalFormatting>
  <conditionalFormatting sqref="CM246">
    <cfRule type="iconSet" priority="683">
      <iconSet iconSet="4TrafficLights">
        <cfvo type="percent" val="0"/>
        <cfvo type="num" val="0.25"/>
        <cfvo type="num" val="0.5"/>
        <cfvo type="num" val="0.75"/>
      </iconSet>
    </cfRule>
    <cfRule type="cellIs" dxfId="422" priority="684" operator="lessThan">
      <formula>0</formula>
    </cfRule>
  </conditionalFormatting>
  <conditionalFormatting sqref="CM247">
    <cfRule type="iconSet" priority="681">
      <iconSet iconSet="4TrafficLights">
        <cfvo type="percent" val="0"/>
        <cfvo type="num" val="0.25"/>
        <cfvo type="num" val="0.5"/>
        <cfvo type="num" val="0.75"/>
      </iconSet>
    </cfRule>
    <cfRule type="cellIs" dxfId="421" priority="682" operator="lessThan">
      <formula>0</formula>
    </cfRule>
  </conditionalFormatting>
  <conditionalFormatting sqref="CD248">
    <cfRule type="iconSet" priority="671">
      <iconSet iconSet="4TrafficLights">
        <cfvo type="percent" val="0"/>
        <cfvo type="num" val="0.25"/>
        <cfvo type="num" val="0.5"/>
        <cfvo type="num" val="0.75"/>
      </iconSet>
    </cfRule>
    <cfRule type="cellIs" dxfId="420" priority="672" operator="lessThan">
      <formula>0</formula>
    </cfRule>
  </conditionalFormatting>
  <conditionalFormatting sqref="CH248">
    <cfRule type="iconSet" priority="669">
      <iconSet iconSet="4TrafficLights">
        <cfvo type="percent" val="0"/>
        <cfvo type="num" val="0.25"/>
        <cfvo type="num" val="0.5"/>
        <cfvo type="num" val="0.75"/>
      </iconSet>
    </cfRule>
    <cfRule type="cellIs" dxfId="419" priority="670" operator="lessThan">
      <formula>0</formula>
    </cfRule>
  </conditionalFormatting>
  <conditionalFormatting sqref="BV248">
    <cfRule type="iconSet" priority="673">
      <iconSet iconSet="4TrafficLights">
        <cfvo type="percent" val="0"/>
        <cfvo type="num" val="0.25"/>
        <cfvo type="num" val="0.5"/>
        <cfvo type="num" val="0.75"/>
      </iconSet>
    </cfRule>
    <cfRule type="cellIs" dxfId="418" priority="674" operator="lessThan">
      <formula>0</formula>
    </cfRule>
  </conditionalFormatting>
  <conditionalFormatting sqref="BZ248">
    <cfRule type="iconSet" priority="675">
      <iconSet iconSet="4TrafficLights">
        <cfvo type="percent" val="0"/>
        <cfvo type="num" val="0.25"/>
        <cfvo type="num" val="0.5"/>
        <cfvo type="num" val="0.75"/>
      </iconSet>
    </cfRule>
    <cfRule type="cellIs" dxfId="417" priority="676" stopIfTrue="1" operator="lessThan">
      <formula>0</formula>
    </cfRule>
  </conditionalFormatting>
  <conditionalFormatting sqref="CL248">
    <cfRule type="iconSet" priority="677">
      <iconSet iconSet="4TrafficLights">
        <cfvo type="percent" val="0"/>
        <cfvo type="num" val="0.25"/>
        <cfvo type="num" val="0.5"/>
        <cfvo type="num" val="0.75"/>
      </iconSet>
    </cfRule>
    <cfRule type="cellIs" dxfId="416" priority="678" operator="lessThan">
      <formula>0</formula>
    </cfRule>
  </conditionalFormatting>
  <conditionalFormatting sqref="CM248">
    <cfRule type="iconSet" priority="679">
      <iconSet iconSet="4TrafficLights">
        <cfvo type="percent" val="0"/>
        <cfvo type="num" val="0.25"/>
        <cfvo type="num" val="0.5"/>
        <cfvo type="num" val="0.75"/>
      </iconSet>
    </cfRule>
    <cfRule type="cellIs" dxfId="415" priority="680" operator="lessThan">
      <formula>0</formula>
    </cfRule>
  </conditionalFormatting>
  <conditionalFormatting sqref="CM249">
    <cfRule type="iconSet" priority="667">
      <iconSet iconSet="4TrafficLights">
        <cfvo type="percent" val="0"/>
        <cfvo type="num" val="0.25"/>
        <cfvo type="num" val="0.5"/>
        <cfvo type="num" val="0.75"/>
      </iconSet>
    </cfRule>
    <cfRule type="cellIs" dxfId="414" priority="668" operator="lessThan">
      <formula>0</formula>
    </cfRule>
  </conditionalFormatting>
  <conditionalFormatting sqref="CM250">
    <cfRule type="iconSet" priority="665">
      <iconSet iconSet="4TrafficLights">
        <cfvo type="percent" val="0"/>
        <cfvo type="num" val="0.25"/>
        <cfvo type="num" val="0.5"/>
        <cfvo type="num" val="0.75"/>
      </iconSet>
    </cfRule>
    <cfRule type="cellIs" dxfId="413" priority="666" operator="lessThan">
      <formula>0</formula>
    </cfRule>
  </conditionalFormatting>
  <conditionalFormatting sqref="CD251">
    <cfRule type="iconSet" priority="655">
      <iconSet iconSet="4TrafficLights">
        <cfvo type="percent" val="0"/>
        <cfvo type="num" val="0.25"/>
        <cfvo type="num" val="0.5"/>
        <cfvo type="num" val="0.75"/>
      </iconSet>
    </cfRule>
    <cfRule type="cellIs" dxfId="412" priority="656" operator="lessThan">
      <formula>0</formula>
    </cfRule>
  </conditionalFormatting>
  <conditionalFormatting sqref="CH251">
    <cfRule type="iconSet" priority="653">
      <iconSet iconSet="4TrafficLights">
        <cfvo type="percent" val="0"/>
        <cfvo type="num" val="0.25"/>
        <cfvo type="num" val="0.5"/>
        <cfvo type="num" val="0.75"/>
      </iconSet>
    </cfRule>
    <cfRule type="cellIs" dxfId="411" priority="654" operator="lessThan">
      <formula>0</formula>
    </cfRule>
  </conditionalFormatting>
  <conditionalFormatting sqref="BV251">
    <cfRule type="iconSet" priority="657">
      <iconSet iconSet="4TrafficLights">
        <cfvo type="percent" val="0"/>
        <cfvo type="num" val="0.25"/>
        <cfvo type="num" val="0.5"/>
        <cfvo type="num" val="0.75"/>
      </iconSet>
    </cfRule>
    <cfRule type="cellIs" dxfId="410" priority="658" operator="lessThan">
      <formula>0</formula>
    </cfRule>
  </conditionalFormatting>
  <conditionalFormatting sqref="BZ251">
    <cfRule type="iconSet" priority="659">
      <iconSet iconSet="4TrafficLights">
        <cfvo type="percent" val="0"/>
        <cfvo type="num" val="0.25"/>
        <cfvo type="num" val="0.5"/>
        <cfvo type="num" val="0.75"/>
      </iconSet>
    </cfRule>
    <cfRule type="cellIs" dxfId="409" priority="660" stopIfTrue="1" operator="lessThan">
      <formula>0</formula>
    </cfRule>
  </conditionalFormatting>
  <conditionalFormatting sqref="CL251">
    <cfRule type="iconSet" priority="661">
      <iconSet iconSet="4TrafficLights">
        <cfvo type="percent" val="0"/>
        <cfvo type="num" val="0.25"/>
        <cfvo type="num" val="0.5"/>
        <cfvo type="num" val="0.75"/>
      </iconSet>
    </cfRule>
    <cfRule type="cellIs" dxfId="408" priority="662" operator="lessThan">
      <formula>0</formula>
    </cfRule>
  </conditionalFormatting>
  <conditionalFormatting sqref="CM251">
    <cfRule type="iconSet" priority="663">
      <iconSet iconSet="4TrafficLights">
        <cfvo type="percent" val="0"/>
        <cfvo type="num" val="0.25"/>
        <cfvo type="num" val="0.5"/>
        <cfvo type="num" val="0.75"/>
      </iconSet>
    </cfRule>
    <cfRule type="cellIs" dxfId="407" priority="664" operator="lessThan">
      <formula>0</formula>
    </cfRule>
  </conditionalFormatting>
  <conditionalFormatting sqref="BV252">
    <cfRule type="iconSet" priority="649">
      <iconSet iconSet="4TrafficLights">
        <cfvo type="percent" val="0"/>
        <cfvo type="num" val="0.25"/>
        <cfvo type="num" val="0.5"/>
        <cfvo type="num" val="0.75"/>
      </iconSet>
    </cfRule>
    <cfRule type="cellIs" dxfId="406" priority="650" operator="lessThan">
      <formula>0</formula>
    </cfRule>
  </conditionalFormatting>
  <conditionalFormatting sqref="CM252">
    <cfRule type="iconSet" priority="651">
      <iconSet iconSet="4TrafficLights">
        <cfvo type="percent" val="0"/>
        <cfvo type="num" val="0.25"/>
        <cfvo type="num" val="0.5"/>
        <cfvo type="num" val="0.75"/>
      </iconSet>
    </cfRule>
    <cfRule type="cellIs" dxfId="405" priority="652" operator="lessThan">
      <formula>0</formula>
    </cfRule>
  </conditionalFormatting>
  <conditionalFormatting sqref="BV253">
    <cfRule type="iconSet" priority="643">
      <iconSet iconSet="4TrafficLights">
        <cfvo type="percent" val="0"/>
        <cfvo type="num" val="0.25"/>
        <cfvo type="num" val="0.5"/>
        <cfvo type="num" val="0.75"/>
      </iconSet>
    </cfRule>
    <cfRule type="cellIs" dxfId="404" priority="644" operator="lessThan">
      <formula>0</formula>
    </cfRule>
  </conditionalFormatting>
  <conditionalFormatting sqref="BZ253">
    <cfRule type="iconSet" priority="645">
      <iconSet iconSet="4TrafficLights">
        <cfvo type="percent" val="0"/>
        <cfvo type="num" val="0.25"/>
        <cfvo type="num" val="0.5"/>
        <cfvo type="num" val="0.75"/>
      </iconSet>
    </cfRule>
    <cfRule type="cellIs" dxfId="403" priority="646" stopIfTrue="1" operator="lessThan">
      <formula>0</formula>
    </cfRule>
  </conditionalFormatting>
  <conditionalFormatting sqref="CM253">
    <cfRule type="iconSet" priority="647">
      <iconSet iconSet="4TrafficLights">
        <cfvo type="percent" val="0"/>
        <cfvo type="num" val="0.25"/>
        <cfvo type="num" val="0.5"/>
        <cfvo type="num" val="0.75"/>
      </iconSet>
    </cfRule>
    <cfRule type="cellIs" dxfId="402" priority="648" operator="lessThan">
      <formula>0</formula>
    </cfRule>
  </conditionalFormatting>
  <conditionalFormatting sqref="CD254">
    <cfRule type="iconSet" priority="633">
      <iconSet iconSet="4TrafficLights">
        <cfvo type="percent" val="0"/>
        <cfvo type="num" val="0.25"/>
        <cfvo type="num" val="0.5"/>
        <cfvo type="num" val="0.75"/>
      </iconSet>
    </cfRule>
    <cfRule type="cellIs" dxfId="401" priority="634" operator="lessThan">
      <formula>0</formula>
    </cfRule>
  </conditionalFormatting>
  <conditionalFormatting sqref="CH254">
    <cfRule type="iconSet" priority="631">
      <iconSet iconSet="4TrafficLights">
        <cfvo type="percent" val="0"/>
        <cfvo type="num" val="0.25"/>
        <cfvo type="num" val="0.5"/>
        <cfvo type="num" val="0.75"/>
      </iconSet>
    </cfRule>
    <cfRule type="cellIs" dxfId="400" priority="632" operator="lessThan">
      <formula>0</formula>
    </cfRule>
  </conditionalFormatting>
  <conditionalFormatting sqref="BV254">
    <cfRule type="iconSet" priority="635">
      <iconSet iconSet="4TrafficLights">
        <cfvo type="percent" val="0"/>
        <cfvo type="num" val="0.25"/>
        <cfvo type="num" val="0.5"/>
        <cfvo type="num" val="0.75"/>
      </iconSet>
    </cfRule>
    <cfRule type="cellIs" dxfId="399" priority="636" operator="lessThan">
      <formula>0</formula>
    </cfRule>
  </conditionalFormatting>
  <conditionalFormatting sqref="BZ254">
    <cfRule type="iconSet" priority="637">
      <iconSet iconSet="4TrafficLights">
        <cfvo type="percent" val="0"/>
        <cfvo type="num" val="0.25"/>
        <cfvo type="num" val="0.5"/>
        <cfvo type="num" val="0.75"/>
      </iconSet>
    </cfRule>
    <cfRule type="cellIs" dxfId="398" priority="638" stopIfTrue="1" operator="lessThan">
      <formula>0</formula>
    </cfRule>
  </conditionalFormatting>
  <conditionalFormatting sqref="CL254">
    <cfRule type="iconSet" priority="639">
      <iconSet iconSet="4TrafficLights">
        <cfvo type="percent" val="0"/>
        <cfvo type="num" val="0.25"/>
        <cfvo type="num" val="0.5"/>
        <cfvo type="num" val="0.75"/>
      </iconSet>
    </cfRule>
    <cfRule type="cellIs" dxfId="397" priority="640" operator="lessThan">
      <formula>0</formula>
    </cfRule>
  </conditionalFormatting>
  <conditionalFormatting sqref="CM254">
    <cfRule type="iconSet" priority="641">
      <iconSet iconSet="4TrafficLights">
        <cfvo type="percent" val="0"/>
        <cfvo type="num" val="0.25"/>
        <cfvo type="num" val="0.5"/>
        <cfvo type="num" val="0.75"/>
      </iconSet>
    </cfRule>
    <cfRule type="cellIs" dxfId="396" priority="642" operator="lessThan">
      <formula>0</formula>
    </cfRule>
  </conditionalFormatting>
  <conditionalFormatting sqref="CD255">
    <cfRule type="iconSet" priority="619">
      <iconSet iconSet="4TrafficLights">
        <cfvo type="percent" val="0"/>
        <cfvo type="num" val="0.25"/>
        <cfvo type="num" val="0.5"/>
        <cfvo type="num" val="0.75"/>
      </iconSet>
    </cfRule>
    <cfRule type="cellIs" dxfId="395" priority="620" operator="lessThan">
      <formula>0</formula>
    </cfRule>
  </conditionalFormatting>
  <conditionalFormatting sqref="CH255">
    <cfRule type="iconSet" priority="621">
      <iconSet iconSet="4TrafficLights">
        <cfvo type="percent" val="0"/>
        <cfvo type="num" val="0.25"/>
        <cfvo type="num" val="0.5"/>
        <cfvo type="num" val="0.75"/>
      </iconSet>
    </cfRule>
    <cfRule type="cellIs" dxfId="394" priority="622" operator="lessThan">
      <formula>0</formula>
    </cfRule>
  </conditionalFormatting>
  <conditionalFormatting sqref="BV255">
    <cfRule type="iconSet" priority="623">
      <iconSet iconSet="4TrafficLights">
        <cfvo type="percent" val="0"/>
        <cfvo type="num" val="0.25"/>
        <cfvo type="num" val="0.5"/>
        <cfvo type="num" val="0.75"/>
      </iconSet>
    </cfRule>
    <cfRule type="cellIs" dxfId="393" priority="624" operator="lessThan">
      <formula>0</formula>
    </cfRule>
  </conditionalFormatting>
  <conditionalFormatting sqref="BZ255">
    <cfRule type="iconSet" priority="625">
      <iconSet iconSet="4TrafficLights">
        <cfvo type="percent" val="0"/>
        <cfvo type="num" val="0.25"/>
        <cfvo type="num" val="0.5"/>
        <cfvo type="num" val="0.75"/>
      </iconSet>
    </cfRule>
    <cfRule type="cellIs" dxfId="392" priority="626" stopIfTrue="1" operator="lessThan">
      <formula>0</formula>
    </cfRule>
  </conditionalFormatting>
  <conditionalFormatting sqref="CL255">
    <cfRule type="iconSet" priority="627">
      <iconSet iconSet="4TrafficLights">
        <cfvo type="percent" val="0"/>
        <cfvo type="num" val="0.25"/>
        <cfvo type="num" val="0.5"/>
        <cfvo type="num" val="0.75"/>
      </iconSet>
    </cfRule>
    <cfRule type="cellIs" dxfId="391" priority="628" operator="lessThan">
      <formula>0</formula>
    </cfRule>
  </conditionalFormatting>
  <conditionalFormatting sqref="CM255">
    <cfRule type="iconSet" priority="629">
      <iconSet iconSet="4TrafficLights">
        <cfvo type="percent" val="0"/>
        <cfvo type="num" val="0.25"/>
        <cfvo type="num" val="0.5"/>
        <cfvo type="num" val="0.75"/>
      </iconSet>
    </cfRule>
    <cfRule type="cellIs" dxfId="390" priority="630" operator="lessThan">
      <formula>0</formula>
    </cfRule>
  </conditionalFormatting>
  <conditionalFormatting sqref="CD255 CH255 CL255">
    <cfRule type="iconSet" priority="617">
      <iconSet iconSet="4TrafficLights">
        <cfvo type="percent" val="0"/>
        <cfvo type="num" val="0.25"/>
        <cfvo type="num" val="0.5"/>
        <cfvo type="num" val="0.75"/>
      </iconSet>
    </cfRule>
    <cfRule type="cellIs" dxfId="389" priority="618" stopIfTrue="1" operator="lessThan">
      <formula>0</formula>
    </cfRule>
  </conditionalFormatting>
  <conditionalFormatting sqref="BZ255 CD255 CH255 CL255">
    <cfRule type="iconSet" priority="615">
      <iconSet iconSet="4TrafficLights">
        <cfvo type="percent" val="0"/>
        <cfvo type="num" val="0.25"/>
        <cfvo type="num" val="0.5"/>
        <cfvo type="num" val="0.75"/>
      </iconSet>
    </cfRule>
    <cfRule type="cellIs" dxfId="388" priority="616" operator="lessThan">
      <formula>0</formula>
    </cfRule>
  </conditionalFormatting>
  <conditionalFormatting sqref="BZ252">
    <cfRule type="iconSet" priority="613">
      <iconSet iconSet="4TrafficLights">
        <cfvo type="percent" val="0"/>
        <cfvo type="num" val="0.25"/>
        <cfvo type="num" val="0.5"/>
        <cfvo type="num" val="0.75"/>
      </iconSet>
    </cfRule>
    <cfRule type="cellIs" dxfId="387" priority="614" stopIfTrue="1" operator="lessThan">
      <formula>0</formula>
    </cfRule>
  </conditionalFormatting>
  <conditionalFormatting sqref="CD252">
    <cfRule type="iconSet" priority="611">
      <iconSet iconSet="4TrafficLights">
        <cfvo type="percent" val="0"/>
        <cfvo type="num" val="0.25"/>
        <cfvo type="num" val="0.5"/>
        <cfvo type="num" val="0.75"/>
      </iconSet>
    </cfRule>
    <cfRule type="cellIs" dxfId="386" priority="612" stopIfTrue="1" operator="lessThan">
      <formula>0</formula>
    </cfRule>
  </conditionalFormatting>
  <conditionalFormatting sqref="CH252">
    <cfRule type="iconSet" priority="609">
      <iconSet iconSet="4TrafficLights">
        <cfvo type="percent" val="0"/>
        <cfvo type="num" val="0.25"/>
        <cfvo type="num" val="0.5"/>
        <cfvo type="num" val="0.75"/>
      </iconSet>
    </cfRule>
    <cfRule type="cellIs" dxfId="385" priority="610" stopIfTrue="1" operator="lessThan">
      <formula>0</formula>
    </cfRule>
  </conditionalFormatting>
  <conditionalFormatting sqref="CL252">
    <cfRule type="iconSet" priority="607">
      <iconSet iconSet="4TrafficLights">
        <cfvo type="percent" val="0"/>
        <cfvo type="num" val="0.25"/>
        <cfvo type="num" val="0.5"/>
        <cfvo type="num" val="0.75"/>
      </iconSet>
    </cfRule>
    <cfRule type="cellIs" dxfId="384" priority="608" stopIfTrue="1" operator="lessThan">
      <formula>0</formula>
    </cfRule>
  </conditionalFormatting>
  <conditionalFormatting sqref="CL253">
    <cfRule type="iconSet" priority="605">
      <iconSet iconSet="4TrafficLights">
        <cfvo type="percent" val="0"/>
        <cfvo type="num" val="0.25"/>
        <cfvo type="num" val="0.5"/>
        <cfvo type="num" val="0.75"/>
      </iconSet>
    </cfRule>
    <cfRule type="cellIs" dxfId="383" priority="606" stopIfTrue="1" operator="lessThan">
      <formula>0</formula>
    </cfRule>
  </conditionalFormatting>
  <conditionalFormatting sqref="CH253">
    <cfRule type="iconSet" priority="603">
      <iconSet iconSet="4TrafficLights">
        <cfvo type="percent" val="0"/>
        <cfvo type="num" val="0.25"/>
        <cfvo type="num" val="0.5"/>
        <cfvo type="num" val="0.75"/>
      </iconSet>
    </cfRule>
    <cfRule type="cellIs" dxfId="382" priority="604" stopIfTrue="1" operator="lessThan">
      <formula>0</formula>
    </cfRule>
  </conditionalFormatting>
  <conditionalFormatting sqref="CD253">
    <cfRule type="iconSet" priority="601">
      <iconSet iconSet="4TrafficLights">
        <cfvo type="percent" val="0"/>
        <cfvo type="num" val="0.25"/>
        <cfvo type="num" val="0.5"/>
        <cfvo type="num" val="0.75"/>
      </iconSet>
    </cfRule>
    <cfRule type="cellIs" dxfId="381" priority="602" stopIfTrue="1" operator="lessThan">
      <formula>0</formula>
    </cfRule>
  </conditionalFormatting>
  <conditionalFormatting sqref="BZ250">
    <cfRule type="iconSet" priority="599">
      <iconSet iconSet="4TrafficLights">
        <cfvo type="percent" val="0"/>
        <cfvo type="num" val="0.25"/>
        <cfvo type="num" val="0.5"/>
        <cfvo type="num" val="0.75"/>
      </iconSet>
    </cfRule>
    <cfRule type="cellIs" dxfId="380" priority="600" stopIfTrue="1" operator="lessThan">
      <formula>0</formula>
    </cfRule>
  </conditionalFormatting>
  <conditionalFormatting sqref="CD250">
    <cfRule type="iconSet" priority="597">
      <iconSet iconSet="4TrafficLights">
        <cfvo type="percent" val="0"/>
        <cfvo type="num" val="0.25"/>
        <cfvo type="num" val="0.5"/>
        <cfvo type="num" val="0.75"/>
      </iconSet>
    </cfRule>
    <cfRule type="cellIs" dxfId="379" priority="598" stopIfTrue="1" operator="lessThan">
      <formula>0</formula>
    </cfRule>
  </conditionalFormatting>
  <conditionalFormatting sqref="CH250">
    <cfRule type="iconSet" priority="595">
      <iconSet iconSet="4TrafficLights">
        <cfvo type="percent" val="0"/>
        <cfvo type="num" val="0.25"/>
        <cfvo type="num" val="0.5"/>
        <cfvo type="num" val="0.75"/>
      </iconSet>
    </cfRule>
    <cfRule type="cellIs" dxfId="378" priority="596" stopIfTrue="1" operator="lessThan">
      <formula>0</formula>
    </cfRule>
  </conditionalFormatting>
  <conditionalFormatting sqref="CL250">
    <cfRule type="iconSet" priority="593">
      <iconSet iconSet="4TrafficLights">
        <cfvo type="percent" val="0"/>
        <cfvo type="num" val="0.25"/>
        <cfvo type="num" val="0.5"/>
        <cfvo type="num" val="0.75"/>
      </iconSet>
    </cfRule>
    <cfRule type="cellIs" dxfId="377" priority="594" stopIfTrue="1" operator="lessThan">
      <formula>0</formula>
    </cfRule>
  </conditionalFormatting>
  <conditionalFormatting sqref="CL249">
    <cfRule type="iconSet" priority="591">
      <iconSet iconSet="4TrafficLights">
        <cfvo type="percent" val="0"/>
        <cfvo type="num" val="0.25"/>
        <cfvo type="num" val="0.5"/>
        <cfvo type="num" val="0.75"/>
      </iconSet>
    </cfRule>
    <cfRule type="cellIs" dxfId="376" priority="592" stopIfTrue="1" operator="lessThan">
      <formula>0</formula>
    </cfRule>
  </conditionalFormatting>
  <conditionalFormatting sqref="CH249">
    <cfRule type="iconSet" priority="589">
      <iconSet iconSet="4TrafficLights">
        <cfvo type="percent" val="0"/>
        <cfvo type="num" val="0.25"/>
        <cfvo type="num" val="0.5"/>
        <cfvo type="num" val="0.75"/>
      </iconSet>
    </cfRule>
    <cfRule type="cellIs" dxfId="375" priority="590" stopIfTrue="1" operator="lessThan">
      <formula>0</formula>
    </cfRule>
  </conditionalFormatting>
  <conditionalFormatting sqref="CD249">
    <cfRule type="iconSet" priority="587">
      <iconSet iconSet="4TrafficLights">
        <cfvo type="percent" val="0"/>
        <cfvo type="num" val="0.25"/>
        <cfvo type="num" val="0.5"/>
        <cfvo type="num" val="0.75"/>
      </iconSet>
    </cfRule>
    <cfRule type="cellIs" dxfId="374" priority="588" stopIfTrue="1" operator="lessThan">
      <formula>0</formula>
    </cfRule>
  </conditionalFormatting>
  <conditionalFormatting sqref="BZ249">
    <cfRule type="iconSet" priority="585">
      <iconSet iconSet="4TrafficLights">
        <cfvo type="percent" val="0"/>
        <cfvo type="num" val="0.25"/>
        <cfvo type="num" val="0.5"/>
        <cfvo type="num" val="0.75"/>
      </iconSet>
    </cfRule>
    <cfRule type="cellIs" dxfId="373" priority="586" stopIfTrue="1" operator="lessThan">
      <formula>0</formula>
    </cfRule>
  </conditionalFormatting>
  <conditionalFormatting sqref="BV249">
    <cfRule type="iconSet" priority="583">
      <iconSet iconSet="4TrafficLights">
        <cfvo type="percent" val="0"/>
        <cfvo type="num" val="0.25"/>
        <cfvo type="num" val="0.5"/>
        <cfvo type="num" val="0.75"/>
      </iconSet>
    </cfRule>
    <cfRule type="cellIs" dxfId="372" priority="584" stopIfTrue="1" operator="lessThan">
      <formula>0</formula>
    </cfRule>
  </conditionalFormatting>
  <conditionalFormatting sqref="BV250">
    <cfRule type="iconSet" priority="581">
      <iconSet iconSet="4TrafficLights">
        <cfvo type="percent" val="0"/>
        <cfvo type="num" val="0.25"/>
        <cfvo type="num" val="0.5"/>
        <cfvo type="num" val="0.75"/>
      </iconSet>
    </cfRule>
    <cfRule type="cellIs" dxfId="371" priority="582" stopIfTrue="1" operator="lessThan">
      <formula>0</formula>
    </cfRule>
  </conditionalFormatting>
  <conditionalFormatting sqref="BV247">
    <cfRule type="iconSet" priority="579">
      <iconSet iconSet="4TrafficLights">
        <cfvo type="percent" val="0"/>
        <cfvo type="num" val="0.25"/>
        <cfvo type="num" val="0.5"/>
        <cfvo type="num" val="0.75"/>
      </iconSet>
    </cfRule>
    <cfRule type="cellIs" dxfId="370" priority="580" stopIfTrue="1" operator="lessThan">
      <formula>0</formula>
    </cfRule>
  </conditionalFormatting>
  <conditionalFormatting sqref="BV246">
    <cfRule type="iconSet" priority="577">
      <iconSet iconSet="4TrafficLights">
        <cfvo type="percent" val="0"/>
        <cfvo type="num" val="0.25"/>
        <cfvo type="num" val="0.5"/>
        <cfvo type="num" val="0.75"/>
      </iconSet>
    </cfRule>
    <cfRule type="cellIs" dxfId="369" priority="578" stopIfTrue="1" operator="lessThan">
      <formula>0</formula>
    </cfRule>
  </conditionalFormatting>
  <conditionalFormatting sqref="BZ246">
    <cfRule type="iconSet" priority="575">
      <iconSet iconSet="4TrafficLights">
        <cfvo type="percent" val="0"/>
        <cfvo type="num" val="0.25"/>
        <cfvo type="num" val="0.5"/>
        <cfvo type="num" val="0.75"/>
      </iconSet>
    </cfRule>
    <cfRule type="cellIs" dxfId="368" priority="576" stopIfTrue="1" operator="lessThan">
      <formula>0</formula>
    </cfRule>
  </conditionalFormatting>
  <conditionalFormatting sqref="BZ247">
    <cfRule type="iconSet" priority="573">
      <iconSet iconSet="4TrafficLights">
        <cfvo type="percent" val="0"/>
        <cfvo type="num" val="0.25"/>
        <cfvo type="num" val="0.5"/>
        <cfvo type="num" val="0.75"/>
      </iconSet>
    </cfRule>
    <cfRule type="cellIs" dxfId="367" priority="574" stopIfTrue="1" operator="lessThan">
      <formula>0</formula>
    </cfRule>
  </conditionalFormatting>
  <conditionalFormatting sqref="CD247">
    <cfRule type="iconSet" priority="571">
      <iconSet iconSet="4TrafficLights">
        <cfvo type="percent" val="0"/>
        <cfvo type="num" val="0.25"/>
        <cfvo type="num" val="0.5"/>
        <cfvo type="num" val="0.75"/>
      </iconSet>
    </cfRule>
    <cfRule type="cellIs" dxfId="366" priority="572" stopIfTrue="1" operator="lessThan">
      <formula>0</formula>
    </cfRule>
  </conditionalFormatting>
  <conditionalFormatting sqref="CD246">
    <cfRule type="iconSet" priority="569">
      <iconSet iconSet="4TrafficLights">
        <cfvo type="percent" val="0"/>
        <cfvo type="num" val="0.25"/>
        <cfvo type="num" val="0.5"/>
        <cfvo type="num" val="0.75"/>
      </iconSet>
    </cfRule>
    <cfRule type="cellIs" dxfId="365" priority="570" stopIfTrue="1" operator="lessThan">
      <formula>0</formula>
    </cfRule>
  </conditionalFormatting>
  <conditionalFormatting sqref="CH246">
    <cfRule type="iconSet" priority="567">
      <iconSet iconSet="4TrafficLights">
        <cfvo type="percent" val="0"/>
        <cfvo type="num" val="0.25"/>
        <cfvo type="num" val="0.5"/>
        <cfvo type="num" val="0.75"/>
      </iconSet>
    </cfRule>
    <cfRule type="cellIs" dxfId="364" priority="568" stopIfTrue="1" operator="lessThan">
      <formula>0</formula>
    </cfRule>
  </conditionalFormatting>
  <conditionalFormatting sqref="CL246">
    <cfRule type="iconSet" priority="565">
      <iconSet iconSet="4TrafficLights">
        <cfvo type="percent" val="0"/>
        <cfvo type="num" val="0.25"/>
        <cfvo type="num" val="0.5"/>
        <cfvo type="num" val="0.75"/>
      </iconSet>
    </cfRule>
    <cfRule type="cellIs" dxfId="363" priority="566" stopIfTrue="1" operator="lessThan">
      <formula>0</formula>
    </cfRule>
  </conditionalFormatting>
  <conditionalFormatting sqref="CL247">
    <cfRule type="iconSet" priority="563">
      <iconSet iconSet="4TrafficLights">
        <cfvo type="percent" val="0"/>
        <cfvo type="num" val="0.25"/>
        <cfvo type="num" val="0.5"/>
        <cfvo type="num" val="0.75"/>
      </iconSet>
    </cfRule>
    <cfRule type="cellIs" dxfId="362" priority="564" stopIfTrue="1" operator="lessThan">
      <formula>0</formula>
    </cfRule>
  </conditionalFormatting>
  <conditionalFormatting sqref="CH247">
    <cfRule type="iconSet" priority="561">
      <iconSet iconSet="4TrafficLights">
        <cfvo type="percent" val="0"/>
        <cfvo type="num" val="0.25"/>
        <cfvo type="num" val="0.5"/>
        <cfvo type="num" val="0.75"/>
      </iconSet>
    </cfRule>
    <cfRule type="cellIs" dxfId="361" priority="562" stopIfTrue="1" operator="lessThan">
      <formula>0</formula>
    </cfRule>
  </conditionalFormatting>
  <conditionalFormatting sqref="BV245">
    <cfRule type="iconSet" priority="559">
      <iconSet iconSet="4TrafficLights">
        <cfvo type="percent" val="0"/>
        <cfvo type="num" val="0.25"/>
        <cfvo type="num" val="0.5"/>
        <cfvo type="num" val="0.75"/>
      </iconSet>
    </cfRule>
    <cfRule type="cellIs" dxfId="360" priority="560" stopIfTrue="1" operator="lessThan">
      <formula>0</formula>
    </cfRule>
  </conditionalFormatting>
  <conditionalFormatting sqref="BZ245">
    <cfRule type="iconSet" priority="557">
      <iconSet iconSet="4TrafficLights">
        <cfvo type="percent" val="0"/>
        <cfvo type="num" val="0.25"/>
        <cfvo type="num" val="0.5"/>
        <cfvo type="num" val="0.75"/>
      </iconSet>
    </cfRule>
    <cfRule type="cellIs" dxfId="359" priority="558" stopIfTrue="1" operator="lessThan">
      <formula>0</formula>
    </cfRule>
  </conditionalFormatting>
  <conditionalFormatting sqref="CD245">
    <cfRule type="iconSet" priority="555">
      <iconSet iconSet="4TrafficLights">
        <cfvo type="percent" val="0"/>
        <cfvo type="num" val="0.25"/>
        <cfvo type="num" val="0.5"/>
        <cfvo type="num" val="0.75"/>
      </iconSet>
    </cfRule>
    <cfRule type="cellIs" dxfId="358" priority="556" stopIfTrue="1" operator="lessThan">
      <formula>0</formula>
    </cfRule>
  </conditionalFormatting>
  <conditionalFormatting sqref="CH245">
    <cfRule type="iconSet" priority="553">
      <iconSet iconSet="4TrafficLights">
        <cfvo type="percent" val="0"/>
        <cfvo type="num" val="0.25"/>
        <cfvo type="num" val="0.5"/>
        <cfvo type="num" val="0.75"/>
      </iconSet>
    </cfRule>
    <cfRule type="cellIs" dxfId="357" priority="554" stopIfTrue="1" operator="lessThan">
      <formula>0</formula>
    </cfRule>
  </conditionalFormatting>
  <conditionalFormatting sqref="CL245">
    <cfRule type="iconSet" priority="551">
      <iconSet iconSet="4TrafficLights">
        <cfvo type="percent" val="0"/>
        <cfvo type="num" val="0.25"/>
        <cfvo type="num" val="0.5"/>
        <cfvo type="num" val="0.75"/>
      </iconSet>
    </cfRule>
    <cfRule type="cellIs" dxfId="356" priority="552" stopIfTrue="1" operator="lessThan">
      <formula>0</formula>
    </cfRule>
  </conditionalFormatting>
  <conditionalFormatting sqref="CD257">
    <cfRule type="iconSet" priority="541">
      <iconSet iconSet="4TrafficLights">
        <cfvo type="percent" val="0"/>
        <cfvo type="num" val="0.25"/>
        <cfvo type="num" val="0.5"/>
        <cfvo type="num" val="0.75"/>
      </iconSet>
    </cfRule>
    <cfRule type="cellIs" dxfId="355" priority="542" operator="lessThan">
      <formula>0</formula>
    </cfRule>
  </conditionalFormatting>
  <conditionalFormatting sqref="CH257">
    <cfRule type="iconSet" priority="539">
      <iconSet iconSet="4TrafficLights">
        <cfvo type="percent" val="0"/>
        <cfvo type="num" val="0.25"/>
        <cfvo type="num" val="0.5"/>
        <cfvo type="num" val="0.75"/>
      </iconSet>
    </cfRule>
    <cfRule type="cellIs" dxfId="354" priority="540" operator="lessThan">
      <formula>0</formula>
    </cfRule>
  </conditionalFormatting>
  <conditionalFormatting sqref="BV257">
    <cfRule type="iconSet" priority="543">
      <iconSet iconSet="4TrafficLights">
        <cfvo type="percent" val="0"/>
        <cfvo type="num" val="0.25"/>
        <cfvo type="num" val="0.5"/>
        <cfvo type="num" val="0.75"/>
      </iconSet>
    </cfRule>
    <cfRule type="cellIs" dxfId="353" priority="544" operator="lessThan">
      <formula>0</formula>
    </cfRule>
  </conditionalFormatting>
  <conditionalFormatting sqref="BZ257">
    <cfRule type="iconSet" priority="545">
      <iconSet iconSet="4TrafficLights">
        <cfvo type="percent" val="0"/>
        <cfvo type="num" val="0.25"/>
        <cfvo type="num" val="0.5"/>
        <cfvo type="num" val="0.75"/>
      </iconSet>
    </cfRule>
    <cfRule type="cellIs" dxfId="352" priority="546" stopIfTrue="1" operator="lessThan">
      <formula>0</formula>
    </cfRule>
  </conditionalFormatting>
  <conditionalFormatting sqref="CL257">
    <cfRule type="iconSet" priority="547">
      <iconSet iconSet="4TrafficLights">
        <cfvo type="percent" val="0"/>
        <cfvo type="num" val="0.25"/>
        <cfvo type="num" val="0.5"/>
        <cfvo type="num" val="0.75"/>
      </iconSet>
    </cfRule>
    <cfRule type="cellIs" dxfId="351" priority="548" operator="lessThan">
      <formula>0</formula>
    </cfRule>
  </conditionalFormatting>
  <conditionalFormatting sqref="CM257">
    <cfRule type="iconSet" priority="549">
      <iconSet iconSet="4TrafficLights">
        <cfvo type="percent" val="0"/>
        <cfvo type="num" val="0.25"/>
        <cfvo type="num" val="0.5"/>
        <cfvo type="num" val="0.75"/>
      </iconSet>
    </cfRule>
    <cfRule type="cellIs" dxfId="350" priority="550" operator="lessThan">
      <formula>0</formula>
    </cfRule>
  </conditionalFormatting>
  <conditionalFormatting sqref="BV239">
    <cfRule type="iconSet" priority="687">
      <iconSet iconSet="4TrafficLights">
        <cfvo type="percent" val="0"/>
        <cfvo type="num" val="0.25"/>
        <cfvo type="num" val="0.5"/>
        <cfvo type="num" val="0.75"/>
      </iconSet>
    </cfRule>
    <cfRule type="cellIs" dxfId="349" priority="688" operator="lessThan">
      <formula>0</formula>
    </cfRule>
  </conditionalFormatting>
  <conditionalFormatting sqref="BZ239">
    <cfRule type="iconSet" priority="689">
      <iconSet iconSet="4TrafficLights">
        <cfvo type="percent" val="0"/>
        <cfvo type="num" val="0.25"/>
        <cfvo type="num" val="0.5"/>
        <cfvo type="num" val="0.75"/>
      </iconSet>
    </cfRule>
    <cfRule type="cellIs" dxfId="348" priority="690" stopIfTrue="1" operator="lessThan">
      <formula>0</formula>
    </cfRule>
  </conditionalFormatting>
  <conditionalFormatting sqref="CD239">
    <cfRule type="iconSet" priority="691">
      <iconSet iconSet="4TrafficLights">
        <cfvo type="percent" val="0"/>
        <cfvo type="num" val="0.25"/>
        <cfvo type="num" val="0.5"/>
        <cfvo type="num" val="0.75"/>
      </iconSet>
    </cfRule>
    <cfRule type="cellIs" dxfId="347" priority="692" operator="lessThan">
      <formula>0</formula>
    </cfRule>
  </conditionalFormatting>
  <conditionalFormatting sqref="CH239">
    <cfRule type="iconSet" priority="693">
      <iconSet iconSet="4TrafficLights">
        <cfvo type="percent" val="0"/>
        <cfvo type="num" val="0.25"/>
        <cfvo type="num" val="0.5"/>
        <cfvo type="num" val="0.75"/>
      </iconSet>
    </cfRule>
    <cfRule type="cellIs" dxfId="346" priority="694" operator="lessThan">
      <formula>0</formula>
    </cfRule>
  </conditionalFormatting>
  <conditionalFormatting sqref="CL239">
    <cfRule type="iconSet" priority="695">
      <iconSet iconSet="4TrafficLights">
        <cfvo type="percent" val="0"/>
        <cfvo type="num" val="0.25"/>
        <cfvo type="num" val="0.5"/>
        <cfvo type="num" val="0.75"/>
      </iconSet>
    </cfRule>
    <cfRule type="cellIs" dxfId="345" priority="696" operator="lessThan">
      <formula>0</formula>
    </cfRule>
  </conditionalFormatting>
  <conditionalFormatting sqref="CD256 CD237">
    <cfRule type="iconSet" priority="707">
      <iconSet iconSet="4TrafficLights">
        <cfvo type="percent" val="0"/>
        <cfvo type="num" val="0.25"/>
        <cfvo type="num" val="0.5"/>
        <cfvo type="num" val="0.75"/>
      </iconSet>
    </cfRule>
    <cfRule type="cellIs" dxfId="344" priority="708" operator="lessThan">
      <formula>0</formula>
    </cfRule>
  </conditionalFormatting>
  <conditionalFormatting sqref="CH256 CH237">
    <cfRule type="iconSet" priority="709">
      <iconSet iconSet="4TrafficLights">
        <cfvo type="percent" val="0"/>
        <cfvo type="num" val="0.25"/>
        <cfvo type="num" val="0.5"/>
        <cfvo type="num" val="0.75"/>
      </iconSet>
    </cfRule>
    <cfRule type="cellIs" dxfId="343" priority="710" operator="lessThan">
      <formula>0</formula>
    </cfRule>
  </conditionalFormatting>
  <conditionalFormatting sqref="BV256 BV237">
    <cfRule type="iconSet" priority="711">
      <iconSet iconSet="4TrafficLights">
        <cfvo type="percent" val="0"/>
        <cfvo type="num" val="0.25"/>
        <cfvo type="num" val="0.5"/>
        <cfvo type="num" val="0.75"/>
      </iconSet>
    </cfRule>
    <cfRule type="cellIs" dxfId="342" priority="712" operator="lessThan">
      <formula>0</formula>
    </cfRule>
  </conditionalFormatting>
  <conditionalFormatting sqref="BZ256 BZ237">
    <cfRule type="iconSet" priority="713">
      <iconSet iconSet="4TrafficLights">
        <cfvo type="percent" val="0"/>
        <cfvo type="num" val="0.25"/>
        <cfvo type="num" val="0.5"/>
        <cfvo type="num" val="0.75"/>
      </iconSet>
    </cfRule>
    <cfRule type="cellIs" dxfId="341" priority="714" stopIfTrue="1" operator="lessThan">
      <formula>0</formula>
    </cfRule>
  </conditionalFormatting>
  <conditionalFormatting sqref="CL256 CL237">
    <cfRule type="iconSet" priority="715">
      <iconSet iconSet="4TrafficLights">
        <cfvo type="percent" val="0"/>
        <cfvo type="num" val="0.25"/>
        <cfvo type="num" val="0.5"/>
        <cfvo type="num" val="0.75"/>
      </iconSet>
    </cfRule>
    <cfRule type="cellIs" dxfId="340" priority="716" operator="lessThan">
      <formula>0</formula>
    </cfRule>
  </conditionalFormatting>
  <conditionalFormatting sqref="CM256 CM237:CM238">
    <cfRule type="iconSet" priority="717">
      <iconSet iconSet="4TrafficLights">
        <cfvo type="percent" val="0"/>
        <cfvo type="num" val="0.25"/>
        <cfvo type="num" val="0.5"/>
        <cfvo type="num" val="0.75"/>
      </iconSet>
    </cfRule>
    <cfRule type="cellIs" dxfId="339" priority="718" operator="lessThan">
      <formula>0</formula>
    </cfRule>
  </conditionalFormatting>
  <conditionalFormatting sqref="CD240">
    <cfRule type="iconSet" priority="533">
      <iconSet iconSet="4TrafficLights">
        <cfvo type="percent" val="0"/>
        <cfvo type="num" val="0.25"/>
        <cfvo type="num" val="0.5"/>
        <cfvo type="num" val="0.75"/>
      </iconSet>
    </cfRule>
    <cfRule type="cellIs" dxfId="338" priority="534" operator="lessThan">
      <formula>0</formula>
    </cfRule>
  </conditionalFormatting>
  <conditionalFormatting sqref="BZ241">
    <cfRule type="iconSet" priority="535">
      <iconSet iconSet="4TrafficLights">
        <cfvo type="percent" val="0"/>
        <cfvo type="num" val="0.25"/>
        <cfvo type="num" val="0.5"/>
        <cfvo type="num" val="0.75"/>
      </iconSet>
    </cfRule>
    <cfRule type="cellIs" dxfId="337" priority="536" stopIfTrue="1" operator="lessThan">
      <formula>0</formula>
    </cfRule>
  </conditionalFormatting>
  <conditionalFormatting sqref="CM240:CM241 CM243:CM244">
    <cfRule type="iconSet" priority="537">
      <iconSet iconSet="4TrafficLights">
        <cfvo type="percent" val="0"/>
        <cfvo type="num" val="0.25"/>
        <cfvo type="num" val="0.5"/>
        <cfvo type="num" val="0.75"/>
      </iconSet>
    </cfRule>
    <cfRule type="cellIs" dxfId="336" priority="538" operator="lessThan">
      <formula>0</formula>
    </cfRule>
  </conditionalFormatting>
  <conditionalFormatting sqref="CM242">
    <cfRule type="iconSet" priority="531">
      <iconSet iconSet="4TrafficLights">
        <cfvo type="percent" val="0"/>
        <cfvo type="num" val="0.25"/>
        <cfvo type="num" val="0.5"/>
        <cfvo type="num" val="0.75"/>
      </iconSet>
    </cfRule>
    <cfRule type="cellIs" dxfId="335" priority="532" operator="lessThan">
      <formula>0</formula>
    </cfRule>
  </conditionalFormatting>
  <conditionalFormatting sqref="BZ244">
    <cfRule type="iconSet" priority="529">
      <iconSet iconSet="4TrafficLights">
        <cfvo type="percent" val="0"/>
        <cfvo type="num" val="0.25"/>
        <cfvo type="num" val="0.5"/>
        <cfvo type="num" val="0.75"/>
      </iconSet>
    </cfRule>
    <cfRule type="cellIs" dxfId="334" priority="530" stopIfTrue="1" operator="lessThan">
      <formula>0</formula>
    </cfRule>
  </conditionalFormatting>
  <conditionalFormatting sqref="BV244">
    <cfRule type="iconSet" priority="527">
      <iconSet iconSet="4TrafficLights">
        <cfvo type="percent" val="0"/>
        <cfvo type="num" val="0.25"/>
        <cfvo type="num" val="0.5"/>
        <cfvo type="num" val="0.75"/>
      </iconSet>
    </cfRule>
    <cfRule type="cellIs" dxfId="333" priority="528" operator="lessThan">
      <formula>0</formula>
    </cfRule>
  </conditionalFormatting>
  <conditionalFormatting sqref="CD241:CD244">
    <cfRule type="iconSet" priority="525">
      <iconSet iconSet="4TrafficLights">
        <cfvo type="percent" val="0"/>
        <cfvo type="num" val="0.25"/>
        <cfvo type="num" val="0.5"/>
        <cfvo type="num" val="0.75"/>
      </iconSet>
    </cfRule>
    <cfRule type="cellIs" dxfId="332" priority="526" operator="lessThan">
      <formula>0</formula>
    </cfRule>
  </conditionalFormatting>
  <conditionalFormatting sqref="CH244">
    <cfRule type="iconSet" priority="523">
      <iconSet iconSet="4TrafficLights">
        <cfvo type="percent" val="0"/>
        <cfvo type="num" val="0.25"/>
        <cfvo type="num" val="0.5"/>
        <cfvo type="num" val="0.75"/>
      </iconSet>
    </cfRule>
    <cfRule type="cellIs" dxfId="331" priority="524" stopIfTrue="1" operator="lessThan">
      <formula>0</formula>
    </cfRule>
  </conditionalFormatting>
  <conditionalFormatting sqref="CH240:CH243">
    <cfRule type="iconSet" priority="521">
      <iconSet iconSet="4TrafficLights">
        <cfvo type="percent" val="0"/>
        <cfvo type="num" val="0.25"/>
        <cfvo type="num" val="0.5"/>
        <cfvo type="num" val="0.75"/>
      </iconSet>
    </cfRule>
    <cfRule type="cellIs" dxfId="330" priority="522" stopIfTrue="1" operator="lessThan">
      <formula>0</formula>
    </cfRule>
  </conditionalFormatting>
  <conditionalFormatting sqref="BV240">
    <cfRule type="iconSet" priority="519">
      <iconSet iconSet="4TrafficLights">
        <cfvo type="percent" val="0"/>
        <cfvo type="num" val="0.25"/>
        <cfvo type="num" val="0.5"/>
        <cfvo type="num" val="0.75"/>
      </iconSet>
    </cfRule>
    <cfRule type="cellIs" dxfId="329" priority="520" operator="lessThan">
      <formula>0</formula>
    </cfRule>
  </conditionalFormatting>
  <conditionalFormatting sqref="BV241">
    <cfRule type="iconSet" priority="517">
      <iconSet iconSet="4TrafficLights">
        <cfvo type="percent" val="0"/>
        <cfvo type="num" val="0.25"/>
        <cfvo type="num" val="0.5"/>
        <cfvo type="num" val="0.75"/>
      </iconSet>
    </cfRule>
    <cfRule type="cellIs" dxfId="328" priority="518" operator="lessThan">
      <formula>0</formula>
    </cfRule>
  </conditionalFormatting>
  <conditionalFormatting sqref="BV242:BV243">
    <cfRule type="iconSet" priority="515">
      <iconSet iconSet="4TrafficLights">
        <cfvo type="percent" val="0"/>
        <cfvo type="num" val="0.25"/>
        <cfvo type="num" val="0.5"/>
        <cfvo type="num" val="0.75"/>
      </iconSet>
    </cfRule>
    <cfRule type="cellIs" dxfId="327" priority="516" operator="lessThan">
      <formula>0</formula>
    </cfRule>
  </conditionalFormatting>
  <conditionalFormatting sqref="BZ242">
    <cfRule type="iconSet" priority="513">
      <iconSet iconSet="4TrafficLights">
        <cfvo type="percent" val="0"/>
        <cfvo type="num" val="0.25"/>
        <cfvo type="num" val="0.5"/>
        <cfvo type="num" val="0.75"/>
      </iconSet>
    </cfRule>
    <cfRule type="cellIs" dxfId="326" priority="514" operator="lessThan">
      <formula>0</formula>
    </cfRule>
  </conditionalFormatting>
  <conditionalFormatting sqref="BZ243">
    <cfRule type="iconSet" priority="511">
      <iconSet iconSet="4TrafficLights">
        <cfvo type="percent" val="0"/>
        <cfvo type="num" val="0.25"/>
        <cfvo type="num" val="0.5"/>
        <cfvo type="num" val="0.75"/>
      </iconSet>
    </cfRule>
    <cfRule type="cellIs" dxfId="325" priority="512" operator="lessThan">
      <formula>0</formula>
    </cfRule>
  </conditionalFormatting>
  <conditionalFormatting sqref="CL241">
    <cfRule type="iconSet" priority="509">
      <iconSet iconSet="4TrafficLights">
        <cfvo type="percent" val="0"/>
        <cfvo type="num" val="0.25"/>
        <cfvo type="num" val="0.5"/>
        <cfvo type="num" val="0.75"/>
      </iconSet>
    </cfRule>
    <cfRule type="cellIs" dxfId="324" priority="510" stopIfTrue="1" operator="lessThan">
      <formula>0</formula>
    </cfRule>
  </conditionalFormatting>
  <conditionalFormatting sqref="CL240">
    <cfRule type="iconSet" priority="507">
      <iconSet iconSet="4TrafficLights">
        <cfvo type="percent" val="0"/>
        <cfvo type="num" val="0.25"/>
        <cfvo type="num" val="0.5"/>
        <cfvo type="num" val="0.75"/>
      </iconSet>
    </cfRule>
    <cfRule type="cellIs" dxfId="323" priority="508" stopIfTrue="1" operator="lessThan">
      <formula>0</formula>
    </cfRule>
  </conditionalFormatting>
  <conditionalFormatting sqref="BZ240">
    <cfRule type="iconSet" priority="505">
      <iconSet iconSet="4TrafficLights">
        <cfvo type="percent" val="0"/>
        <cfvo type="num" val="0.25"/>
        <cfvo type="num" val="0.5"/>
        <cfvo type="num" val="0.75"/>
      </iconSet>
    </cfRule>
    <cfRule type="cellIs" dxfId="322" priority="506" stopIfTrue="1" operator="lessThan">
      <formula>0</formula>
    </cfRule>
  </conditionalFormatting>
  <conditionalFormatting sqref="CL242:CL244">
    <cfRule type="iconSet" priority="503">
      <iconSet iconSet="4TrafficLights">
        <cfvo type="percent" val="0"/>
        <cfvo type="num" val="0.25"/>
        <cfvo type="num" val="0.5"/>
        <cfvo type="num" val="0.75"/>
      </iconSet>
    </cfRule>
    <cfRule type="cellIs" dxfId="321" priority="504" stopIfTrue="1" operator="lessThan">
      <formula>0</formula>
    </cfRule>
  </conditionalFormatting>
  <conditionalFormatting sqref="BV258">
    <cfRule type="iconSet" priority="501">
      <iconSet iconSet="4TrafficLights">
        <cfvo type="percent" val="0"/>
        <cfvo type="num" val="0.25"/>
        <cfvo type="num" val="0.5"/>
        <cfvo type="num" val="0.75"/>
      </iconSet>
    </cfRule>
    <cfRule type="cellIs" dxfId="320" priority="502" stopIfTrue="1" operator="lessThan">
      <formula>0</formula>
    </cfRule>
  </conditionalFormatting>
  <conditionalFormatting sqref="BV258">
    <cfRule type="iconSet" priority="499">
      <iconSet iconSet="4TrafficLights">
        <cfvo type="percent" val="0"/>
        <cfvo type="num" val="0.25"/>
        <cfvo type="num" val="0.5"/>
        <cfvo type="num" val="0.75"/>
      </iconSet>
    </cfRule>
    <cfRule type="cellIs" dxfId="319" priority="500" operator="lessThan">
      <formula>0</formula>
    </cfRule>
  </conditionalFormatting>
  <conditionalFormatting sqref="CD258">
    <cfRule type="iconSet" priority="497">
      <iconSet iconSet="4TrafficLights">
        <cfvo type="percent" val="0"/>
        <cfvo type="num" val="0.25"/>
        <cfvo type="num" val="0.5"/>
        <cfvo type="num" val="0.75"/>
      </iconSet>
    </cfRule>
    <cfRule type="cellIs" dxfId="318" priority="498" stopIfTrue="1" operator="lessThan">
      <formula>0</formula>
    </cfRule>
  </conditionalFormatting>
  <conditionalFormatting sqref="CD258">
    <cfRule type="iconSet" priority="495">
      <iconSet iconSet="4TrafficLights">
        <cfvo type="percent" val="0"/>
        <cfvo type="num" val="0.25"/>
        <cfvo type="num" val="0.5"/>
        <cfvo type="num" val="0.75"/>
      </iconSet>
    </cfRule>
    <cfRule type="cellIs" dxfId="317" priority="496" operator="lessThan">
      <formula>0</formula>
    </cfRule>
  </conditionalFormatting>
  <conditionalFormatting sqref="CH258">
    <cfRule type="iconSet" priority="493">
      <iconSet iconSet="4TrafficLights">
        <cfvo type="percent" val="0"/>
        <cfvo type="num" val="0.25"/>
        <cfvo type="num" val="0.5"/>
        <cfvo type="num" val="0.75"/>
      </iconSet>
    </cfRule>
    <cfRule type="cellIs" dxfId="316" priority="494" stopIfTrue="1" operator="lessThan">
      <formula>0</formula>
    </cfRule>
  </conditionalFormatting>
  <conditionalFormatting sqref="CH258">
    <cfRule type="iconSet" priority="491">
      <iconSet iconSet="4TrafficLights">
        <cfvo type="percent" val="0"/>
        <cfvo type="num" val="0.25"/>
        <cfvo type="num" val="0.5"/>
        <cfvo type="num" val="0.75"/>
      </iconSet>
    </cfRule>
    <cfRule type="cellIs" dxfId="315" priority="492" operator="lessThan">
      <formula>0</formula>
    </cfRule>
  </conditionalFormatting>
  <conditionalFormatting sqref="CL258">
    <cfRule type="iconSet" priority="489">
      <iconSet iconSet="4TrafficLights">
        <cfvo type="percent" val="0"/>
        <cfvo type="num" val="0.25"/>
        <cfvo type="num" val="0.5"/>
        <cfvo type="num" val="0.75"/>
      </iconSet>
    </cfRule>
    <cfRule type="cellIs" dxfId="314" priority="490" operator="lessThan">
      <formula>0</formula>
    </cfRule>
  </conditionalFormatting>
  <conditionalFormatting sqref="CL258">
    <cfRule type="iconSet" priority="487">
      <iconSet iconSet="4TrafficLights">
        <cfvo type="percent" val="0"/>
        <cfvo type="num" val="0.25"/>
        <cfvo type="num" val="0.5"/>
        <cfvo type="num" val="0.75"/>
      </iconSet>
    </cfRule>
    <cfRule type="cellIs" dxfId="313" priority="488" stopIfTrue="1" operator="lessThan">
      <formula>0</formula>
    </cfRule>
  </conditionalFormatting>
  <conditionalFormatting sqref="CL258">
    <cfRule type="iconSet" priority="485">
      <iconSet iconSet="4TrafficLights">
        <cfvo type="percent" val="0"/>
        <cfvo type="num" val="0.25"/>
        <cfvo type="num" val="0.5"/>
        <cfvo type="num" val="0.75"/>
      </iconSet>
    </cfRule>
    <cfRule type="cellIs" dxfId="312" priority="486" operator="lessThan">
      <formula>0</formula>
    </cfRule>
  </conditionalFormatting>
  <conditionalFormatting sqref="CL259">
    <cfRule type="iconSet" priority="483">
      <iconSet iconSet="4TrafficLights">
        <cfvo type="percent" val="0"/>
        <cfvo type="num" val="0.25"/>
        <cfvo type="num" val="0.5"/>
        <cfvo type="num" val="0.75"/>
      </iconSet>
    </cfRule>
    <cfRule type="cellIs" dxfId="311" priority="484" operator="lessThan">
      <formula>0</formula>
    </cfRule>
  </conditionalFormatting>
  <conditionalFormatting sqref="CL259">
    <cfRule type="iconSet" priority="481">
      <iconSet iconSet="4TrafficLights">
        <cfvo type="percent" val="0"/>
        <cfvo type="num" val="0.25"/>
        <cfvo type="num" val="0.5"/>
        <cfvo type="num" val="0.75"/>
      </iconSet>
    </cfRule>
    <cfRule type="cellIs" dxfId="310" priority="482" stopIfTrue="1" operator="lessThan">
      <formula>0</formula>
    </cfRule>
  </conditionalFormatting>
  <conditionalFormatting sqref="CL259">
    <cfRule type="iconSet" priority="479">
      <iconSet iconSet="4TrafficLights">
        <cfvo type="percent" val="0"/>
        <cfvo type="num" val="0.25"/>
        <cfvo type="num" val="0.5"/>
        <cfvo type="num" val="0.75"/>
      </iconSet>
    </cfRule>
    <cfRule type="cellIs" dxfId="309" priority="480" operator="lessThan">
      <formula>0</formula>
    </cfRule>
  </conditionalFormatting>
  <conditionalFormatting sqref="CH259">
    <cfRule type="iconSet" priority="477">
      <iconSet iconSet="4TrafficLights">
        <cfvo type="percent" val="0"/>
        <cfvo type="num" val="0.25"/>
        <cfvo type="num" val="0.5"/>
        <cfvo type="num" val="0.75"/>
      </iconSet>
    </cfRule>
    <cfRule type="cellIs" dxfId="308" priority="478" stopIfTrue="1" operator="lessThan">
      <formula>0</formula>
    </cfRule>
  </conditionalFormatting>
  <conditionalFormatting sqref="CH259">
    <cfRule type="iconSet" priority="475">
      <iconSet iconSet="4TrafficLights">
        <cfvo type="percent" val="0"/>
        <cfvo type="num" val="0.25"/>
        <cfvo type="num" val="0.5"/>
        <cfvo type="num" val="0.75"/>
      </iconSet>
    </cfRule>
    <cfRule type="cellIs" dxfId="307" priority="476" operator="lessThan">
      <formula>0</formula>
    </cfRule>
  </conditionalFormatting>
  <conditionalFormatting sqref="CD259">
    <cfRule type="iconSet" priority="473">
      <iconSet iconSet="4TrafficLights">
        <cfvo type="percent" val="0"/>
        <cfvo type="num" val="0.25"/>
        <cfvo type="num" val="0.5"/>
        <cfvo type="num" val="0.75"/>
      </iconSet>
    </cfRule>
    <cfRule type="cellIs" dxfId="306" priority="474" stopIfTrue="1" operator="lessThan">
      <formula>0</formula>
    </cfRule>
  </conditionalFormatting>
  <conditionalFormatting sqref="CD259">
    <cfRule type="iconSet" priority="471">
      <iconSet iconSet="4TrafficLights">
        <cfvo type="percent" val="0"/>
        <cfvo type="num" val="0.25"/>
        <cfvo type="num" val="0.5"/>
        <cfvo type="num" val="0.75"/>
      </iconSet>
    </cfRule>
    <cfRule type="cellIs" dxfId="305" priority="472" operator="lessThan">
      <formula>0</formula>
    </cfRule>
  </conditionalFormatting>
  <conditionalFormatting sqref="BV259">
    <cfRule type="iconSet" priority="469">
      <iconSet iconSet="4TrafficLights">
        <cfvo type="percent" val="0"/>
        <cfvo type="num" val="0.25"/>
        <cfvo type="num" val="0.5"/>
        <cfvo type="num" val="0.75"/>
      </iconSet>
    </cfRule>
    <cfRule type="cellIs" dxfId="304" priority="470" stopIfTrue="1" operator="lessThan">
      <formula>0</formula>
    </cfRule>
  </conditionalFormatting>
  <conditionalFormatting sqref="BV259">
    <cfRule type="iconSet" priority="467">
      <iconSet iconSet="4TrafficLights">
        <cfvo type="percent" val="0"/>
        <cfvo type="num" val="0.25"/>
        <cfvo type="num" val="0.5"/>
        <cfvo type="num" val="0.75"/>
      </iconSet>
    </cfRule>
    <cfRule type="cellIs" dxfId="303" priority="468" operator="lessThan">
      <formula>0</formula>
    </cfRule>
  </conditionalFormatting>
  <conditionalFormatting sqref="CD263">
    <cfRule type="iconSet" priority="455">
      <iconSet iconSet="4TrafficLights">
        <cfvo type="percent" val="0"/>
        <cfvo type="num" val="0.25"/>
        <cfvo type="num" val="0.5"/>
        <cfvo type="num" val="0.75"/>
      </iconSet>
    </cfRule>
    <cfRule type="cellIs" dxfId="302" priority="456" operator="lessThan">
      <formula>0</formula>
    </cfRule>
  </conditionalFormatting>
  <conditionalFormatting sqref="CH263">
    <cfRule type="iconSet" priority="457">
      <iconSet iconSet="4TrafficLights">
        <cfvo type="percent" val="0"/>
        <cfvo type="num" val="0.25"/>
        <cfvo type="num" val="0.5"/>
        <cfvo type="num" val="0.75"/>
      </iconSet>
    </cfRule>
    <cfRule type="cellIs" dxfId="301" priority="458" operator="lessThan">
      <formula>0</formula>
    </cfRule>
  </conditionalFormatting>
  <conditionalFormatting sqref="BV263">
    <cfRule type="iconSet" priority="459">
      <iconSet iconSet="4TrafficLights">
        <cfvo type="percent" val="0"/>
        <cfvo type="num" val="0.25"/>
        <cfvo type="num" val="0.5"/>
        <cfvo type="num" val="0.75"/>
      </iconSet>
    </cfRule>
    <cfRule type="cellIs" dxfId="300" priority="460" operator="lessThan">
      <formula>0</formula>
    </cfRule>
  </conditionalFormatting>
  <conditionalFormatting sqref="BZ263">
    <cfRule type="iconSet" priority="461">
      <iconSet iconSet="4TrafficLights">
        <cfvo type="percent" val="0"/>
        <cfvo type="num" val="0.25"/>
        <cfvo type="num" val="0.5"/>
        <cfvo type="num" val="0.75"/>
      </iconSet>
    </cfRule>
    <cfRule type="cellIs" dxfId="299" priority="462" stopIfTrue="1" operator="lessThan">
      <formula>0</formula>
    </cfRule>
  </conditionalFormatting>
  <conditionalFormatting sqref="CL263">
    <cfRule type="iconSet" priority="463">
      <iconSet iconSet="4TrafficLights">
        <cfvo type="percent" val="0"/>
        <cfvo type="num" val="0.25"/>
        <cfvo type="num" val="0.5"/>
        <cfvo type="num" val="0.75"/>
      </iconSet>
    </cfRule>
    <cfRule type="cellIs" dxfId="298" priority="464" operator="lessThan">
      <formula>0</formula>
    </cfRule>
  </conditionalFormatting>
  <conditionalFormatting sqref="CM263">
    <cfRule type="iconSet" priority="465">
      <iconSet iconSet="4TrafficLights">
        <cfvo type="percent" val="0"/>
        <cfvo type="num" val="0.25"/>
        <cfvo type="num" val="0.5"/>
        <cfvo type="num" val="0.75"/>
      </iconSet>
    </cfRule>
    <cfRule type="cellIs" dxfId="297" priority="466" operator="lessThan">
      <formula>0</formula>
    </cfRule>
  </conditionalFormatting>
  <conditionalFormatting sqref="CM261">
    <cfRule type="iconSet" priority="453">
      <iconSet iconSet="4TrafficLights">
        <cfvo type="percent" val="0"/>
        <cfvo type="num" val="0.25"/>
        <cfvo type="num" val="0.5"/>
        <cfvo type="num" val="0.75"/>
      </iconSet>
    </cfRule>
    <cfRule type="cellIs" dxfId="296" priority="454" operator="lessThan">
      <formula>0</formula>
    </cfRule>
  </conditionalFormatting>
  <conditionalFormatting sqref="CM262">
    <cfRule type="iconSet" priority="451">
      <iconSet iconSet="4TrafficLights">
        <cfvo type="percent" val="0"/>
        <cfvo type="num" val="0.25"/>
        <cfvo type="num" val="0.5"/>
        <cfvo type="num" val="0.75"/>
      </iconSet>
    </cfRule>
    <cfRule type="cellIs" dxfId="295" priority="452" operator="lessThan">
      <formula>0</formula>
    </cfRule>
  </conditionalFormatting>
  <conditionalFormatting sqref="BV262">
    <cfRule type="iconSet" priority="449">
      <iconSet iconSet="4TrafficLights">
        <cfvo type="percent" val="0"/>
        <cfvo type="num" val="0.25"/>
        <cfvo type="num" val="0.5"/>
        <cfvo type="num" val="0.75"/>
      </iconSet>
    </cfRule>
    <cfRule type="cellIs" dxfId="294" priority="450" stopIfTrue="1" operator="lessThan">
      <formula>0</formula>
    </cfRule>
  </conditionalFormatting>
  <conditionalFormatting sqref="BZ262">
    <cfRule type="iconSet" priority="447">
      <iconSet iconSet="4TrafficLights">
        <cfvo type="percent" val="0"/>
        <cfvo type="num" val="0.25"/>
        <cfvo type="num" val="0.5"/>
        <cfvo type="num" val="0.75"/>
      </iconSet>
    </cfRule>
    <cfRule type="cellIs" dxfId="293" priority="448" stopIfTrue="1" operator="lessThan">
      <formula>0</formula>
    </cfRule>
  </conditionalFormatting>
  <conditionalFormatting sqref="CD262">
    <cfRule type="iconSet" priority="445">
      <iconSet iconSet="4TrafficLights">
        <cfvo type="percent" val="0"/>
        <cfvo type="num" val="0.25"/>
        <cfvo type="num" val="0.5"/>
        <cfvo type="num" val="0.75"/>
      </iconSet>
    </cfRule>
    <cfRule type="cellIs" dxfId="292" priority="446" stopIfTrue="1" operator="lessThan">
      <formula>0</formula>
    </cfRule>
  </conditionalFormatting>
  <conditionalFormatting sqref="CH262">
    <cfRule type="iconSet" priority="443">
      <iconSet iconSet="4TrafficLights">
        <cfvo type="percent" val="0"/>
        <cfvo type="num" val="0.25"/>
        <cfvo type="num" val="0.5"/>
        <cfvo type="num" val="0.75"/>
      </iconSet>
    </cfRule>
    <cfRule type="cellIs" dxfId="291" priority="444" stopIfTrue="1" operator="lessThan">
      <formula>0</formula>
    </cfRule>
  </conditionalFormatting>
  <conditionalFormatting sqref="CL262">
    <cfRule type="iconSet" priority="441">
      <iconSet iconSet="4TrafficLights">
        <cfvo type="percent" val="0"/>
        <cfvo type="num" val="0.25"/>
        <cfvo type="num" val="0.5"/>
        <cfvo type="num" val="0.75"/>
      </iconSet>
    </cfRule>
    <cfRule type="cellIs" dxfId="290" priority="442" stopIfTrue="1" operator="lessThan">
      <formula>0</formula>
    </cfRule>
  </conditionalFormatting>
  <conditionalFormatting sqref="BV261">
    <cfRule type="iconSet" priority="439">
      <iconSet iconSet="4TrafficLights">
        <cfvo type="percent" val="0"/>
        <cfvo type="num" val="0.25"/>
        <cfvo type="num" val="0.5"/>
        <cfvo type="num" val="0.75"/>
      </iconSet>
    </cfRule>
    <cfRule type="cellIs" dxfId="289" priority="440" stopIfTrue="1" operator="lessThan">
      <formula>0</formula>
    </cfRule>
  </conditionalFormatting>
  <conditionalFormatting sqref="BZ261">
    <cfRule type="iconSet" priority="437">
      <iconSet iconSet="4TrafficLights">
        <cfvo type="percent" val="0"/>
        <cfvo type="num" val="0.25"/>
        <cfvo type="num" val="0.5"/>
        <cfvo type="num" val="0.75"/>
      </iconSet>
    </cfRule>
    <cfRule type="cellIs" dxfId="288" priority="438" stopIfTrue="1" operator="lessThan">
      <formula>0</formula>
    </cfRule>
  </conditionalFormatting>
  <conditionalFormatting sqref="CD261">
    <cfRule type="iconSet" priority="435">
      <iconSet iconSet="4TrafficLights">
        <cfvo type="percent" val="0"/>
        <cfvo type="num" val="0.25"/>
        <cfvo type="num" val="0.5"/>
        <cfvo type="num" val="0.75"/>
      </iconSet>
    </cfRule>
    <cfRule type="cellIs" dxfId="287" priority="436" stopIfTrue="1" operator="lessThan">
      <formula>0</formula>
    </cfRule>
  </conditionalFormatting>
  <conditionalFormatting sqref="CH261">
    <cfRule type="iconSet" priority="433">
      <iconSet iconSet="4TrafficLights">
        <cfvo type="percent" val="0"/>
        <cfvo type="num" val="0.25"/>
        <cfvo type="num" val="0.5"/>
        <cfvo type="num" val="0.75"/>
      </iconSet>
    </cfRule>
    <cfRule type="cellIs" dxfId="286" priority="434" stopIfTrue="1" operator="lessThan">
      <formula>0</formula>
    </cfRule>
  </conditionalFormatting>
  <conditionalFormatting sqref="CL261">
    <cfRule type="iconSet" priority="431">
      <iconSet iconSet="4TrafficLights">
        <cfvo type="percent" val="0"/>
        <cfvo type="num" val="0.25"/>
        <cfvo type="num" val="0.5"/>
        <cfvo type="num" val="0.75"/>
      </iconSet>
    </cfRule>
    <cfRule type="cellIs" dxfId="285" priority="432" stopIfTrue="1" operator="lessThan">
      <formula>0</formula>
    </cfRule>
  </conditionalFormatting>
  <conditionalFormatting sqref="CM268">
    <cfRule type="iconSet" priority="429">
      <iconSet iconSet="4TrafficLights">
        <cfvo type="percent" val="0"/>
        <cfvo type="num" val="0.25"/>
        <cfvo type="num" val="0.5"/>
        <cfvo type="num" val="0.75"/>
      </iconSet>
    </cfRule>
    <cfRule type="cellIs" dxfId="284" priority="430" operator="lessThan">
      <formula>0</formula>
    </cfRule>
  </conditionalFormatting>
  <conditionalFormatting sqref="CM269">
    <cfRule type="iconSet" priority="427">
      <iconSet iconSet="4TrafficLights">
        <cfvo type="percent" val="0"/>
        <cfvo type="num" val="0.25"/>
        <cfvo type="num" val="0.5"/>
        <cfvo type="num" val="0.75"/>
      </iconSet>
    </cfRule>
    <cfRule type="cellIs" dxfId="283" priority="428" operator="lessThan">
      <formula>0</formula>
    </cfRule>
  </conditionalFormatting>
  <conditionalFormatting sqref="CD265">
    <cfRule type="iconSet" priority="411">
      <iconSet iconSet="4TrafficLights">
        <cfvo type="percent" val="0"/>
        <cfvo type="num" val="0.25"/>
        <cfvo type="num" val="0.5"/>
        <cfvo type="num" val="0.75"/>
      </iconSet>
    </cfRule>
    <cfRule type="cellIs" dxfId="282" priority="412" operator="lessThan">
      <formula>0</formula>
    </cfRule>
  </conditionalFormatting>
  <conditionalFormatting sqref="BV265">
    <cfRule type="iconSet" priority="413">
      <iconSet iconSet="4TrafficLights">
        <cfvo type="percent" val="0"/>
        <cfvo type="num" val="0.25"/>
        <cfvo type="num" val="0.5"/>
        <cfvo type="num" val="0.75"/>
      </iconSet>
    </cfRule>
    <cfRule type="cellIs" dxfId="281" priority="414" operator="lessThan">
      <formula>0</formula>
    </cfRule>
  </conditionalFormatting>
  <conditionalFormatting sqref="BZ265">
    <cfRule type="iconSet" priority="415">
      <iconSet iconSet="4TrafficLights">
        <cfvo type="percent" val="0"/>
        <cfvo type="num" val="0.25"/>
        <cfvo type="num" val="0.5"/>
        <cfvo type="num" val="0.75"/>
      </iconSet>
    </cfRule>
    <cfRule type="cellIs" dxfId="280" priority="416" stopIfTrue="1" operator="lessThan">
      <formula>0</formula>
    </cfRule>
  </conditionalFormatting>
  <conditionalFormatting sqref="CM265">
    <cfRule type="iconSet" priority="417">
      <iconSet iconSet="4TrafficLights">
        <cfvo type="percent" val="0"/>
        <cfvo type="num" val="0.25"/>
        <cfvo type="num" val="0.5"/>
        <cfvo type="num" val="0.75"/>
      </iconSet>
    </cfRule>
    <cfRule type="cellIs" dxfId="279" priority="418" operator="lessThan">
      <formula>0</formula>
    </cfRule>
  </conditionalFormatting>
  <conditionalFormatting sqref="CM267">
    <cfRule type="iconSet" priority="409">
      <iconSet iconSet="4TrafficLights">
        <cfvo type="percent" val="0"/>
        <cfvo type="num" val="0.25"/>
        <cfvo type="num" val="0.5"/>
        <cfvo type="num" val="0.75"/>
      </iconSet>
    </cfRule>
    <cfRule type="cellIs" dxfId="278" priority="410" operator="lessThan">
      <formula>0</formula>
    </cfRule>
  </conditionalFormatting>
  <conditionalFormatting sqref="CD264">
    <cfRule type="iconSet" priority="419">
      <iconSet iconSet="4TrafficLights">
        <cfvo type="percent" val="0"/>
        <cfvo type="num" val="0.25"/>
        <cfvo type="num" val="0.5"/>
        <cfvo type="num" val="0.75"/>
      </iconSet>
    </cfRule>
    <cfRule type="cellIs" dxfId="277" priority="420" operator="lessThan">
      <formula>0</formula>
    </cfRule>
  </conditionalFormatting>
  <conditionalFormatting sqref="BV264">
    <cfRule type="iconSet" priority="421">
      <iconSet iconSet="4TrafficLights">
        <cfvo type="percent" val="0"/>
        <cfvo type="num" val="0.25"/>
        <cfvo type="num" val="0.5"/>
        <cfvo type="num" val="0.75"/>
      </iconSet>
    </cfRule>
    <cfRule type="cellIs" dxfId="276" priority="422" operator="lessThan">
      <formula>0</formula>
    </cfRule>
  </conditionalFormatting>
  <conditionalFormatting sqref="BZ264">
    <cfRule type="iconSet" priority="423">
      <iconSet iconSet="4TrafficLights">
        <cfvo type="percent" val="0"/>
        <cfvo type="num" val="0.25"/>
        <cfvo type="num" val="0.5"/>
        <cfvo type="num" val="0.75"/>
      </iconSet>
    </cfRule>
    <cfRule type="cellIs" dxfId="275" priority="424" stopIfTrue="1" operator="lessThan">
      <formula>0</formula>
    </cfRule>
  </conditionalFormatting>
  <conditionalFormatting sqref="CM266 CM264">
    <cfRule type="iconSet" priority="425">
      <iconSet iconSet="4TrafficLights">
        <cfvo type="percent" val="0"/>
        <cfvo type="num" val="0.25"/>
        <cfvo type="num" val="0.5"/>
        <cfvo type="num" val="0.75"/>
      </iconSet>
    </cfRule>
    <cfRule type="cellIs" dxfId="274" priority="426" operator="lessThan">
      <formula>0</formula>
    </cfRule>
  </conditionalFormatting>
  <conditionalFormatting sqref="CL264:CL269">
    <cfRule type="iconSet" priority="407">
      <iconSet iconSet="4TrafficLights">
        <cfvo type="percent" val="0"/>
        <cfvo type="num" val="0.25"/>
        <cfvo type="num" val="0.5"/>
        <cfvo type="num" val="0.75"/>
      </iconSet>
    </cfRule>
    <cfRule type="cellIs" dxfId="273" priority="408" operator="lessThan">
      <formula>0</formula>
    </cfRule>
  </conditionalFormatting>
  <conditionalFormatting sqref="CL264:CL269">
    <cfRule type="iconSet" priority="405">
      <iconSet iconSet="4TrafficLights">
        <cfvo type="percent" val="0"/>
        <cfvo type="num" val="0.25"/>
        <cfvo type="num" val="0.5"/>
        <cfvo type="num" val="0.75"/>
      </iconSet>
    </cfRule>
    <cfRule type="cellIs" dxfId="272" priority="406" stopIfTrue="1" operator="lessThan">
      <formula>0</formula>
    </cfRule>
  </conditionalFormatting>
  <conditionalFormatting sqref="CL264:CL269">
    <cfRule type="iconSet" priority="403">
      <iconSet iconSet="4TrafficLights">
        <cfvo type="percent" val="0"/>
        <cfvo type="num" val="0.25"/>
        <cfvo type="num" val="0.5"/>
        <cfvo type="num" val="0.75"/>
      </iconSet>
    </cfRule>
    <cfRule type="cellIs" dxfId="271" priority="404" operator="lessThan">
      <formula>0</formula>
    </cfRule>
  </conditionalFormatting>
  <conditionalFormatting sqref="CH264:CH269">
    <cfRule type="iconSet" priority="401">
      <iconSet iconSet="4TrafficLights">
        <cfvo type="percent" val="0"/>
        <cfvo type="num" val="0.25"/>
        <cfvo type="num" val="0.5"/>
        <cfvo type="num" val="0.75"/>
      </iconSet>
    </cfRule>
    <cfRule type="cellIs" dxfId="270" priority="402" stopIfTrue="1" operator="lessThan">
      <formula>0</formula>
    </cfRule>
  </conditionalFormatting>
  <conditionalFormatting sqref="CH264:CH269">
    <cfRule type="iconSet" priority="399">
      <iconSet iconSet="4TrafficLights">
        <cfvo type="percent" val="0"/>
        <cfvo type="num" val="0.25"/>
        <cfvo type="num" val="0.5"/>
        <cfvo type="num" val="0.75"/>
      </iconSet>
    </cfRule>
    <cfRule type="cellIs" dxfId="269" priority="400" operator="lessThan">
      <formula>0</formula>
    </cfRule>
  </conditionalFormatting>
  <conditionalFormatting sqref="CM239">
    <cfRule type="iconSet" priority="719">
      <iconSet iconSet="4TrafficLights">
        <cfvo type="percent" val="0"/>
        <cfvo type="num" val="0.25"/>
        <cfvo type="num" val="0.5"/>
        <cfvo type="num" val="0.75"/>
      </iconSet>
    </cfRule>
    <cfRule type="cellIs" dxfId="268" priority="720" operator="lessThan">
      <formula>0</formula>
    </cfRule>
  </conditionalFormatting>
  <conditionalFormatting sqref="CM258:CM260">
    <cfRule type="iconSet" priority="721">
      <iconSet iconSet="4TrafficLights">
        <cfvo type="percent" val="0"/>
        <cfvo type="num" val="0.25"/>
        <cfvo type="num" val="0.5"/>
        <cfvo type="num" val="0.75"/>
      </iconSet>
    </cfRule>
    <cfRule type="cellIs" dxfId="267" priority="722" operator="lessThan">
      <formula>0</formula>
    </cfRule>
  </conditionalFormatting>
  <conditionalFormatting sqref="BV260">
    <cfRule type="iconSet" priority="723">
      <iconSet iconSet="4TrafficLights">
        <cfvo type="percent" val="0"/>
        <cfvo type="num" val="0.25"/>
        <cfvo type="num" val="0.5"/>
        <cfvo type="num" val="0.75"/>
      </iconSet>
    </cfRule>
    <cfRule type="cellIs" dxfId="266" priority="724" stopIfTrue="1" operator="lessThan">
      <formula>0</formula>
    </cfRule>
  </conditionalFormatting>
  <conditionalFormatting sqref="BV260">
    <cfRule type="iconSet" priority="725">
      <iconSet iconSet="4TrafficLights">
        <cfvo type="percent" val="0"/>
        <cfvo type="num" val="0.25"/>
        <cfvo type="num" val="0.5"/>
        <cfvo type="num" val="0.75"/>
      </iconSet>
    </cfRule>
    <cfRule type="cellIs" dxfId="265" priority="726" operator="lessThan">
      <formula>0</formula>
    </cfRule>
  </conditionalFormatting>
  <conditionalFormatting sqref="BZ258:BZ260">
    <cfRule type="iconSet" priority="727">
      <iconSet iconSet="4TrafficLights">
        <cfvo type="percent" val="0"/>
        <cfvo type="num" val="0.25"/>
        <cfvo type="num" val="0.5"/>
        <cfvo type="num" val="0.75"/>
      </iconSet>
    </cfRule>
    <cfRule type="cellIs" dxfId="264" priority="728" stopIfTrue="1" operator="lessThan">
      <formula>0</formula>
    </cfRule>
  </conditionalFormatting>
  <conditionalFormatting sqref="BZ258:BZ260">
    <cfRule type="iconSet" priority="729">
      <iconSet iconSet="4TrafficLights">
        <cfvo type="percent" val="0"/>
        <cfvo type="num" val="0.25"/>
        <cfvo type="num" val="0.5"/>
        <cfvo type="num" val="0.75"/>
      </iconSet>
    </cfRule>
    <cfRule type="cellIs" dxfId="263" priority="730" operator="lessThan">
      <formula>0</formula>
    </cfRule>
  </conditionalFormatting>
  <conditionalFormatting sqref="CD260">
    <cfRule type="iconSet" priority="731">
      <iconSet iconSet="4TrafficLights">
        <cfvo type="percent" val="0"/>
        <cfvo type="num" val="0.25"/>
        <cfvo type="num" val="0.5"/>
        <cfvo type="num" val="0.75"/>
      </iconSet>
    </cfRule>
    <cfRule type="cellIs" dxfId="262" priority="732" stopIfTrue="1" operator="lessThan">
      <formula>0</formula>
    </cfRule>
  </conditionalFormatting>
  <conditionalFormatting sqref="CD260">
    <cfRule type="iconSet" priority="733">
      <iconSet iconSet="4TrafficLights">
        <cfvo type="percent" val="0"/>
        <cfvo type="num" val="0.25"/>
        <cfvo type="num" val="0.5"/>
        <cfvo type="num" val="0.75"/>
      </iconSet>
    </cfRule>
    <cfRule type="cellIs" dxfId="261" priority="734" operator="lessThan">
      <formula>0</formula>
    </cfRule>
  </conditionalFormatting>
  <conditionalFormatting sqref="CH260">
    <cfRule type="iconSet" priority="735">
      <iconSet iconSet="4TrafficLights">
        <cfvo type="percent" val="0"/>
        <cfvo type="num" val="0.25"/>
        <cfvo type="num" val="0.5"/>
        <cfvo type="num" val="0.75"/>
      </iconSet>
    </cfRule>
    <cfRule type="cellIs" dxfId="260" priority="736" stopIfTrue="1" operator="lessThan">
      <formula>0</formula>
    </cfRule>
  </conditionalFormatting>
  <conditionalFormatting sqref="CH260">
    <cfRule type="iconSet" priority="737">
      <iconSet iconSet="4TrafficLights">
        <cfvo type="percent" val="0"/>
        <cfvo type="num" val="0.25"/>
        <cfvo type="num" val="0.5"/>
        <cfvo type="num" val="0.75"/>
      </iconSet>
    </cfRule>
    <cfRule type="cellIs" dxfId="259" priority="738" operator="lessThan">
      <formula>0</formula>
    </cfRule>
  </conditionalFormatting>
  <conditionalFormatting sqref="CL260">
    <cfRule type="iconSet" priority="739">
      <iconSet iconSet="4TrafficLights">
        <cfvo type="percent" val="0"/>
        <cfvo type="num" val="0.25"/>
        <cfvo type="num" val="0.5"/>
        <cfvo type="num" val="0.75"/>
      </iconSet>
    </cfRule>
    <cfRule type="cellIs" dxfId="258" priority="740" operator="lessThan">
      <formula>0</formula>
    </cfRule>
  </conditionalFormatting>
  <conditionalFormatting sqref="CL260">
    <cfRule type="iconSet" priority="741">
      <iconSet iconSet="4TrafficLights">
        <cfvo type="percent" val="0"/>
        <cfvo type="num" val="0.25"/>
        <cfvo type="num" val="0.5"/>
        <cfvo type="num" val="0.75"/>
      </iconSet>
    </cfRule>
    <cfRule type="cellIs" dxfId="257" priority="742" stopIfTrue="1" operator="lessThan">
      <formula>0</formula>
    </cfRule>
  </conditionalFormatting>
  <conditionalFormatting sqref="BV266">
    <cfRule type="iconSet" priority="397">
      <iconSet iconSet="4TrafficLights">
        <cfvo type="percent" val="0"/>
        <cfvo type="num" val="0.25"/>
        <cfvo type="num" val="0.5"/>
        <cfvo type="num" val="0.75"/>
      </iconSet>
    </cfRule>
    <cfRule type="cellIs" dxfId="256" priority="398" operator="lessThan">
      <formula>0</formula>
    </cfRule>
  </conditionalFormatting>
  <conditionalFormatting sqref="BV267">
    <cfRule type="iconSet" priority="395">
      <iconSet iconSet="4TrafficLights">
        <cfvo type="percent" val="0"/>
        <cfvo type="num" val="0.25"/>
        <cfvo type="num" val="0.5"/>
        <cfvo type="num" val="0.75"/>
      </iconSet>
    </cfRule>
    <cfRule type="cellIs" dxfId="255" priority="396" operator="lessThan">
      <formula>0</formula>
    </cfRule>
  </conditionalFormatting>
  <conditionalFormatting sqref="BV268">
    <cfRule type="iconSet" priority="393">
      <iconSet iconSet="4TrafficLights">
        <cfvo type="percent" val="0"/>
        <cfvo type="num" val="0.25"/>
        <cfvo type="num" val="0.5"/>
        <cfvo type="num" val="0.75"/>
      </iconSet>
    </cfRule>
    <cfRule type="cellIs" dxfId="254" priority="394" operator="lessThan">
      <formula>0</formula>
    </cfRule>
  </conditionalFormatting>
  <conditionalFormatting sqref="BV269">
    <cfRule type="iconSet" priority="391">
      <iconSet iconSet="4TrafficLights">
        <cfvo type="percent" val="0"/>
        <cfvo type="num" val="0.25"/>
        <cfvo type="num" val="0.5"/>
        <cfvo type="num" val="0.75"/>
      </iconSet>
    </cfRule>
    <cfRule type="cellIs" dxfId="253" priority="392" operator="lessThan">
      <formula>0</formula>
    </cfRule>
  </conditionalFormatting>
  <conditionalFormatting sqref="BZ266">
    <cfRule type="iconSet" priority="389">
      <iconSet iconSet="4TrafficLights">
        <cfvo type="percent" val="0"/>
        <cfvo type="num" val="0.25"/>
        <cfvo type="num" val="0.5"/>
        <cfvo type="num" val="0.75"/>
      </iconSet>
    </cfRule>
    <cfRule type="cellIs" dxfId="252" priority="390" stopIfTrue="1" operator="lessThan">
      <formula>0</formula>
    </cfRule>
  </conditionalFormatting>
  <conditionalFormatting sqref="BZ267">
    <cfRule type="iconSet" priority="387">
      <iconSet iconSet="4TrafficLights">
        <cfvo type="percent" val="0"/>
        <cfvo type="num" val="0.25"/>
        <cfvo type="num" val="0.5"/>
        <cfvo type="num" val="0.75"/>
      </iconSet>
    </cfRule>
    <cfRule type="cellIs" dxfId="251" priority="388" stopIfTrue="1" operator="lessThan">
      <formula>0</formula>
    </cfRule>
  </conditionalFormatting>
  <conditionalFormatting sqref="BZ268">
    <cfRule type="iconSet" priority="385">
      <iconSet iconSet="4TrafficLights">
        <cfvo type="percent" val="0"/>
        <cfvo type="num" val="0.25"/>
        <cfvo type="num" val="0.5"/>
        <cfvo type="num" val="0.75"/>
      </iconSet>
    </cfRule>
    <cfRule type="cellIs" dxfId="250" priority="386" stopIfTrue="1" operator="lessThan">
      <formula>0</formula>
    </cfRule>
  </conditionalFormatting>
  <conditionalFormatting sqref="BZ269">
    <cfRule type="iconSet" priority="383">
      <iconSet iconSet="4TrafficLights">
        <cfvo type="percent" val="0"/>
        <cfvo type="num" val="0.25"/>
        <cfvo type="num" val="0.5"/>
        <cfvo type="num" val="0.75"/>
      </iconSet>
    </cfRule>
    <cfRule type="cellIs" dxfId="249" priority="384" stopIfTrue="1" operator="lessThan">
      <formula>0</formula>
    </cfRule>
  </conditionalFormatting>
  <conditionalFormatting sqref="CD266">
    <cfRule type="iconSet" priority="381">
      <iconSet iconSet="4TrafficLights">
        <cfvo type="percent" val="0"/>
        <cfvo type="num" val="0.25"/>
        <cfvo type="num" val="0.5"/>
        <cfvo type="num" val="0.75"/>
      </iconSet>
    </cfRule>
    <cfRule type="cellIs" dxfId="248" priority="382" operator="lessThan">
      <formula>0</formula>
    </cfRule>
  </conditionalFormatting>
  <conditionalFormatting sqref="CD267">
    <cfRule type="iconSet" priority="379">
      <iconSet iconSet="4TrafficLights">
        <cfvo type="percent" val="0"/>
        <cfvo type="num" val="0.25"/>
        <cfvo type="num" val="0.5"/>
        <cfvo type="num" val="0.75"/>
      </iconSet>
    </cfRule>
    <cfRule type="cellIs" dxfId="247" priority="380" operator="lessThan">
      <formula>0</formula>
    </cfRule>
  </conditionalFormatting>
  <conditionalFormatting sqref="CD268">
    <cfRule type="iconSet" priority="377">
      <iconSet iconSet="4TrafficLights">
        <cfvo type="percent" val="0"/>
        <cfvo type="num" val="0.25"/>
        <cfvo type="num" val="0.5"/>
        <cfvo type="num" val="0.75"/>
      </iconSet>
    </cfRule>
    <cfRule type="cellIs" dxfId="246" priority="378" operator="lessThan">
      <formula>0</formula>
    </cfRule>
  </conditionalFormatting>
  <conditionalFormatting sqref="CD269">
    <cfRule type="iconSet" priority="375">
      <iconSet iconSet="4TrafficLights">
        <cfvo type="percent" val="0"/>
        <cfvo type="num" val="0.25"/>
        <cfvo type="num" val="0.5"/>
        <cfvo type="num" val="0.75"/>
      </iconSet>
    </cfRule>
    <cfRule type="cellIs" dxfId="245" priority="376" operator="lessThan">
      <formula>0</formula>
    </cfRule>
  </conditionalFormatting>
  <conditionalFormatting sqref="CD270">
    <cfRule type="iconSet" priority="363">
      <iconSet iconSet="4TrafficLights">
        <cfvo type="percent" val="0"/>
        <cfvo type="num" val="0.25"/>
        <cfvo type="num" val="0.5"/>
        <cfvo type="num" val="0.75"/>
      </iconSet>
    </cfRule>
    <cfRule type="cellIs" dxfId="244" priority="364" operator="lessThan">
      <formula>0</formula>
    </cfRule>
  </conditionalFormatting>
  <conditionalFormatting sqref="CH270">
    <cfRule type="iconSet" priority="365">
      <iconSet iconSet="4TrafficLights">
        <cfvo type="percent" val="0"/>
        <cfvo type="num" val="0.25"/>
        <cfvo type="num" val="0.5"/>
        <cfvo type="num" val="0.75"/>
      </iconSet>
    </cfRule>
    <cfRule type="cellIs" dxfId="243" priority="366" operator="lessThan">
      <formula>0</formula>
    </cfRule>
  </conditionalFormatting>
  <conditionalFormatting sqref="BV270">
    <cfRule type="iconSet" priority="367">
      <iconSet iconSet="4TrafficLights">
        <cfvo type="percent" val="0"/>
        <cfvo type="num" val="0.25"/>
        <cfvo type="num" val="0.5"/>
        <cfvo type="num" val="0.75"/>
      </iconSet>
    </cfRule>
    <cfRule type="cellIs" dxfId="242" priority="368" operator="lessThan">
      <formula>0</formula>
    </cfRule>
  </conditionalFormatting>
  <conditionalFormatting sqref="BZ270">
    <cfRule type="iconSet" priority="369">
      <iconSet iconSet="4TrafficLights">
        <cfvo type="percent" val="0"/>
        <cfvo type="num" val="0.25"/>
        <cfvo type="num" val="0.5"/>
        <cfvo type="num" val="0.75"/>
      </iconSet>
    </cfRule>
    <cfRule type="cellIs" dxfId="241" priority="370" stopIfTrue="1" operator="lessThan">
      <formula>0</formula>
    </cfRule>
  </conditionalFormatting>
  <conditionalFormatting sqref="CL270">
    <cfRule type="iconSet" priority="371">
      <iconSet iconSet="4TrafficLights">
        <cfvo type="percent" val="0"/>
        <cfvo type="num" val="0.25"/>
        <cfvo type="num" val="0.5"/>
        <cfvo type="num" val="0.75"/>
      </iconSet>
    </cfRule>
    <cfRule type="cellIs" dxfId="240" priority="372" operator="lessThan">
      <formula>0</formula>
    </cfRule>
  </conditionalFormatting>
  <conditionalFormatting sqref="CM270">
    <cfRule type="iconSet" priority="373">
      <iconSet iconSet="4TrafficLights">
        <cfvo type="percent" val="0"/>
        <cfvo type="num" val="0.25"/>
        <cfvo type="num" val="0.5"/>
        <cfvo type="num" val="0.75"/>
      </iconSet>
    </cfRule>
    <cfRule type="cellIs" dxfId="239" priority="374" operator="lessThan">
      <formula>0</formula>
    </cfRule>
  </conditionalFormatting>
  <conditionalFormatting sqref="CD271">
    <cfRule type="iconSet" priority="353">
      <iconSet iconSet="4TrafficLights">
        <cfvo type="percent" val="0"/>
        <cfvo type="num" val="0.25"/>
        <cfvo type="num" val="0.5"/>
        <cfvo type="num" val="0.75"/>
      </iconSet>
    </cfRule>
    <cfRule type="cellIs" dxfId="238" priority="354" operator="lessThan">
      <formula>0</formula>
    </cfRule>
  </conditionalFormatting>
  <conditionalFormatting sqref="CH271">
    <cfRule type="iconSet" priority="355">
      <iconSet iconSet="4TrafficLights">
        <cfvo type="percent" val="0"/>
        <cfvo type="num" val="0.25"/>
        <cfvo type="num" val="0.5"/>
        <cfvo type="num" val="0.75"/>
      </iconSet>
    </cfRule>
    <cfRule type="cellIs" dxfId="237" priority="356" operator="lessThan">
      <formula>0</formula>
    </cfRule>
  </conditionalFormatting>
  <conditionalFormatting sqref="BV271">
    <cfRule type="iconSet" priority="357">
      <iconSet iconSet="4TrafficLights">
        <cfvo type="percent" val="0"/>
        <cfvo type="num" val="0.25"/>
        <cfvo type="num" val="0.5"/>
        <cfvo type="num" val="0.75"/>
      </iconSet>
    </cfRule>
    <cfRule type="cellIs" dxfId="236" priority="358" operator="lessThan">
      <formula>0</formula>
    </cfRule>
  </conditionalFormatting>
  <conditionalFormatting sqref="CL271">
    <cfRule type="iconSet" priority="359">
      <iconSet iconSet="4TrafficLights">
        <cfvo type="percent" val="0"/>
        <cfvo type="num" val="0.25"/>
        <cfvo type="num" val="0.5"/>
        <cfvo type="num" val="0.75"/>
      </iconSet>
    </cfRule>
    <cfRule type="cellIs" dxfId="235" priority="360" operator="lessThan">
      <formula>0</formula>
    </cfRule>
  </conditionalFormatting>
  <conditionalFormatting sqref="CM271">
    <cfRule type="iconSet" priority="361">
      <iconSet iconSet="4TrafficLights">
        <cfvo type="percent" val="0"/>
        <cfvo type="num" val="0.25"/>
        <cfvo type="num" val="0.5"/>
        <cfvo type="num" val="0.75"/>
      </iconSet>
    </cfRule>
    <cfRule type="cellIs" dxfId="234" priority="362" operator="lessThan">
      <formula>0</formula>
    </cfRule>
  </conditionalFormatting>
  <conditionalFormatting sqref="CD272">
    <cfRule type="iconSet" priority="341">
      <iconSet iconSet="4TrafficLights">
        <cfvo type="percent" val="0"/>
        <cfvo type="num" val="0.25"/>
        <cfvo type="num" val="0.5"/>
        <cfvo type="num" val="0.75"/>
      </iconSet>
    </cfRule>
    <cfRule type="cellIs" dxfId="233" priority="342" operator="lessThan">
      <formula>0</formula>
    </cfRule>
  </conditionalFormatting>
  <conditionalFormatting sqref="CH272">
    <cfRule type="iconSet" priority="343">
      <iconSet iconSet="4TrafficLights">
        <cfvo type="percent" val="0"/>
        <cfvo type="num" val="0.25"/>
        <cfvo type="num" val="0.5"/>
        <cfvo type="num" val="0.75"/>
      </iconSet>
    </cfRule>
    <cfRule type="cellIs" dxfId="232" priority="344" operator="lessThan">
      <formula>0</formula>
    </cfRule>
  </conditionalFormatting>
  <conditionalFormatting sqref="BV272">
    <cfRule type="iconSet" priority="345">
      <iconSet iconSet="4TrafficLights">
        <cfvo type="percent" val="0"/>
        <cfvo type="num" val="0.25"/>
        <cfvo type="num" val="0.5"/>
        <cfvo type="num" val="0.75"/>
      </iconSet>
    </cfRule>
    <cfRule type="cellIs" dxfId="231" priority="346" operator="lessThan">
      <formula>0</formula>
    </cfRule>
  </conditionalFormatting>
  <conditionalFormatting sqref="BZ272">
    <cfRule type="iconSet" priority="347">
      <iconSet iconSet="4TrafficLights">
        <cfvo type="percent" val="0"/>
        <cfvo type="num" val="0.25"/>
        <cfvo type="num" val="0.5"/>
        <cfvo type="num" val="0.75"/>
      </iconSet>
    </cfRule>
    <cfRule type="cellIs" dxfId="230" priority="348" stopIfTrue="1" operator="lessThan">
      <formula>0</formula>
    </cfRule>
  </conditionalFormatting>
  <conditionalFormatting sqref="CL272">
    <cfRule type="iconSet" priority="349">
      <iconSet iconSet="4TrafficLights">
        <cfvo type="percent" val="0"/>
        <cfvo type="num" val="0.25"/>
        <cfvo type="num" val="0.5"/>
        <cfvo type="num" val="0.75"/>
      </iconSet>
    </cfRule>
    <cfRule type="cellIs" dxfId="229" priority="350" operator="lessThan">
      <formula>0</formula>
    </cfRule>
  </conditionalFormatting>
  <conditionalFormatting sqref="CM272">
    <cfRule type="iconSet" priority="351">
      <iconSet iconSet="4TrafficLights">
        <cfvo type="percent" val="0"/>
        <cfvo type="num" val="0.25"/>
        <cfvo type="num" val="0.5"/>
        <cfvo type="num" val="0.75"/>
      </iconSet>
    </cfRule>
    <cfRule type="cellIs" dxfId="228" priority="352" operator="lessThan">
      <formula>0</formula>
    </cfRule>
  </conditionalFormatting>
  <conditionalFormatting sqref="CD273">
    <cfRule type="iconSet" priority="329">
      <iconSet iconSet="4TrafficLights">
        <cfvo type="percent" val="0"/>
        <cfvo type="num" val="0.25"/>
        <cfvo type="num" val="0.5"/>
        <cfvo type="num" val="0.75"/>
      </iconSet>
    </cfRule>
    <cfRule type="cellIs" dxfId="227" priority="330" operator="lessThan">
      <formula>0</formula>
    </cfRule>
  </conditionalFormatting>
  <conditionalFormatting sqref="CH273">
    <cfRule type="iconSet" priority="331">
      <iconSet iconSet="4TrafficLights">
        <cfvo type="percent" val="0"/>
        <cfvo type="num" val="0.25"/>
        <cfvo type="num" val="0.5"/>
        <cfvo type="num" val="0.75"/>
      </iconSet>
    </cfRule>
    <cfRule type="cellIs" dxfId="226" priority="332" operator="lessThan">
      <formula>0</formula>
    </cfRule>
  </conditionalFormatting>
  <conditionalFormatting sqref="BV273">
    <cfRule type="iconSet" priority="333">
      <iconSet iconSet="4TrafficLights">
        <cfvo type="percent" val="0"/>
        <cfvo type="num" val="0.25"/>
        <cfvo type="num" val="0.5"/>
        <cfvo type="num" val="0.75"/>
      </iconSet>
    </cfRule>
    <cfRule type="cellIs" dxfId="225" priority="334" operator="lessThan">
      <formula>0</formula>
    </cfRule>
  </conditionalFormatting>
  <conditionalFormatting sqref="BZ273">
    <cfRule type="iconSet" priority="335">
      <iconSet iconSet="4TrafficLights">
        <cfvo type="percent" val="0"/>
        <cfvo type="num" val="0.25"/>
        <cfvo type="num" val="0.5"/>
        <cfvo type="num" val="0.75"/>
      </iconSet>
    </cfRule>
    <cfRule type="cellIs" dxfId="224" priority="336" stopIfTrue="1" operator="lessThan">
      <formula>0</formula>
    </cfRule>
  </conditionalFormatting>
  <conditionalFormatting sqref="CL273">
    <cfRule type="iconSet" priority="337">
      <iconSet iconSet="4TrafficLights">
        <cfvo type="percent" val="0"/>
        <cfvo type="num" val="0.25"/>
        <cfvo type="num" val="0.5"/>
        <cfvo type="num" val="0.75"/>
      </iconSet>
    </cfRule>
    <cfRule type="cellIs" dxfId="223" priority="338" operator="lessThan">
      <formula>0</formula>
    </cfRule>
  </conditionalFormatting>
  <conditionalFormatting sqref="CM273">
    <cfRule type="iconSet" priority="339">
      <iconSet iconSet="4TrafficLights">
        <cfvo type="percent" val="0"/>
        <cfvo type="num" val="0.25"/>
        <cfvo type="num" val="0.5"/>
        <cfvo type="num" val="0.75"/>
      </iconSet>
    </cfRule>
    <cfRule type="cellIs" dxfId="222" priority="340" operator="lessThan">
      <formula>0</formula>
    </cfRule>
  </conditionalFormatting>
  <conditionalFormatting sqref="BZ271">
    <cfRule type="iconSet" priority="327">
      <iconSet iconSet="4TrafficLights">
        <cfvo type="percent" val="0"/>
        <cfvo type="num" val="0.25"/>
        <cfvo type="num" val="0.5"/>
        <cfvo type="num" val="0.75"/>
      </iconSet>
    </cfRule>
    <cfRule type="cellIs" dxfId="221" priority="328" stopIfTrue="1" operator="lessThan">
      <formula>0</formula>
    </cfRule>
  </conditionalFormatting>
  <conditionalFormatting sqref="CD277">
    <cfRule type="iconSet" priority="315">
      <iconSet iconSet="4TrafficLights">
        <cfvo type="percent" val="0"/>
        <cfvo type="num" val="0.25"/>
        <cfvo type="num" val="0.5"/>
        <cfvo type="num" val="0.75"/>
      </iconSet>
    </cfRule>
    <cfRule type="cellIs" dxfId="220" priority="316" operator="lessThan">
      <formula>0</formula>
    </cfRule>
  </conditionalFormatting>
  <conditionalFormatting sqref="CH277">
    <cfRule type="iconSet" priority="317">
      <iconSet iconSet="4TrafficLights">
        <cfvo type="percent" val="0"/>
        <cfvo type="num" val="0.25"/>
        <cfvo type="num" val="0.5"/>
        <cfvo type="num" val="0.75"/>
      </iconSet>
    </cfRule>
    <cfRule type="cellIs" dxfId="219" priority="318" operator="lessThan">
      <formula>0</formula>
    </cfRule>
  </conditionalFormatting>
  <conditionalFormatting sqref="BV277">
    <cfRule type="iconSet" priority="319">
      <iconSet iconSet="4TrafficLights">
        <cfvo type="percent" val="0"/>
        <cfvo type="num" val="0.25"/>
        <cfvo type="num" val="0.5"/>
        <cfvo type="num" val="0.75"/>
      </iconSet>
    </cfRule>
    <cfRule type="cellIs" dxfId="218" priority="320" operator="lessThan">
      <formula>0</formula>
    </cfRule>
  </conditionalFormatting>
  <conditionalFormatting sqref="BZ277">
    <cfRule type="iconSet" priority="321">
      <iconSet iconSet="4TrafficLights">
        <cfvo type="percent" val="0"/>
        <cfvo type="num" val="0.25"/>
        <cfvo type="num" val="0.5"/>
        <cfvo type="num" val="0.75"/>
      </iconSet>
    </cfRule>
    <cfRule type="cellIs" dxfId="217" priority="322" stopIfTrue="1" operator="lessThan">
      <formula>0</formula>
    </cfRule>
  </conditionalFormatting>
  <conditionalFormatting sqref="CL277">
    <cfRule type="iconSet" priority="323">
      <iconSet iconSet="4TrafficLights">
        <cfvo type="percent" val="0"/>
        <cfvo type="num" val="0.25"/>
        <cfvo type="num" val="0.5"/>
        <cfvo type="num" val="0.75"/>
      </iconSet>
    </cfRule>
    <cfRule type="cellIs" dxfId="216" priority="324" operator="lessThan">
      <formula>0</formula>
    </cfRule>
  </conditionalFormatting>
  <conditionalFormatting sqref="CM277">
    <cfRule type="iconSet" priority="325">
      <iconSet iconSet="4TrafficLights">
        <cfvo type="percent" val="0"/>
        <cfvo type="num" val="0.25"/>
        <cfvo type="num" val="0.5"/>
        <cfvo type="num" val="0.75"/>
      </iconSet>
    </cfRule>
    <cfRule type="cellIs" dxfId="215" priority="326" operator="lessThan">
      <formula>0</formula>
    </cfRule>
  </conditionalFormatting>
  <conditionalFormatting sqref="CD274">
    <cfRule type="iconSet" priority="303">
      <iconSet iconSet="4TrafficLights">
        <cfvo type="percent" val="0"/>
        <cfvo type="num" val="0.25"/>
        <cfvo type="num" val="0.5"/>
        <cfvo type="num" val="0.75"/>
      </iconSet>
    </cfRule>
    <cfRule type="cellIs" dxfId="214" priority="304" operator="lessThan">
      <formula>0</formula>
    </cfRule>
  </conditionalFormatting>
  <conditionalFormatting sqref="CH274">
    <cfRule type="iconSet" priority="305">
      <iconSet iconSet="4TrafficLights">
        <cfvo type="percent" val="0"/>
        <cfvo type="num" val="0.25"/>
        <cfvo type="num" val="0.5"/>
        <cfvo type="num" val="0.75"/>
      </iconSet>
    </cfRule>
    <cfRule type="cellIs" dxfId="213" priority="306" operator="lessThan">
      <formula>0</formula>
    </cfRule>
  </conditionalFormatting>
  <conditionalFormatting sqref="BV274">
    <cfRule type="iconSet" priority="307">
      <iconSet iconSet="4TrafficLights">
        <cfvo type="percent" val="0"/>
        <cfvo type="num" val="0.25"/>
        <cfvo type="num" val="0.5"/>
        <cfvo type="num" val="0.75"/>
      </iconSet>
    </cfRule>
    <cfRule type="cellIs" dxfId="212" priority="308" operator="lessThan">
      <formula>0</formula>
    </cfRule>
  </conditionalFormatting>
  <conditionalFormatting sqref="BZ274">
    <cfRule type="iconSet" priority="309">
      <iconSet iconSet="4TrafficLights">
        <cfvo type="percent" val="0"/>
        <cfvo type="num" val="0.25"/>
        <cfvo type="num" val="0.5"/>
        <cfvo type="num" val="0.75"/>
      </iconSet>
    </cfRule>
    <cfRule type="cellIs" dxfId="211" priority="310" stopIfTrue="1" operator="lessThan">
      <formula>0</formula>
    </cfRule>
  </conditionalFormatting>
  <conditionalFormatting sqref="CL274">
    <cfRule type="iconSet" priority="311">
      <iconSet iconSet="4TrafficLights">
        <cfvo type="percent" val="0"/>
        <cfvo type="num" val="0.25"/>
        <cfvo type="num" val="0.5"/>
        <cfvo type="num" val="0.75"/>
      </iconSet>
    </cfRule>
    <cfRule type="cellIs" dxfId="210" priority="312" operator="lessThan">
      <formula>0</formula>
    </cfRule>
  </conditionalFormatting>
  <conditionalFormatting sqref="CM274">
    <cfRule type="iconSet" priority="313">
      <iconSet iconSet="4TrafficLights">
        <cfvo type="percent" val="0"/>
        <cfvo type="num" val="0.25"/>
        <cfvo type="num" val="0.5"/>
        <cfvo type="num" val="0.75"/>
      </iconSet>
    </cfRule>
    <cfRule type="cellIs" dxfId="209" priority="314" operator="lessThan">
      <formula>0</formula>
    </cfRule>
  </conditionalFormatting>
  <conditionalFormatting sqref="CD275:CD276">
    <cfRule type="iconSet" priority="293">
      <iconSet iconSet="4TrafficLights">
        <cfvo type="percent" val="0"/>
        <cfvo type="num" val="0.25"/>
        <cfvo type="num" val="0.5"/>
        <cfvo type="num" val="0.75"/>
      </iconSet>
    </cfRule>
    <cfRule type="cellIs" dxfId="208" priority="294" operator="lessThan">
      <formula>0</formula>
    </cfRule>
  </conditionalFormatting>
  <conditionalFormatting sqref="CH275">
    <cfRule type="iconSet" priority="291">
      <iconSet iconSet="4TrafficLights">
        <cfvo type="percent" val="0"/>
        <cfvo type="num" val="0.25"/>
        <cfvo type="num" val="0.5"/>
        <cfvo type="num" val="0.75"/>
      </iconSet>
    </cfRule>
    <cfRule type="cellIs" dxfId="207" priority="292" operator="lessThan">
      <formula>0</formula>
    </cfRule>
  </conditionalFormatting>
  <conditionalFormatting sqref="BV275:BV276">
    <cfRule type="iconSet" priority="295">
      <iconSet iconSet="4TrafficLights">
        <cfvo type="percent" val="0"/>
        <cfvo type="num" val="0.25"/>
        <cfvo type="num" val="0.5"/>
        <cfvo type="num" val="0.75"/>
      </iconSet>
    </cfRule>
    <cfRule type="cellIs" dxfId="206" priority="296" operator="lessThan">
      <formula>0</formula>
    </cfRule>
  </conditionalFormatting>
  <conditionalFormatting sqref="BZ275:BZ276">
    <cfRule type="iconSet" priority="297">
      <iconSet iconSet="4TrafficLights">
        <cfvo type="percent" val="0"/>
        <cfvo type="num" val="0.25"/>
        <cfvo type="num" val="0.5"/>
        <cfvo type="num" val="0.75"/>
      </iconSet>
    </cfRule>
    <cfRule type="cellIs" dxfId="205" priority="298" stopIfTrue="1" operator="lessThan">
      <formula>0</formula>
    </cfRule>
  </conditionalFormatting>
  <conditionalFormatting sqref="CL275">
    <cfRule type="iconSet" priority="299">
      <iconSet iconSet="4TrafficLights">
        <cfvo type="percent" val="0"/>
        <cfvo type="num" val="0.25"/>
        <cfvo type="num" val="0.5"/>
        <cfvo type="num" val="0.75"/>
      </iconSet>
    </cfRule>
    <cfRule type="cellIs" dxfId="204" priority="300" operator="lessThan">
      <formula>0</formula>
    </cfRule>
  </conditionalFormatting>
  <conditionalFormatting sqref="CH276">
    <cfRule type="iconSet" priority="289">
      <iconSet iconSet="4TrafficLights">
        <cfvo type="percent" val="0"/>
        <cfvo type="num" val="0.25"/>
        <cfvo type="num" val="0.5"/>
        <cfvo type="num" val="0.75"/>
      </iconSet>
    </cfRule>
    <cfRule type="cellIs" dxfId="203" priority="290" operator="lessThan">
      <formula>0</formula>
    </cfRule>
  </conditionalFormatting>
  <conditionalFormatting sqref="CL276">
    <cfRule type="iconSet" priority="287">
      <iconSet iconSet="4TrafficLights">
        <cfvo type="percent" val="0"/>
        <cfvo type="num" val="0.25"/>
        <cfvo type="num" val="0.5"/>
        <cfvo type="num" val="0.75"/>
      </iconSet>
    </cfRule>
    <cfRule type="cellIs" dxfId="202" priority="288" operator="lessThan">
      <formula>0</formula>
    </cfRule>
  </conditionalFormatting>
  <conditionalFormatting sqref="CM275:CM276">
    <cfRule type="iconSet" priority="301">
      <iconSet iconSet="4TrafficLights">
        <cfvo type="percent" val="0"/>
        <cfvo type="num" val="0.25"/>
        <cfvo type="num" val="0.5"/>
        <cfvo type="num" val="0.75"/>
      </iconSet>
    </cfRule>
    <cfRule type="cellIs" dxfId="201" priority="302" operator="lessThan">
      <formula>0</formula>
    </cfRule>
  </conditionalFormatting>
  <conditionalFormatting sqref="CD278">
    <cfRule type="iconSet" priority="271">
      <iconSet iconSet="4TrafficLights">
        <cfvo type="percent" val="0"/>
        <cfvo type="num" val="0.25"/>
        <cfvo type="num" val="0.5"/>
        <cfvo type="num" val="0.75"/>
      </iconSet>
    </cfRule>
    <cfRule type="cellIs" dxfId="200" priority="272" operator="lessThan">
      <formula>0</formula>
    </cfRule>
  </conditionalFormatting>
  <conditionalFormatting sqref="CH278">
    <cfRule type="iconSet" priority="269">
      <iconSet iconSet="4TrafficLights">
        <cfvo type="percent" val="0"/>
        <cfvo type="num" val="0.25"/>
        <cfvo type="num" val="0.5"/>
        <cfvo type="num" val="0.75"/>
      </iconSet>
    </cfRule>
    <cfRule type="cellIs" dxfId="199" priority="270" operator="lessThan">
      <formula>0</formula>
    </cfRule>
  </conditionalFormatting>
  <conditionalFormatting sqref="BV278">
    <cfRule type="iconSet" priority="273">
      <iconSet iconSet="4TrafficLights">
        <cfvo type="percent" val="0"/>
        <cfvo type="num" val="0.25"/>
        <cfvo type="num" val="0.5"/>
        <cfvo type="num" val="0.75"/>
      </iconSet>
    </cfRule>
    <cfRule type="cellIs" dxfId="198" priority="274" operator="lessThan">
      <formula>0</formula>
    </cfRule>
  </conditionalFormatting>
  <conditionalFormatting sqref="BZ278">
    <cfRule type="iconSet" priority="275">
      <iconSet iconSet="4TrafficLights">
        <cfvo type="percent" val="0"/>
        <cfvo type="num" val="0.25"/>
        <cfvo type="num" val="0.5"/>
        <cfvo type="num" val="0.75"/>
      </iconSet>
    </cfRule>
    <cfRule type="cellIs" dxfId="197" priority="276" stopIfTrue="1" operator="lessThan">
      <formula>0</formula>
    </cfRule>
  </conditionalFormatting>
  <conditionalFormatting sqref="CL278">
    <cfRule type="iconSet" priority="277">
      <iconSet iconSet="4TrafficLights">
        <cfvo type="percent" val="0"/>
        <cfvo type="num" val="0.25"/>
        <cfvo type="num" val="0.5"/>
        <cfvo type="num" val="0.75"/>
      </iconSet>
    </cfRule>
    <cfRule type="cellIs" dxfId="196" priority="278" operator="lessThan">
      <formula>0</formula>
    </cfRule>
  </conditionalFormatting>
  <conditionalFormatting sqref="BV279">
    <cfRule type="iconSet" priority="265">
      <iconSet iconSet="4TrafficLights">
        <cfvo type="percent" val="0"/>
        <cfvo type="num" val="0.25"/>
        <cfvo type="num" val="0.5"/>
        <cfvo type="num" val="0.75"/>
      </iconSet>
    </cfRule>
    <cfRule type="cellIs" dxfId="195" priority="266" operator="lessThan">
      <formula>0</formula>
    </cfRule>
  </conditionalFormatting>
  <conditionalFormatting sqref="BZ279">
    <cfRule type="iconSet" priority="267">
      <iconSet iconSet="4TrafficLights">
        <cfvo type="percent" val="0"/>
        <cfvo type="num" val="0.25"/>
        <cfvo type="num" val="0.5"/>
        <cfvo type="num" val="0.75"/>
      </iconSet>
    </cfRule>
    <cfRule type="cellIs" dxfId="194" priority="268" stopIfTrue="1" operator="lessThan">
      <formula>0</formula>
    </cfRule>
  </conditionalFormatting>
  <conditionalFormatting sqref="BV280">
    <cfRule type="iconSet" priority="261">
      <iconSet iconSet="4TrafficLights">
        <cfvo type="percent" val="0"/>
        <cfvo type="num" val="0.25"/>
        <cfvo type="num" val="0.5"/>
        <cfvo type="num" val="0.75"/>
      </iconSet>
    </cfRule>
    <cfRule type="cellIs" dxfId="193" priority="262" operator="lessThan">
      <formula>0</formula>
    </cfRule>
  </conditionalFormatting>
  <conditionalFormatting sqref="BZ280">
    <cfRule type="iconSet" priority="263">
      <iconSet iconSet="4TrafficLights">
        <cfvo type="percent" val="0"/>
        <cfvo type="num" val="0.25"/>
        <cfvo type="num" val="0.5"/>
        <cfvo type="num" val="0.75"/>
      </iconSet>
    </cfRule>
    <cfRule type="cellIs" dxfId="192" priority="264" stopIfTrue="1" operator="lessThan">
      <formula>0</formula>
    </cfRule>
  </conditionalFormatting>
  <conditionalFormatting sqref="BV281">
    <cfRule type="iconSet" priority="257">
      <iconSet iconSet="4TrafficLights">
        <cfvo type="percent" val="0"/>
        <cfvo type="num" val="0.25"/>
        <cfvo type="num" val="0.5"/>
        <cfvo type="num" val="0.75"/>
      </iconSet>
    </cfRule>
    <cfRule type="cellIs" dxfId="191" priority="258" operator="lessThan">
      <formula>0</formula>
    </cfRule>
  </conditionalFormatting>
  <conditionalFormatting sqref="BZ281">
    <cfRule type="iconSet" priority="259">
      <iconSet iconSet="4TrafficLights">
        <cfvo type="percent" val="0"/>
        <cfvo type="num" val="0.25"/>
        <cfvo type="num" val="0.5"/>
        <cfvo type="num" val="0.75"/>
      </iconSet>
    </cfRule>
    <cfRule type="cellIs" dxfId="190" priority="260" stopIfTrue="1" operator="lessThan">
      <formula>0</formula>
    </cfRule>
  </conditionalFormatting>
  <conditionalFormatting sqref="CM278:CN278">
    <cfRule type="iconSet" priority="279">
      <iconSet iconSet="4TrafficLights">
        <cfvo type="percent" val="0"/>
        <cfvo type="num" val="0.25"/>
        <cfvo type="num" val="0.5"/>
        <cfvo type="num" val="0.75"/>
      </iconSet>
    </cfRule>
    <cfRule type="cellIs" dxfId="189" priority="280" operator="lessThan">
      <formula>0</formula>
    </cfRule>
  </conditionalFormatting>
  <conditionalFormatting sqref="CM279:CN279">
    <cfRule type="iconSet" priority="281">
      <iconSet iconSet="4TrafficLights">
        <cfvo type="percent" val="0"/>
        <cfvo type="num" val="0.25"/>
        <cfvo type="num" val="0.5"/>
        <cfvo type="num" val="0.75"/>
      </iconSet>
    </cfRule>
    <cfRule type="cellIs" dxfId="188" priority="282" operator="lessThan">
      <formula>0</formula>
    </cfRule>
  </conditionalFormatting>
  <conditionalFormatting sqref="CM280:CN280">
    <cfRule type="iconSet" priority="283">
      <iconSet iconSet="4TrafficLights">
        <cfvo type="percent" val="0"/>
        <cfvo type="num" val="0.25"/>
        <cfvo type="num" val="0.5"/>
        <cfvo type="num" val="0.75"/>
      </iconSet>
    </cfRule>
    <cfRule type="cellIs" dxfId="187" priority="284" operator="lessThan">
      <formula>0</formula>
    </cfRule>
  </conditionalFormatting>
  <conditionalFormatting sqref="CM281:CN281">
    <cfRule type="iconSet" priority="285">
      <iconSet iconSet="4TrafficLights">
        <cfvo type="percent" val="0"/>
        <cfvo type="num" val="0.25"/>
        <cfvo type="num" val="0.5"/>
        <cfvo type="num" val="0.75"/>
      </iconSet>
    </cfRule>
    <cfRule type="cellIs" dxfId="186" priority="286" operator="lessThan">
      <formula>0</formula>
    </cfRule>
  </conditionalFormatting>
  <conditionalFormatting sqref="CD279">
    <cfRule type="iconSet" priority="255">
      <iconSet iconSet="4TrafficLights">
        <cfvo type="percent" val="0"/>
        <cfvo type="num" val="0.25"/>
        <cfvo type="num" val="0.5"/>
        <cfvo type="num" val="0.75"/>
      </iconSet>
    </cfRule>
    <cfRule type="cellIs" dxfId="185" priority="256" operator="lessThan">
      <formula>0</formula>
    </cfRule>
  </conditionalFormatting>
  <conditionalFormatting sqref="CD280">
    <cfRule type="iconSet" priority="253">
      <iconSet iconSet="4TrafficLights">
        <cfvo type="percent" val="0"/>
        <cfvo type="num" val="0.25"/>
        <cfvo type="num" val="0.5"/>
        <cfvo type="num" val="0.75"/>
      </iconSet>
    </cfRule>
    <cfRule type="cellIs" dxfId="184" priority="254" operator="lessThan">
      <formula>0</formula>
    </cfRule>
  </conditionalFormatting>
  <conditionalFormatting sqref="CD281">
    <cfRule type="iconSet" priority="251">
      <iconSet iconSet="4TrafficLights">
        <cfvo type="percent" val="0"/>
        <cfvo type="num" val="0.25"/>
        <cfvo type="num" val="0.5"/>
        <cfvo type="num" val="0.75"/>
      </iconSet>
    </cfRule>
    <cfRule type="cellIs" dxfId="183" priority="252" operator="lessThan">
      <formula>0</formula>
    </cfRule>
  </conditionalFormatting>
  <conditionalFormatting sqref="CH279">
    <cfRule type="iconSet" priority="249">
      <iconSet iconSet="4TrafficLights">
        <cfvo type="percent" val="0"/>
        <cfvo type="num" val="0.25"/>
        <cfvo type="num" val="0.5"/>
        <cfvo type="num" val="0.75"/>
      </iconSet>
    </cfRule>
    <cfRule type="cellIs" dxfId="182" priority="250" operator="lessThan">
      <formula>0</formula>
    </cfRule>
  </conditionalFormatting>
  <conditionalFormatting sqref="CH280">
    <cfRule type="iconSet" priority="247">
      <iconSet iconSet="4TrafficLights">
        <cfvo type="percent" val="0"/>
        <cfvo type="num" val="0.25"/>
        <cfvo type="num" val="0.5"/>
        <cfvo type="num" val="0.75"/>
      </iconSet>
    </cfRule>
    <cfRule type="cellIs" dxfId="181" priority="248" operator="lessThan">
      <formula>0</formula>
    </cfRule>
  </conditionalFormatting>
  <conditionalFormatting sqref="CH281">
    <cfRule type="iconSet" priority="245">
      <iconSet iconSet="4TrafficLights">
        <cfvo type="percent" val="0"/>
        <cfvo type="num" val="0.25"/>
        <cfvo type="num" val="0.5"/>
        <cfvo type="num" val="0.75"/>
      </iconSet>
    </cfRule>
    <cfRule type="cellIs" dxfId="180" priority="246" operator="lessThan">
      <formula>0</formula>
    </cfRule>
  </conditionalFormatting>
  <conditionalFormatting sqref="CL279">
    <cfRule type="iconSet" priority="243">
      <iconSet iconSet="4TrafficLights">
        <cfvo type="percent" val="0"/>
        <cfvo type="num" val="0.25"/>
        <cfvo type="num" val="0.5"/>
        <cfvo type="num" val="0.75"/>
      </iconSet>
    </cfRule>
    <cfRule type="cellIs" dxfId="179" priority="244" operator="lessThan">
      <formula>0</formula>
    </cfRule>
  </conditionalFormatting>
  <conditionalFormatting sqref="CL280">
    <cfRule type="iconSet" priority="241">
      <iconSet iconSet="4TrafficLights">
        <cfvo type="percent" val="0"/>
        <cfvo type="num" val="0.25"/>
        <cfvo type="num" val="0.5"/>
        <cfvo type="num" val="0.75"/>
      </iconSet>
    </cfRule>
    <cfRule type="cellIs" dxfId="178" priority="242" operator="lessThan">
      <formula>0</formula>
    </cfRule>
  </conditionalFormatting>
  <conditionalFormatting sqref="CL281">
    <cfRule type="iconSet" priority="239">
      <iconSet iconSet="4TrafficLights">
        <cfvo type="percent" val="0"/>
        <cfvo type="num" val="0.25"/>
        <cfvo type="num" val="0.5"/>
        <cfvo type="num" val="0.75"/>
      </iconSet>
    </cfRule>
    <cfRule type="cellIs" dxfId="177" priority="240" operator="lessThan">
      <formula>0</formula>
    </cfRule>
  </conditionalFormatting>
  <conditionalFormatting sqref="CD283">
    <cfRule type="iconSet" priority="229">
      <iconSet iconSet="4TrafficLights">
        <cfvo type="percent" val="0"/>
        <cfvo type="num" val="0.25"/>
        <cfvo type="num" val="0.5"/>
        <cfvo type="num" val="0.75"/>
      </iconSet>
    </cfRule>
    <cfRule type="cellIs" dxfId="176" priority="230" operator="lessThan">
      <formula>0</formula>
    </cfRule>
  </conditionalFormatting>
  <conditionalFormatting sqref="CH283">
    <cfRule type="iconSet" priority="227">
      <iconSet iconSet="4TrafficLights">
        <cfvo type="percent" val="0"/>
        <cfvo type="num" val="0.25"/>
        <cfvo type="num" val="0.5"/>
        <cfvo type="num" val="0.75"/>
      </iconSet>
    </cfRule>
    <cfRule type="cellIs" dxfId="175" priority="228" operator="lessThan">
      <formula>0</formula>
    </cfRule>
  </conditionalFormatting>
  <conditionalFormatting sqref="BV283">
    <cfRule type="iconSet" priority="231">
      <iconSet iconSet="4TrafficLights">
        <cfvo type="percent" val="0"/>
        <cfvo type="num" val="0.25"/>
        <cfvo type="num" val="0.5"/>
        <cfvo type="num" val="0.75"/>
      </iconSet>
    </cfRule>
    <cfRule type="cellIs" dxfId="174" priority="232" operator="lessThan">
      <formula>0</formula>
    </cfRule>
  </conditionalFormatting>
  <conditionalFormatting sqref="BZ283">
    <cfRule type="iconSet" priority="233">
      <iconSet iconSet="4TrafficLights">
        <cfvo type="percent" val="0"/>
        <cfvo type="num" val="0.25"/>
        <cfvo type="num" val="0.5"/>
        <cfvo type="num" val="0.75"/>
      </iconSet>
    </cfRule>
    <cfRule type="cellIs" dxfId="173" priority="234" stopIfTrue="1" operator="lessThan">
      <formula>0</formula>
    </cfRule>
  </conditionalFormatting>
  <conditionalFormatting sqref="CL283">
    <cfRule type="iconSet" priority="235">
      <iconSet iconSet="4TrafficLights">
        <cfvo type="percent" val="0"/>
        <cfvo type="num" val="0.25"/>
        <cfvo type="num" val="0.5"/>
        <cfvo type="num" val="0.75"/>
      </iconSet>
    </cfRule>
    <cfRule type="cellIs" dxfId="172" priority="236" operator="lessThan">
      <formula>0</formula>
    </cfRule>
  </conditionalFormatting>
  <conditionalFormatting sqref="CM283">
    <cfRule type="iconSet" priority="237">
      <iconSet iconSet="4TrafficLights">
        <cfvo type="percent" val="0"/>
        <cfvo type="num" val="0.25"/>
        <cfvo type="num" val="0.5"/>
        <cfvo type="num" val="0.75"/>
      </iconSet>
    </cfRule>
    <cfRule type="cellIs" dxfId="171" priority="238" operator="lessThan">
      <formula>0</formula>
    </cfRule>
  </conditionalFormatting>
  <conditionalFormatting sqref="CD282">
    <cfRule type="iconSet" priority="215">
      <iconSet iconSet="4TrafficLights">
        <cfvo type="percent" val="0"/>
        <cfvo type="num" val="0.25"/>
        <cfvo type="num" val="0.5"/>
        <cfvo type="num" val="0.75"/>
      </iconSet>
    </cfRule>
    <cfRule type="cellIs" dxfId="170" priority="216" operator="lessThan">
      <formula>0</formula>
    </cfRule>
  </conditionalFormatting>
  <conditionalFormatting sqref="CH282">
    <cfRule type="iconSet" priority="217">
      <iconSet iconSet="4TrafficLights">
        <cfvo type="percent" val="0"/>
        <cfvo type="num" val="0.25"/>
        <cfvo type="num" val="0.5"/>
        <cfvo type="num" val="0.75"/>
      </iconSet>
    </cfRule>
    <cfRule type="cellIs" dxfId="169" priority="218" operator="lessThan">
      <formula>0</formula>
    </cfRule>
  </conditionalFormatting>
  <conditionalFormatting sqref="BV282">
    <cfRule type="iconSet" priority="219">
      <iconSet iconSet="4TrafficLights">
        <cfvo type="percent" val="0"/>
        <cfvo type="num" val="0.25"/>
        <cfvo type="num" val="0.5"/>
        <cfvo type="num" val="0.75"/>
      </iconSet>
    </cfRule>
    <cfRule type="cellIs" dxfId="168" priority="220" operator="lessThan">
      <formula>0</formula>
    </cfRule>
  </conditionalFormatting>
  <conditionalFormatting sqref="BZ282">
    <cfRule type="iconSet" priority="221">
      <iconSet iconSet="4TrafficLights">
        <cfvo type="percent" val="0"/>
        <cfvo type="num" val="0.25"/>
        <cfvo type="num" val="0.5"/>
        <cfvo type="num" val="0.75"/>
      </iconSet>
    </cfRule>
    <cfRule type="cellIs" dxfId="167" priority="222" stopIfTrue="1" operator="lessThan">
      <formula>0</formula>
    </cfRule>
  </conditionalFormatting>
  <conditionalFormatting sqref="CL282">
    <cfRule type="iconSet" priority="223">
      <iconSet iconSet="4TrafficLights">
        <cfvo type="percent" val="0"/>
        <cfvo type="num" val="0.25"/>
        <cfvo type="num" val="0.5"/>
        <cfvo type="num" val="0.75"/>
      </iconSet>
    </cfRule>
    <cfRule type="cellIs" dxfId="166" priority="224" operator="lessThan">
      <formula>0</formula>
    </cfRule>
  </conditionalFormatting>
  <conditionalFormatting sqref="CM282">
    <cfRule type="iconSet" priority="225">
      <iconSet iconSet="4TrafficLights">
        <cfvo type="percent" val="0"/>
        <cfvo type="num" val="0.25"/>
        <cfvo type="num" val="0.5"/>
        <cfvo type="num" val="0.75"/>
      </iconSet>
    </cfRule>
    <cfRule type="cellIs" dxfId="165" priority="226" operator="lessThan">
      <formula>0</formula>
    </cfRule>
  </conditionalFormatting>
  <conditionalFormatting sqref="CD284">
    <cfRule type="iconSet" priority="203">
      <iconSet iconSet="4TrafficLights">
        <cfvo type="percent" val="0"/>
        <cfvo type="num" val="0.25"/>
        <cfvo type="num" val="0.5"/>
        <cfvo type="num" val="0.75"/>
      </iconSet>
    </cfRule>
    <cfRule type="cellIs" dxfId="164" priority="204" operator="lessThan">
      <formula>0</formula>
    </cfRule>
  </conditionalFormatting>
  <conditionalFormatting sqref="CH284">
    <cfRule type="iconSet" priority="205">
      <iconSet iconSet="4TrafficLights">
        <cfvo type="percent" val="0"/>
        <cfvo type="num" val="0.25"/>
        <cfvo type="num" val="0.5"/>
        <cfvo type="num" val="0.75"/>
      </iconSet>
    </cfRule>
    <cfRule type="cellIs" dxfId="163" priority="206" operator="lessThan">
      <formula>0</formula>
    </cfRule>
  </conditionalFormatting>
  <conditionalFormatting sqref="BV284">
    <cfRule type="iconSet" priority="207">
      <iconSet iconSet="4TrafficLights">
        <cfvo type="percent" val="0"/>
        <cfvo type="num" val="0.25"/>
        <cfvo type="num" val="0.5"/>
        <cfvo type="num" val="0.75"/>
      </iconSet>
    </cfRule>
    <cfRule type="cellIs" dxfId="162" priority="208" operator="lessThan">
      <formula>0</formula>
    </cfRule>
  </conditionalFormatting>
  <conditionalFormatting sqref="BZ284">
    <cfRule type="iconSet" priority="209">
      <iconSet iconSet="4TrafficLights">
        <cfvo type="percent" val="0"/>
        <cfvo type="num" val="0.25"/>
        <cfvo type="num" val="0.5"/>
        <cfvo type="num" val="0.75"/>
      </iconSet>
    </cfRule>
    <cfRule type="cellIs" dxfId="161" priority="210" stopIfTrue="1" operator="lessThan">
      <formula>0</formula>
    </cfRule>
  </conditionalFormatting>
  <conditionalFormatting sqref="CL284">
    <cfRule type="iconSet" priority="211">
      <iconSet iconSet="4TrafficLights">
        <cfvo type="percent" val="0"/>
        <cfvo type="num" val="0.25"/>
        <cfvo type="num" val="0.5"/>
        <cfvo type="num" val="0.75"/>
      </iconSet>
    </cfRule>
    <cfRule type="cellIs" dxfId="160" priority="212" operator="lessThan">
      <formula>0</formula>
    </cfRule>
  </conditionalFormatting>
  <conditionalFormatting sqref="CM284">
    <cfRule type="iconSet" priority="213">
      <iconSet iconSet="4TrafficLights">
        <cfvo type="percent" val="0"/>
        <cfvo type="num" val="0.25"/>
        <cfvo type="num" val="0.5"/>
        <cfvo type="num" val="0.75"/>
      </iconSet>
    </cfRule>
    <cfRule type="cellIs" dxfId="159" priority="214" operator="lessThan">
      <formula>0</formula>
    </cfRule>
  </conditionalFormatting>
  <conditionalFormatting sqref="CD285 CD287:CD297 CD300:CD303">
    <cfRule type="iconSet" priority="193">
      <iconSet iconSet="4TrafficLights">
        <cfvo type="percent" val="0"/>
        <cfvo type="num" val="0.25"/>
        <cfvo type="num" val="0.5"/>
        <cfvo type="num" val="0.75"/>
      </iconSet>
    </cfRule>
    <cfRule type="cellIs" dxfId="158" priority="194" operator="lessThan">
      <formula>0</formula>
    </cfRule>
  </conditionalFormatting>
  <conditionalFormatting sqref="CH285 CH287:CH297 CH300:CH303">
    <cfRule type="iconSet" priority="191">
      <iconSet iconSet="4TrafficLights">
        <cfvo type="percent" val="0"/>
        <cfvo type="num" val="0.25"/>
        <cfvo type="num" val="0.5"/>
        <cfvo type="num" val="0.75"/>
      </iconSet>
    </cfRule>
    <cfRule type="cellIs" dxfId="157" priority="192" operator="lessThan">
      <formula>0</formula>
    </cfRule>
  </conditionalFormatting>
  <conditionalFormatting sqref="BV285 BV287:BV297 BV300:BV303">
    <cfRule type="iconSet" priority="195">
      <iconSet iconSet="4TrafficLights">
        <cfvo type="percent" val="0"/>
        <cfvo type="num" val="0.25"/>
        <cfvo type="num" val="0.5"/>
        <cfvo type="num" val="0.75"/>
      </iconSet>
    </cfRule>
    <cfRule type="cellIs" dxfId="156" priority="196" operator="lessThan">
      <formula>0</formula>
    </cfRule>
  </conditionalFormatting>
  <conditionalFormatting sqref="BZ285 BZ287:BZ297 BZ300:BZ303">
    <cfRule type="iconSet" priority="197">
      <iconSet iconSet="4TrafficLights">
        <cfvo type="percent" val="0"/>
        <cfvo type="num" val="0.25"/>
        <cfvo type="num" val="0.5"/>
        <cfvo type="num" val="0.75"/>
      </iconSet>
    </cfRule>
    <cfRule type="cellIs" dxfId="155" priority="198" stopIfTrue="1" operator="lessThan">
      <formula>0</formula>
    </cfRule>
  </conditionalFormatting>
  <conditionalFormatting sqref="CL285 CL287:CL297 CL300:CL303">
    <cfRule type="iconSet" priority="199">
      <iconSet iconSet="4TrafficLights">
        <cfvo type="percent" val="0"/>
        <cfvo type="num" val="0.25"/>
        <cfvo type="num" val="0.5"/>
        <cfvo type="num" val="0.75"/>
      </iconSet>
    </cfRule>
    <cfRule type="cellIs" dxfId="154" priority="200" operator="lessThan">
      <formula>0</formula>
    </cfRule>
  </conditionalFormatting>
  <conditionalFormatting sqref="CM285 CM287:CM297 CM300:CM303">
    <cfRule type="iconSet" priority="201">
      <iconSet iconSet="4TrafficLights">
        <cfvo type="percent" val="0"/>
        <cfvo type="num" val="0.25"/>
        <cfvo type="num" val="0.5"/>
        <cfvo type="num" val="0.75"/>
      </iconSet>
    </cfRule>
    <cfRule type="cellIs" dxfId="153" priority="202" operator="lessThan">
      <formula>0</formula>
    </cfRule>
  </conditionalFormatting>
  <conditionalFormatting sqref="CD286">
    <cfRule type="iconSet" priority="181">
      <iconSet iconSet="4TrafficLights">
        <cfvo type="percent" val="0"/>
        <cfvo type="num" val="0.25"/>
        <cfvo type="num" val="0.5"/>
        <cfvo type="num" val="0.75"/>
      </iconSet>
    </cfRule>
    <cfRule type="cellIs" dxfId="152" priority="182" operator="lessThan">
      <formula>0</formula>
    </cfRule>
  </conditionalFormatting>
  <conditionalFormatting sqref="CH286">
    <cfRule type="iconSet" priority="179">
      <iconSet iconSet="4TrafficLights">
        <cfvo type="percent" val="0"/>
        <cfvo type="num" val="0.25"/>
        <cfvo type="num" val="0.5"/>
        <cfvo type="num" val="0.75"/>
      </iconSet>
    </cfRule>
    <cfRule type="cellIs" dxfId="151" priority="180" operator="lessThan">
      <formula>0</formula>
    </cfRule>
  </conditionalFormatting>
  <conditionalFormatting sqref="BV286">
    <cfRule type="iconSet" priority="183">
      <iconSet iconSet="4TrafficLights">
        <cfvo type="percent" val="0"/>
        <cfvo type="num" val="0.25"/>
        <cfvo type="num" val="0.5"/>
        <cfvo type="num" val="0.75"/>
      </iconSet>
    </cfRule>
    <cfRule type="cellIs" dxfId="150" priority="184" operator="lessThan">
      <formula>0</formula>
    </cfRule>
  </conditionalFormatting>
  <conditionalFormatting sqref="BZ286">
    <cfRule type="iconSet" priority="185">
      <iconSet iconSet="4TrafficLights">
        <cfvo type="percent" val="0"/>
        <cfvo type="num" val="0.25"/>
        <cfvo type="num" val="0.5"/>
        <cfvo type="num" val="0.75"/>
      </iconSet>
    </cfRule>
    <cfRule type="cellIs" dxfId="149" priority="186" stopIfTrue="1" operator="lessThan">
      <formula>0</formula>
    </cfRule>
  </conditionalFormatting>
  <conditionalFormatting sqref="CL286">
    <cfRule type="iconSet" priority="187">
      <iconSet iconSet="4TrafficLights">
        <cfvo type="percent" val="0"/>
        <cfvo type="num" val="0.25"/>
        <cfvo type="num" val="0.5"/>
        <cfvo type="num" val="0.75"/>
      </iconSet>
    </cfRule>
    <cfRule type="cellIs" dxfId="148" priority="188" operator="lessThan">
      <formula>0</formula>
    </cfRule>
  </conditionalFormatting>
  <conditionalFormatting sqref="CM286">
    <cfRule type="iconSet" priority="189">
      <iconSet iconSet="4TrafficLights">
        <cfvo type="percent" val="0"/>
        <cfvo type="num" val="0.25"/>
        <cfvo type="num" val="0.5"/>
        <cfvo type="num" val="0.75"/>
      </iconSet>
    </cfRule>
    <cfRule type="cellIs" dxfId="147" priority="190" operator="lessThan">
      <formula>0</formula>
    </cfRule>
  </conditionalFormatting>
  <conditionalFormatting sqref="BZ298">
    <cfRule type="iconSet" priority="167">
      <iconSet iconSet="4TrafficLights">
        <cfvo type="percent" val="0"/>
        <cfvo type="num" val="0.25"/>
        <cfvo type="num" val="0.5"/>
        <cfvo type="num" val="0.75"/>
      </iconSet>
    </cfRule>
    <cfRule type="cellIs" dxfId="146" priority="168" operator="lessThan">
      <formula>0</formula>
    </cfRule>
  </conditionalFormatting>
  <conditionalFormatting sqref="BV298">
    <cfRule type="iconSet" priority="171">
      <iconSet iconSet="4TrafficLights">
        <cfvo type="percent" val="0"/>
        <cfvo type="num" val="0.25"/>
        <cfvo type="num" val="0.5"/>
        <cfvo type="num" val="0.75"/>
      </iconSet>
    </cfRule>
    <cfRule type="cellIs" dxfId="145" priority="172" operator="lessThan">
      <formula>0</formula>
    </cfRule>
  </conditionalFormatting>
  <conditionalFormatting sqref="CD298">
    <cfRule type="iconSet" priority="175">
      <iconSet iconSet="4TrafficLights">
        <cfvo type="percent" val="0"/>
        <cfvo type="num" val="0.25"/>
        <cfvo type="num" val="0.5"/>
        <cfvo type="num" val="0.75"/>
      </iconSet>
    </cfRule>
    <cfRule type="cellIs" dxfId="144" priority="176" operator="lessThan">
      <formula>0</formula>
    </cfRule>
  </conditionalFormatting>
  <conditionalFormatting sqref="CE298">
    <cfRule type="iconSet" priority="177">
      <iconSet iconSet="4TrafficLights">
        <cfvo type="percent" val="0"/>
        <cfvo type="num" val="0.25"/>
        <cfvo type="num" val="0.5"/>
        <cfvo type="num" val="0.75"/>
      </iconSet>
    </cfRule>
    <cfRule type="cellIs" dxfId="143" priority="178" operator="lessThan">
      <formula>0</formula>
    </cfRule>
  </conditionalFormatting>
  <conditionalFormatting sqref="BZ299">
    <cfRule type="iconSet" priority="155">
      <iconSet iconSet="4TrafficLights">
        <cfvo type="percent" val="0"/>
        <cfvo type="num" val="0.25"/>
        <cfvo type="num" val="0.5"/>
        <cfvo type="num" val="0.75"/>
      </iconSet>
    </cfRule>
    <cfRule type="cellIs" dxfId="142" priority="156" operator="lessThan">
      <formula>0</formula>
    </cfRule>
  </conditionalFormatting>
  <conditionalFormatting sqref="BV299">
    <cfRule type="iconSet" priority="159">
      <iconSet iconSet="4TrafficLights">
        <cfvo type="percent" val="0"/>
        <cfvo type="num" val="0.25"/>
        <cfvo type="num" val="0.5"/>
        <cfvo type="num" val="0.75"/>
      </iconSet>
    </cfRule>
    <cfRule type="cellIs" dxfId="141" priority="160" operator="lessThan">
      <formula>0</formula>
    </cfRule>
  </conditionalFormatting>
  <conditionalFormatting sqref="CD299">
    <cfRule type="iconSet" priority="163">
      <iconSet iconSet="4TrafficLights">
        <cfvo type="percent" val="0"/>
        <cfvo type="num" val="0.25"/>
        <cfvo type="num" val="0.5"/>
        <cfvo type="num" val="0.75"/>
      </iconSet>
    </cfRule>
    <cfRule type="cellIs" dxfId="140" priority="164" operator="lessThan">
      <formula>0</formula>
    </cfRule>
  </conditionalFormatting>
  <conditionalFormatting sqref="CE299">
    <cfRule type="iconSet" priority="165">
      <iconSet iconSet="4TrafficLights">
        <cfvo type="percent" val="0"/>
        <cfvo type="num" val="0.25"/>
        <cfvo type="num" val="0.5"/>
        <cfvo type="num" val="0.75"/>
      </iconSet>
    </cfRule>
    <cfRule type="cellIs" dxfId="139" priority="166" operator="lessThan">
      <formula>0</formula>
    </cfRule>
  </conditionalFormatting>
  <conditionalFormatting sqref="CD304">
    <cfRule type="iconSet" priority="145">
      <iconSet iconSet="4TrafficLights">
        <cfvo type="percent" val="0"/>
        <cfvo type="num" val="0.25"/>
        <cfvo type="num" val="0.5"/>
        <cfvo type="num" val="0.75"/>
      </iconSet>
    </cfRule>
    <cfRule type="cellIs" dxfId="138" priority="146" operator="lessThan">
      <formula>0</formula>
    </cfRule>
  </conditionalFormatting>
  <conditionalFormatting sqref="CH304">
    <cfRule type="iconSet" priority="147">
      <iconSet iconSet="4TrafficLights">
        <cfvo type="percent" val="0"/>
        <cfvo type="num" val="0.25"/>
        <cfvo type="num" val="0.5"/>
        <cfvo type="num" val="0.75"/>
      </iconSet>
    </cfRule>
    <cfRule type="cellIs" dxfId="137" priority="148" operator="lessThan">
      <formula>0</formula>
    </cfRule>
  </conditionalFormatting>
  <conditionalFormatting sqref="BZ304">
    <cfRule type="iconSet" priority="149">
      <iconSet iconSet="4TrafficLights">
        <cfvo type="percent" val="0"/>
        <cfvo type="num" val="0.25"/>
        <cfvo type="num" val="0.5"/>
        <cfvo type="num" val="0.75"/>
      </iconSet>
    </cfRule>
    <cfRule type="cellIs" dxfId="136" priority="150" stopIfTrue="1" operator="lessThan">
      <formula>0</formula>
    </cfRule>
  </conditionalFormatting>
  <conditionalFormatting sqref="CL304">
    <cfRule type="iconSet" priority="151">
      <iconSet iconSet="4TrafficLights">
        <cfvo type="percent" val="0"/>
        <cfvo type="num" val="0.25"/>
        <cfvo type="num" val="0.5"/>
        <cfvo type="num" val="0.75"/>
      </iconSet>
    </cfRule>
    <cfRule type="cellIs" dxfId="135" priority="152" operator="lessThan">
      <formula>0</formula>
    </cfRule>
  </conditionalFormatting>
  <conditionalFormatting sqref="CM304">
    <cfRule type="iconSet" priority="153">
      <iconSet iconSet="4TrafficLights">
        <cfvo type="percent" val="0"/>
        <cfvo type="num" val="0.25"/>
        <cfvo type="num" val="0.5"/>
        <cfvo type="num" val="0.75"/>
      </iconSet>
    </cfRule>
    <cfRule type="cellIs" dxfId="134" priority="154" operator="lessThan">
      <formula>0</formula>
    </cfRule>
  </conditionalFormatting>
  <conditionalFormatting sqref="CD305">
    <cfRule type="iconSet" priority="135">
      <iconSet iconSet="4TrafficLights">
        <cfvo type="percent" val="0"/>
        <cfvo type="num" val="0.25"/>
        <cfvo type="num" val="0.5"/>
        <cfvo type="num" val="0.75"/>
      </iconSet>
    </cfRule>
    <cfRule type="cellIs" dxfId="133" priority="136" operator="lessThan">
      <formula>0</formula>
    </cfRule>
  </conditionalFormatting>
  <conditionalFormatting sqref="CH305">
    <cfRule type="iconSet" priority="137">
      <iconSet iconSet="4TrafficLights">
        <cfvo type="percent" val="0"/>
        <cfvo type="num" val="0.25"/>
        <cfvo type="num" val="0.5"/>
        <cfvo type="num" val="0.75"/>
      </iconSet>
    </cfRule>
    <cfRule type="cellIs" dxfId="132" priority="138" operator="lessThan">
      <formula>0</formula>
    </cfRule>
  </conditionalFormatting>
  <conditionalFormatting sqref="BZ305">
    <cfRule type="iconSet" priority="139">
      <iconSet iconSet="4TrafficLights">
        <cfvo type="percent" val="0"/>
        <cfvo type="num" val="0.25"/>
        <cfvo type="num" val="0.5"/>
        <cfvo type="num" val="0.75"/>
      </iconSet>
    </cfRule>
    <cfRule type="cellIs" dxfId="131" priority="140" stopIfTrue="1" operator="lessThan">
      <formula>0</formula>
    </cfRule>
  </conditionalFormatting>
  <conditionalFormatting sqref="CL305">
    <cfRule type="iconSet" priority="141">
      <iconSet iconSet="4TrafficLights">
        <cfvo type="percent" val="0"/>
        <cfvo type="num" val="0.25"/>
        <cfvo type="num" val="0.5"/>
        <cfvo type="num" val="0.75"/>
      </iconSet>
    </cfRule>
    <cfRule type="cellIs" dxfId="130" priority="142" operator="lessThan">
      <formula>0</formula>
    </cfRule>
  </conditionalFormatting>
  <conditionalFormatting sqref="CM305">
    <cfRule type="iconSet" priority="143">
      <iconSet iconSet="4TrafficLights">
        <cfvo type="percent" val="0"/>
        <cfvo type="num" val="0.25"/>
        <cfvo type="num" val="0.5"/>
        <cfvo type="num" val="0.75"/>
      </iconSet>
    </cfRule>
    <cfRule type="cellIs" dxfId="129" priority="144" operator="lessThan">
      <formula>0</formula>
    </cfRule>
  </conditionalFormatting>
  <conditionalFormatting sqref="CD306:CD307">
    <cfRule type="iconSet" priority="127">
      <iconSet iconSet="4TrafficLights">
        <cfvo type="percent" val="0"/>
        <cfvo type="num" val="0.25"/>
        <cfvo type="num" val="0.5"/>
        <cfvo type="num" val="0.75"/>
      </iconSet>
    </cfRule>
    <cfRule type="cellIs" dxfId="128" priority="128" operator="lessThan">
      <formula>0</formula>
    </cfRule>
  </conditionalFormatting>
  <conditionalFormatting sqref="CH306:CH307">
    <cfRule type="iconSet" priority="129">
      <iconSet iconSet="4TrafficLights">
        <cfvo type="percent" val="0"/>
        <cfvo type="num" val="0.25"/>
        <cfvo type="num" val="0.5"/>
        <cfvo type="num" val="0.75"/>
      </iconSet>
    </cfRule>
    <cfRule type="cellIs" dxfId="127" priority="130" operator="lessThan">
      <formula>0</formula>
    </cfRule>
  </conditionalFormatting>
  <conditionalFormatting sqref="CL306:CL307">
    <cfRule type="iconSet" priority="131">
      <iconSet iconSet="4TrafficLights">
        <cfvo type="percent" val="0"/>
        <cfvo type="num" val="0.25"/>
        <cfvo type="num" val="0.5"/>
        <cfvo type="num" val="0.75"/>
      </iconSet>
    </cfRule>
    <cfRule type="cellIs" dxfId="126" priority="132" operator="lessThan">
      <formula>0</formula>
    </cfRule>
  </conditionalFormatting>
  <conditionalFormatting sqref="CM306:CM307">
    <cfRule type="iconSet" priority="133">
      <iconSet iconSet="4TrafficLights">
        <cfvo type="percent" val="0"/>
        <cfvo type="num" val="0.25"/>
        <cfvo type="num" val="0.5"/>
        <cfvo type="num" val="0.75"/>
      </iconSet>
    </cfRule>
    <cfRule type="cellIs" dxfId="125" priority="134" operator="lessThan">
      <formula>0</formula>
    </cfRule>
  </conditionalFormatting>
  <conditionalFormatting sqref="CD309:CD313">
    <cfRule type="iconSet" priority="115">
      <iconSet iconSet="4TrafficLights">
        <cfvo type="percent" val="0"/>
        <cfvo type="num" val="0.25"/>
        <cfvo type="num" val="0.5"/>
        <cfvo type="num" val="0.75"/>
      </iconSet>
    </cfRule>
    <cfRule type="cellIs" dxfId="124" priority="116" operator="lessThan">
      <formula>0</formula>
    </cfRule>
  </conditionalFormatting>
  <conditionalFormatting sqref="CH309:CH313">
    <cfRule type="iconSet" priority="117">
      <iconSet iconSet="4TrafficLights">
        <cfvo type="percent" val="0"/>
        <cfvo type="num" val="0.25"/>
        <cfvo type="num" val="0.5"/>
        <cfvo type="num" val="0.75"/>
      </iconSet>
    </cfRule>
    <cfRule type="cellIs" dxfId="123" priority="118" operator="lessThan">
      <formula>0</formula>
    </cfRule>
  </conditionalFormatting>
  <conditionalFormatting sqref="BV309:BV313">
    <cfRule type="iconSet" priority="119">
      <iconSet iconSet="4TrafficLights">
        <cfvo type="percent" val="0"/>
        <cfvo type="num" val="0.25"/>
        <cfvo type="num" val="0.5"/>
        <cfvo type="num" val="0.75"/>
      </iconSet>
    </cfRule>
    <cfRule type="cellIs" dxfId="122" priority="120" operator="lessThan">
      <formula>0</formula>
    </cfRule>
  </conditionalFormatting>
  <conditionalFormatting sqref="BZ309:BZ313">
    <cfRule type="iconSet" priority="121">
      <iconSet iconSet="4TrafficLights">
        <cfvo type="percent" val="0"/>
        <cfvo type="num" val="0.25"/>
        <cfvo type="num" val="0.5"/>
        <cfvo type="num" val="0.75"/>
      </iconSet>
    </cfRule>
    <cfRule type="cellIs" dxfId="121" priority="122" stopIfTrue="1" operator="lessThan">
      <formula>0</formula>
    </cfRule>
  </conditionalFormatting>
  <conditionalFormatting sqref="CL309:CL313">
    <cfRule type="iconSet" priority="123">
      <iconSet iconSet="4TrafficLights">
        <cfvo type="percent" val="0"/>
        <cfvo type="num" val="0.25"/>
        <cfvo type="num" val="0.5"/>
        <cfvo type="num" val="0.75"/>
      </iconSet>
    </cfRule>
    <cfRule type="cellIs" dxfId="120" priority="124" operator="lessThan">
      <formula>0</formula>
    </cfRule>
  </conditionalFormatting>
  <conditionalFormatting sqref="CM309:CM313">
    <cfRule type="iconSet" priority="125">
      <iconSet iconSet="4TrafficLights">
        <cfvo type="percent" val="0"/>
        <cfvo type="num" val="0.25"/>
        <cfvo type="num" val="0.5"/>
        <cfvo type="num" val="0.75"/>
      </iconSet>
    </cfRule>
    <cfRule type="cellIs" dxfId="119" priority="126" operator="lessThan">
      <formula>0</formula>
    </cfRule>
  </conditionalFormatting>
  <conditionalFormatting sqref="CD316">
    <cfRule type="iconSet" priority="95">
      <iconSet iconSet="4TrafficLights">
        <cfvo type="percent" val="0"/>
        <cfvo type="num" val="0.25"/>
        <cfvo type="num" val="0.5"/>
        <cfvo type="num" val="0.75"/>
      </iconSet>
    </cfRule>
    <cfRule type="cellIs" dxfId="118" priority="96" operator="lessThan">
      <formula>0</formula>
    </cfRule>
  </conditionalFormatting>
  <conditionalFormatting sqref="CH316">
    <cfRule type="iconSet" priority="93">
      <iconSet iconSet="4TrafficLights">
        <cfvo type="percent" val="0"/>
        <cfvo type="num" val="0.25"/>
        <cfvo type="num" val="0.5"/>
        <cfvo type="num" val="0.75"/>
      </iconSet>
    </cfRule>
    <cfRule type="cellIs" dxfId="117" priority="94" operator="lessThan">
      <formula>0</formula>
    </cfRule>
  </conditionalFormatting>
  <conditionalFormatting sqref="BV316">
    <cfRule type="iconSet" priority="97">
      <iconSet iconSet="4TrafficLights">
        <cfvo type="percent" val="0"/>
        <cfvo type="num" val="0.25"/>
        <cfvo type="num" val="0.5"/>
        <cfvo type="num" val="0.75"/>
      </iconSet>
    </cfRule>
    <cfRule type="cellIs" dxfId="116" priority="98" operator="lessThan">
      <formula>0</formula>
    </cfRule>
  </conditionalFormatting>
  <conditionalFormatting sqref="BZ316">
    <cfRule type="iconSet" priority="99">
      <iconSet iconSet="4TrafficLights">
        <cfvo type="percent" val="0"/>
        <cfvo type="num" val="0.25"/>
        <cfvo type="num" val="0.5"/>
        <cfvo type="num" val="0.75"/>
      </iconSet>
    </cfRule>
    <cfRule type="cellIs" dxfId="115" priority="100" stopIfTrue="1" operator="lessThan">
      <formula>0</formula>
    </cfRule>
  </conditionalFormatting>
  <conditionalFormatting sqref="CL316">
    <cfRule type="iconSet" priority="101">
      <iconSet iconSet="4TrafficLights">
        <cfvo type="percent" val="0"/>
        <cfvo type="num" val="0.25"/>
        <cfvo type="num" val="0.5"/>
        <cfvo type="num" val="0.75"/>
      </iconSet>
    </cfRule>
    <cfRule type="cellIs" dxfId="114" priority="102" operator="lessThan">
      <formula>0</formula>
    </cfRule>
  </conditionalFormatting>
  <conditionalFormatting sqref="CD317">
    <cfRule type="iconSet" priority="85">
      <iconSet iconSet="4TrafficLights">
        <cfvo type="percent" val="0"/>
        <cfvo type="num" val="0.25"/>
        <cfvo type="num" val="0.5"/>
        <cfvo type="num" val="0.75"/>
      </iconSet>
    </cfRule>
    <cfRule type="cellIs" dxfId="113" priority="86" operator="lessThan">
      <formula>0</formula>
    </cfRule>
  </conditionalFormatting>
  <conditionalFormatting sqref="CH317">
    <cfRule type="iconSet" priority="83">
      <iconSet iconSet="4TrafficLights">
        <cfvo type="percent" val="0"/>
        <cfvo type="num" val="0.25"/>
        <cfvo type="num" val="0.5"/>
        <cfvo type="num" val="0.75"/>
      </iconSet>
    </cfRule>
    <cfRule type="cellIs" dxfId="112" priority="84" operator="lessThan">
      <formula>0</formula>
    </cfRule>
  </conditionalFormatting>
  <conditionalFormatting sqref="BV317">
    <cfRule type="iconSet" priority="87">
      <iconSet iconSet="4TrafficLights">
        <cfvo type="percent" val="0"/>
        <cfvo type="num" val="0.25"/>
        <cfvo type="num" val="0.5"/>
        <cfvo type="num" val="0.75"/>
      </iconSet>
    </cfRule>
    <cfRule type="cellIs" dxfId="111" priority="88" operator="lessThan">
      <formula>0</formula>
    </cfRule>
  </conditionalFormatting>
  <conditionalFormatting sqref="BZ317">
    <cfRule type="iconSet" priority="89">
      <iconSet iconSet="4TrafficLights">
        <cfvo type="percent" val="0"/>
        <cfvo type="num" val="0.25"/>
        <cfvo type="num" val="0.5"/>
        <cfvo type="num" val="0.75"/>
      </iconSet>
    </cfRule>
    <cfRule type="cellIs" dxfId="110" priority="90" stopIfTrue="1" operator="lessThan">
      <formula>0</formula>
    </cfRule>
  </conditionalFormatting>
  <conditionalFormatting sqref="CL317">
    <cfRule type="iconSet" priority="91">
      <iconSet iconSet="4TrafficLights">
        <cfvo type="percent" val="0"/>
        <cfvo type="num" val="0.25"/>
        <cfvo type="num" val="0.5"/>
        <cfvo type="num" val="0.75"/>
      </iconSet>
    </cfRule>
    <cfRule type="cellIs" dxfId="109" priority="92" operator="lessThan">
      <formula>0</formula>
    </cfRule>
  </conditionalFormatting>
  <conditionalFormatting sqref="CD318">
    <cfRule type="iconSet" priority="73">
      <iconSet iconSet="4TrafficLights">
        <cfvo type="percent" val="0"/>
        <cfvo type="num" val="0.25"/>
        <cfvo type="num" val="0.5"/>
        <cfvo type="num" val="0.75"/>
      </iconSet>
    </cfRule>
    <cfRule type="cellIs" dxfId="108" priority="74" operator="lessThan">
      <formula>0</formula>
    </cfRule>
  </conditionalFormatting>
  <conditionalFormatting sqref="CH318">
    <cfRule type="iconSet" priority="71">
      <iconSet iconSet="4TrafficLights">
        <cfvo type="percent" val="0"/>
        <cfvo type="num" val="0.25"/>
        <cfvo type="num" val="0.5"/>
        <cfvo type="num" val="0.75"/>
      </iconSet>
    </cfRule>
    <cfRule type="cellIs" dxfId="107" priority="72" operator="lessThan">
      <formula>0</formula>
    </cfRule>
  </conditionalFormatting>
  <conditionalFormatting sqref="BV318">
    <cfRule type="iconSet" priority="75">
      <iconSet iconSet="4TrafficLights">
        <cfvo type="percent" val="0"/>
        <cfvo type="num" val="0.25"/>
        <cfvo type="num" val="0.5"/>
        <cfvo type="num" val="0.75"/>
      </iconSet>
    </cfRule>
    <cfRule type="cellIs" dxfId="106" priority="76" operator="lessThan">
      <formula>0</formula>
    </cfRule>
  </conditionalFormatting>
  <conditionalFormatting sqref="BZ318">
    <cfRule type="iconSet" priority="77">
      <iconSet iconSet="4TrafficLights">
        <cfvo type="percent" val="0"/>
        <cfvo type="num" val="0.25"/>
        <cfvo type="num" val="0.5"/>
        <cfvo type="num" val="0.75"/>
      </iconSet>
    </cfRule>
    <cfRule type="cellIs" dxfId="105" priority="78" stopIfTrue="1" operator="lessThan">
      <formula>0</formula>
    </cfRule>
  </conditionalFormatting>
  <conditionalFormatting sqref="CL318">
    <cfRule type="iconSet" priority="79">
      <iconSet iconSet="4TrafficLights">
        <cfvo type="percent" val="0"/>
        <cfvo type="num" val="0.25"/>
        <cfvo type="num" val="0.5"/>
        <cfvo type="num" val="0.75"/>
      </iconSet>
    </cfRule>
    <cfRule type="cellIs" dxfId="104" priority="80" operator="lessThan">
      <formula>0</formula>
    </cfRule>
  </conditionalFormatting>
  <conditionalFormatting sqref="CM318">
    <cfRule type="iconSet" priority="81">
      <iconSet iconSet="4TrafficLights">
        <cfvo type="percent" val="0"/>
        <cfvo type="num" val="0.25"/>
        <cfvo type="num" val="0.5"/>
        <cfvo type="num" val="0.75"/>
      </iconSet>
    </cfRule>
    <cfRule type="cellIs" dxfId="103" priority="82" operator="lessThan">
      <formula>0</formula>
    </cfRule>
  </conditionalFormatting>
  <conditionalFormatting sqref="CD321">
    <cfRule type="iconSet" priority="59">
      <iconSet iconSet="4TrafficLights">
        <cfvo type="percent" val="0"/>
        <cfvo type="num" val="0.25"/>
        <cfvo type="num" val="0.5"/>
        <cfvo type="num" val="0.75"/>
      </iconSet>
    </cfRule>
    <cfRule type="cellIs" dxfId="102" priority="60" operator="lessThan">
      <formula>0</formula>
    </cfRule>
  </conditionalFormatting>
  <conditionalFormatting sqref="CH321">
    <cfRule type="iconSet" priority="61">
      <iconSet iconSet="4TrafficLights">
        <cfvo type="percent" val="0"/>
        <cfvo type="num" val="0.25"/>
        <cfvo type="num" val="0.5"/>
        <cfvo type="num" val="0.75"/>
      </iconSet>
    </cfRule>
    <cfRule type="cellIs" dxfId="101" priority="62" operator="lessThan">
      <formula>0</formula>
    </cfRule>
  </conditionalFormatting>
  <conditionalFormatting sqref="BV321">
    <cfRule type="iconSet" priority="63">
      <iconSet iconSet="4TrafficLights">
        <cfvo type="percent" val="0"/>
        <cfvo type="num" val="0.25"/>
        <cfvo type="num" val="0.5"/>
        <cfvo type="num" val="0.75"/>
      </iconSet>
    </cfRule>
    <cfRule type="cellIs" dxfId="100" priority="64" operator="lessThan">
      <formula>0</formula>
    </cfRule>
  </conditionalFormatting>
  <conditionalFormatting sqref="BZ321">
    <cfRule type="iconSet" priority="65">
      <iconSet iconSet="4TrafficLights">
        <cfvo type="percent" val="0"/>
        <cfvo type="num" val="0.25"/>
        <cfvo type="num" val="0.5"/>
        <cfvo type="num" val="0.75"/>
      </iconSet>
    </cfRule>
    <cfRule type="cellIs" dxfId="99" priority="66" stopIfTrue="1" operator="lessThan">
      <formula>0</formula>
    </cfRule>
  </conditionalFormatting>
  <conditionalFormatting sqref="CL321">
    <cfRule type="iconSet" priority="67">
      <iconSet iconSet="4TrafficLights">
        <cfvo type="percent" val="0"/>
        <cfvo type="num" val="0.25"/>
        <cfvo type="num" val="0.5"/>
        <cfvo type="num" val="0.75"/>
      </iconSet>
    </cfRule>
    <cfRule type="cellIs" dxfId="98" priority="68" operator="lessThan">
      <formula>0</formula>
    </cfRule>
  </conditionalFormatting>
  <conditionalFormatting sqref="CM321">
    <cfRule type="iconSet" priority="69">
      <iconSet iconSet="4TrafficLights">
        <cfvo type="percent" val="0"/>
        <cfvo type="num" val="0.25"/>
        <cfvo type="num" val="0.5"/>
        <cfvo type="num" val="0.75"/>
      </iconSet>
    </cfRule>
    <cfRule type="cellIs" dxfId="97" priority="70" operator="lessThan">
      <formula>0</formula>
    </cfRule>
  </conditionalFormatting>
  <conditionalFormatting sqref="CD319">
    <cfRule type="iconSet" priority="49">
      <iconSet iconSet="4TrafficLights">
        <cfvo type="percent" val="0"/>
        <cfvo type="num" val="0.25"/>
        <cfvo type="num" val="0.5"/>
        <cfvo type="num" val="0.75"/>
      </iconSet>
    </cfRule>
    <cfRule type="cellIs" dxfId="96" priority="50" operator="lessThan">
      <formula>0</formula>
    </cfRule>
  </conditionalFormatting>
  <conditionalFormatting sqref="CH319">
    <cfRule type="iconSet" priority="47">
      <iconSet iconSet="4TrafficLights">
        <cfvo type="percent" val="0"/>
        <cfvo type="num" val="0.25"/>
        <cfvo type="num" val="0.5"/>
        <cfvo type="num" val="0.75"/>
      </iconSet>
    </cfRule>
    <cfRule type="cellIs" dxfId="95" priority="48" operator="lessThan">
      <formula>0</formula>
    </cfRule>
  </conditionalFormatting>
  <conditionalFormatting sqref="BV319">
    <cfRule type="iconSet" priority="51">
      <iconSet iconSet="4TrafficLights">
        <cfvo type="percent" val="0"/>
        <cfvo type="num" val="0.25"/>
        <cfvo type="num" val="0.5"/>
        <cfvo type="num" val="0.75"/>
      </iconSet>
    </cfRule>
    <cfRule type="cellIs" dxfId="94" priority="52" operator="lessThan">
      <formula>0</formula>
    </cfRule>
  </conditionalFormatting>
  <conditionalFormatting sqref="BZ319">
    <cfRule type="iconSet" priority="53">
      <iconSet iconSet="4TrafficLights">
        <cfvo type="percent" val="0"/>
        <cfvo type="num" val="0.25"/>
        <cfvo type="num" val="0.5"/>
        <cfvo type="num" val="0.75"/>
      </iconSet>
    </cfRule>
    <cfRule type="cellIs" dxfId="93" priority="54" stopIfTrue="1" operator="lessThan">
      <formula>0</formula>
    </cfRule>
  </conditionalFormatting>
  <conditionalFormatting sqref="CL319">
    <cfRule type="iconSet" priority="55">
      <iconSet iconSet="4TrafficLights">
        <cfvo type="percent" val="0"/>
        <cfvo type="num" val="0.25"/>
        <cfvo type="num" val="0.5"/>
        <cfvo type="num" val="0.75"/>
      </iconSet>
    </cfRule>
    <cfRule type="cellIs" dxfId="92" priority="56" operator="lessThan">
      <formula>0</formula>
    </cfRule>
  </conditionalFormatting>
  <conditionalFormatting sqref="CM319">
    <cfRule type="iconSet" priority="57">
      <iconSet iconSet="4TrafficLights">
        <cfvo type="percent" val="0"/>
        <cfvo type="num" val="0.25"/>
        <cfvo type="num" val="0.5"/>
        <cfvo type="num" val="0.75"/>
      </iconSet>
    </cfRule>
    <cfRule type="cellIs" dxfId="91" priority="58" operator="lessThan">
      <formula>0</formula>
    </cfRule>
  </conditionalFormatting>
  <conditionalFormatting sqref="CD325">
    <cfRule type="iconSet" priority="37">
      <iconSet iconSet="4TrafficLights">
        <cfvo type="percent" val="0"/>
        <cfvo type="num" val="0.25"/>
        <cfvo type="num" val="0.5"/>
        <cfvo type="num" val="0.75"/>
      </iconSet>
    </cfRule>
    <cfRule type="cellIs" dxfId="90" priority="38" operator="lessThan">
      <formula>0</formula>
    </cfRule>
  </conditionalFormatting>
  <conditionalFormatting sqref="CH325">
    <cfRule type="iconSet" priority="39">
      <iconSet iconSet="4TrafficLights">
        <cfvo type="percent" val="0"/>
        <cfvo type="num" val="0.25"/>
        <cfvo type="num" val="0.5"/>
        <cfvo type="num" val="0.75"/>
      </iconSet>
    </cfRule>
    <cfRule type="cellIs" dxfId="89" priority="40" operator="lessThan">
      <formula>0</formula>
    </cfRule>
  </conditionalFormatting>
  <conditionalFormatting sqref="BV325">
    <cfRule type="iconSet" priority="41">
      <iconSet iconSet="4TrafficLights">
        <cfvo type="percent" val="0"/>
        <cfvo type="num" val="0.25"/>
        <cfvo type="num" val="0.5"/>
        <cfvo type="num" val="0.75"/>
      </iconSet>
    </cfRule>
    <cfRule type="cellIs" dxfId="88" priority="42" operator="lessThan">
      <formula>0</formula>
    </cfRule>
  </conditionalFormatting>
  <conditionalFormatting sqref="BZ325">
    <cfRule type="iconSet" priority="43">
      <iconSet iconSet="4TrafficLights">
        <cfvo type="percent" val="0"/>
        <cfvo type="num" val="0.25"/>
        <cfvo type="num" val="0.5"/>
        <cfvo type="num" val="0.75"/>
      </iconSet>
    </cfRule>
    <cfRule type="cellIs" dxfId="87" priority="44" stopIfTrue="1" operator="lessThan">
      <formula>0</formula>
    </cfRule>
  </conditionalFormatting>
  <conditionalFormatting sqref="CL325">
    <cfRule type="iconSet" priority="45">
      <iconSet iconSet="4TrafficLights">
        <cfvo type="percent" val="0"/>
        <cfvo type="num" val="0.25"/>
        <cfvo type="num" val="0.5"/>
        <cfvo type="num" val="0.75"/>
      </iconSet>
    </cfRule>
    <cfRule type="cellIs" dxfId="86" priority="46" operator="lessThan">
      <formula>0</formula>
    </cfRule>
  </conditionalFormatting>
  <conditionalFormatting sqref="CD326">
    <cfRule type="iconSet" priority="25">
      <iconSet iconSet="4TrafficLights">
        <cfvo type="percent" val="0"/>
        <cfvo type="num" val="0.25"/>
        <cfvo type="num" val="0.5"/>
        <cfvo type="num" val="0.75"/>
      </iconSet>
    </cfRule>
    <cfRule type="cellIs" dxfId="85" priority="26" operator="lessThan">
      <formula>0</formula>
    </cfRule>
  </conditionalFormatting>
  <conditionalFormatting sqref="CH326">
    <cfRule type="iconSet" priority="27">
      <iconSet iconSet="4TrafficLights">
        <cfvo type="percent" val="0"/>
        <cfvo type="num" val="0.25"/>
        <cfvo type="num" val="0.5"/>
        <cfvo type="num" val="0.75"/>
      </iconSet>
    </cfRule>
    <cfRule type="cellIs" dxfId="84" priority="28" operator="lessThan">
      <formula>0</formula>
    </cfRule>
  </conditionalFormatting>
  <conditionalFormatting sqref="BV326">
    <cfRule type="iconSet" priority="29">
      <iconSet iconSet="4TrafficLights">
        <cfvo type="percent" val="0"/>
        <cfvo type="num" val="0.25"/>
        <cfvo type="num" val="0.5"/>
        <cfvo type="num" val="0.75"/>
      </iconSet>
    </cfRule>
    <cfRule type="cellIs" dxfId="83" priority="30" operator="lessThan">
      <formula>0</formula>
    </cfRule>
  </conditionalFormatting>
  <conditionalFormatting sqref="BZ326">
    <cfRule type="iconSet" priority="31">
      <iconSet iconSet="4TrafficLights">
        <cfvo type="percent" val="0"/>
        <cfvo type="num" val="0.25"/>
        <cfvo type="num" val="0.5"/>
        <cfvo type="num" val="0.75"/>
      </iconSet>
    </cfRule>
    <cfRule type="cellIs" dxfId="82" priority="32" stopIfTrue="1" operator="lessThan">
      <formula>0</formula>
    </cfRule>
  </conditionalFormatting>
  <conditionalFormatting sqref="CL326">
    <cfRule type="iconSet" priority="33">
      <iconSet iconSet="4TrafficLights">
        <cfvo type="percent" val="0"/>
        <cfvo type="num" val="0.25"/>
        <cfvo type="num" val="0.5"/>
        <cfvo type="num" val="0.75"/>
      </iconSet>
    </cfRule>
    <cfRule type="cellIs" dxfId="81" priority="34" operator="lessThan">
      <formula>0</formula>
    </cfRule>
  </conditionalFormatting>
  <conditionalFormatting sqref="CM326">
    <cfRule type="iconSet" priority="35">
      <iconSet iconSet="4TrafficLights">
        <cfvo type="percent" val="0"/>
        <cfvo type="num" val="0.25"/>
        <cfvo type="num" val="0.5"/>
        <cfvo type="num" val="0.75"/>
      </iconSet>
    </cfRule>
    <cfRule type="cellIs" dxfId="80" priority="36" operator="lessThan">
      <formula>0</formula>
    </cfRule>
  </conditionalFormatting>
  <conditionalFormatting sqref="CD333">
    <cfRule type="iconSet" priority="13">
      <iconSet iconSet="4TrafficLights">
        <cfvo type="percent" val="0"/>
        <cfvo type="num" val="0.25"/>
        <cfvo type="num" val="0.5"/>
        <cfvo type="num" val="0.75"/>
      </iconSet>
    </cfRule>
    <cfRule type="cellIs" dxfId="79" priority="14" operator="lessThan">
      <formula>0</formula>
    </cfRule>
  </conditionalFormatting>
  <conditionalFormatting sqref="CH333">
    <cfRule type="iconSet" priority="15">
      <iconSet iconSet="4TrafficLights">
        <cfvo type="percent" val="0"/>
        <cfvo type="num" val="0.25"/>
        <cfvo type="num" val="0.5"/>
        <cfvo type="num" val="0.75"/>
      </iconSet>
    </cfRule>
    <cfRule type="cellIs" dxfId="78" priority="16" operator="lessThan">
      <formula>0</formula>
    </cfRule>
  </conditionalFormatting>
  <conditionalFormatting sqref="BV333">
    <cfRule type="iconSet" priority="17">
      <iconSet iconSet="4TrafficLights">
        <cfvo type="percent" val="0"/>
        <cfvo type="num" val="0.25"/>
        <cfvo type="num" val="0.5"/>
        <cfvo type="num" val="0.75"/>
      </iconSet>
    </cfRule>
    <cfRule type="cellIs" dxfId="77" priority="18" operator="lessThan">
      <formula>0</formula>
    </cfRule>
  </conditionalFormatting>
  <conditionalFormatting sqref="BZ333">
    <cfRule type="iconSet" priority="19">
      <iconSet iconSet="4TrafficLights">
        <cfvo type="percent" val="0"/>
        <cfvo type="num" val="0.25"/>
        <cfvo type="num" val="0.5"/>
        <cfvo type="num" val="0.75"/>
      </iconSet>
    </cfRule>
    <cfRule type="cellIs" dxfId="76" priority="20" stopIfTrue="1" operator="lessThan">
      <formula>0</formula>
    </cfRule>
  </conditionalFormatting>
  <conditionalFormatting sqref="CL333">
    <cfRule type="iconSet" priority="21">
      <iconSet iconSet="4TrafficLights">
        <cfvo type="percent" val="0"/>
        <cfvo type="num" val="0.25"/>
        <cfvo type="num" val="0.5"/>
        <cfvo type="num" val="0.75"/>
      </iconSet>
    </cfRule>
    <cfRule type="cellIs" dxfId="75" priority="22" operator="lessThan">
      <formula>0</formula>
    </cfRule>
  </conditionalFormatting>
  <conditionalFormatting sqref="CM333">
    <cfRule type="iconSet" priority="23">
      <iconSet iconSet="4TrafficLights">
        <cfvo type="percent" val="0"/>
        <cfvo type="num" val="0.25"/>
        <cfvo type="num" val="0.5"/>
        <cfvo type="num" val="0.75"/>
      </iconSet>
    </cfRule>
    <cfRule type="cellIs" dxfId="74" priority="24" operator="lessThan">
      <formula>0</formula>
    </cfRule>
  </conditionalFormatting>
  <conditionalFormatting sqref="CD334">
    <cfRule type="iconSet" priority="1">
      <iconSet iconSet="4TrafficLights">
        <cfvo type="percent" val="0"/>
        <cfvo type="num" val="0.25"/>
        <cfvo type="num" val="0.5"/>
        <cfvo type="num" val="0.75"/>
      </iconSet>
    </cfRule>
    <cfRule type="cellIs" dxfId="73" priority="2" operator="lessThan">
      <formula>0</formula>
    </cfRule>
  </conditionalFormatting>
  <conditionalFormatting sqref="CH334">
    <cfRule type="iconSet" priority="3">
      <iconSet iconSet="4TrafficLights">
        <cfvo type="percent" val="0"/>
        <cfvo type="num" val="0.25"/>
        <cfvo type="num" val="0.5"/>
        <cfvo type="num" val="0.75"/>
      </iconSet>
    </cfRule>
    <cfRule type="cellIs" dxfId="72" priority="4" operator="lessThan">
      <formula>0</formula>
    </cfRule>
  </conditionalFormatting>
  <conditionalFormatting sqref="BV334">
    <cfRule type="iconSet" priority="5">
      <iconSet iconSet="4TrafficLights">
        <cfvo type="percent" val="0"/>
        <cfvo type="num" val="0.25"/>
        <cfvo type="num" val="0.5"/>
        <cfvo type="num" val="0.75"/>
      </iconSet>
    </cfRule>
    <cfRule type="cellIs" dxfId="71" priority="6" operator="lessThan">
      <formula>0</formula>
    </cfRule>
  </conditionalFormatting>
  <conditionalFormatting sqref="BZ334">
    <cfRule type="iconSet" priority="7">
      <iconSet iconSet="4TrafficLights">
        <cfvo type="percent" val="0"/>
        <cfvo type="num" val="0.25"/>
        <cfvo type="num" val="0.5"/>
        <cfvo type="num" val="0.75"/>
      </iconSet>
    </cfRule>
    <cfRule type="cellIs" dxfId="70" priority="8" stopIfTrue="1" operator="lessThan">
      <formula>0</formula>
    </cfRule>
  </conditionalFormatting>
  <conditionalFormatting sqref="CL334">
    <cfRule type="iconSet" priority="9">
      <iconSet iconSet="4TrafficLights">
        <cfvo type="percent" val="0"/>
        <cfvo type="num" val="0.25"/>
        <cfvo type="num" val="0.5"/>
        <cfvo type="num" val="0.75"/>
      </iconSet>
    </cfRule>
    <cfRule type="cellIs" dxfId="69" priority="10" operator="lessThan">
      <formula>0</formula>
    </cfRule>
  </conditionalFormatting>
  <conditionalFormatting sqref="CM334">
    <cfRule type="iconSet" priority="11">
      <iconSet iconSet="4TrafficLights">
        <cfvo type="percent" val="0"/>
        <cfvo type="num" val="0.25"/>
        <cfvo type="num" val="0.5"/>
        <cfvo type="num" val="0.75"/>
      </iconSet>
    </cfRule>
    <cfRule type="cellIs" dxfId="68" priority="12" operator="lessThan">
      <formula>0</formula>
    </cfRule>
  </conditionalFormatting>
  <conditionalFormatting sqref="CD327:CD332 CD322:CD324 CD314:CD315 CD320">
    <cfRule type="iconSet" priority="2544">
      <iconSet iconSet="4TrafficLights">
        <cfvo type="percent" val="0"/>
        <cfvo type="num" val="0.25"/>
        <cfvo type="num" val="0.5"/>
        <cfvo type="num" val="0.75"/>
      </iconSet>
    </cfRule>
    <cfRule type="cellIs" dxfId="67" priority="2545" operator="lessThan">
      <formula>0</formula>
    </cfRule>
  </conditionalFormatting>
  <conditionalFormatting sqref="CH327:CH332 CH322:CH324 CH314:CH315 CH320">
    <cfRule type="iconSet" priority="2554">
      <iconSet iconSet="4TrafficLights">
        <cfvo type="percent" val="0"/>
        <cfvo type="num" val="0.25"/>
        <cfvo type="num" val="0.5"/>
        <cfvo type="num" val="0.75"/>
      </iconSet>
    </cfRule>
    <cfRule type="cellIs" dxfId="66" priority="2555" operator="lessThan">
      <formula>0</formula>
    </cfRule>
  </conditionalFormatting>
  <conditionalFormatting sqref="BV327:BV332 BV322:BV324 BV314:BV315 BV320">
    <cfRule type="iconSet" priority="2564">
      <iconSet iconSet="4TrafficLights">
        <cfvo type="percent" val="0"/>
        <cfvo type="num" val="0.25"/>
        <cfvo type="num" val="0.5"/>
        <cfvo type="num" val="0.75"/>
      </iconSet>
    </cfRule>
    <cfRule type="cellIs" dxfId="65" priority="2565" operator="lessThan">
      <formula>0</formula>
    </cfRule>
  </conditionalFormatting>
  <conditionalFormatting sqref="BZ327:BZ332 BZ322:BZ324 BZ314:BZ315 BZ320">
    <cfRule type="iconSet" priority="2574">
      <iconSet iconSet="4TrafficLights">
        <cfvo type="percent" val="0"/>
        <cfvo type="num" val="0.25"/>
        <cfvo type="num" val="0.5"/>
        <cfvo type="num" val="0.75"/>
      </iconSet>
    </cfRule>
    <cfRule type="cellIs" dxfId="64" priority="2575" stopIfTrue="1" operator="lessThan">
      <formula>0</formula>
    </cfRule>
  </conditionalFormatting>
  <conditionalFormatting sqref="CL327:CL332 CL322:CL324 CL314:CL315 CL320">
    <cfRule type="iconSet" priority="2584">
      <iconSet iconSet="4TrafficLights">
        <cfvo type="percent" val="0"/>
        <cfvo type="num" val="0.25"/>
        <cfvo type="num" val="0.5"/>
        <cfvo type="num" val="0.75"/>
      </iconSet>
    </cfRule>
    <cfRule type="cellIs" dxfId="63" priority="2585" operator="lessThan">
      <formula>0</formula>
    </cfRule>
  </conditionalFormatting>
  <conditionalFormatting sqref="CM327:CM332 CM322:CM325 CM314:CM317 CM320">
    <cfRule type="iconSet" priority="2594">
      <iconSet iconSet="4TrafficLights">
        <cfvo type="percent" val="0"/>
        <cfvo type="num" val="0.25"/>
        <cfvo type="num" val="0.5"/>
        <cfvo type="num" val="0.75"/>
      </iconSet>
    </cfRule>
    <cfRule type="cellIs" dxfId="62" priority="2595" operator="lessThan">
      <formula>0</formula>
    </cfRule>
  </conditionalFormatting>
  <conditionalFormatting sqref="BV238">
    <cfRule type="iconSet" priority="2606">
      <iconSet iconSet="4TrafficLights">
        <cfvo type="percent" val="0"/>
        <cfvo type="num" val="0.25"/>
        <cfvo type="num" val="0.5"/>
        <cfvo type="num" val="0.75"/>
      </iconSet>
    </cfRule>
    <cfRule type="cellIs" dxfId="61" priority="2607" stopIfTrue="1" operator="lessThan">
      <formula>0</formula>
    </cfRule>
  </conditionalFormatting>
  <conditionalFormatting sqref="BZ238">
    <cfRule type="iconSet" priority="2608">
      <iconSet iconSet="4TrafficLights">
        <cfvo type="percent" val="0"/>
        <cfvo type="num" val="0.25"/>
        <cfvo type="num" val="0.5"/>
        <cfvo type="num" val="0.75"/>
      </iconSet>
    </cfRule>
    <cfRule type="cellIs" dxfId="60" priority="2609" stopIfTrue="1" operator="lessThan">
      <formula>0</formula>
    </cfRule>
  </conditionalFormatting>
  <conditionalFormatting sqref="CD238">
    <cfRule type="iconSet" priority="2610">
      <iconSet iconSet="4TrafficLights">
        <cfvo type="percent" val="0"/>
        <cfvo type="num" val="0.25"/>
        <cfvo type="num" val="0.5"/>
        <cfvo type="num" val="0.75"/>
      </iconSet>
    </cfRule>
    <cfRule type="cellIs" dxfId="59" priority="2611" stopIfTrue="1" operator="lessThan">
      <formula>0</formula>
    </cfRule>
  </conditionalFormatting>
  <conditionalFormatting sqref="CH238">
    <cfRule type="iconSet" priority="2612">
      <iconSet iconSet="4TrafficLights">
        <cfvo type="percent" val="0"/>
        <cfvo type="num" val="0.25"/>
        <cfvo type="num" val="0.5"/>
        <cfvo type="num" val="0.75"/>
      </iconSet>
    </cfRule>
    <cfRule type="cellIs" dxfId="58" priority="2613" stopIfTrue="1" operator="lessThan">
      <formula>0</formula>
    </cfRule>
  </conditionalFormatting>
  <conditionalFormatting sqref="CL238">
    <cfRule type="iconSet" priority="2614">
      <iconSet iconSet="4TrafficLights">
        <cfvo type="percent" val="0"/>
        <cfvo type="num" val="0.25"/>
        <cfvo type="num" val="0.5"/>
        <cfvo type="num" val="0.75"/>
      </iconSet>
    </cfRule>
    <cfRule type="cellIs" dxfId="57" priority="2615" stopIfTrue="1" operator="lessThan">
      <formula>0</formula>
    </cfRule>
  </conditionalFormatting>
  <dataValidations count="3">
    <dataValidation type="list" allowBlank="1" showInputMessage="1" showErrorMessage="1" sqref="AM175 AH175:AH176" xr:uid="{00000000-0002-0000-0400-000000000000}">
      <formula1>#N/A</formula1>
    </dataValidation>
    <dataValidation type="list" allowBlank="1" showInputMessage="1" showErrorMessage="1" sqref="K217 K207" xr:uid="{00000000-0002-0000-0400-000001000000}">
      <formula1>ID_RESULTADO</formula1>
    </dataValidation>
    <dataValidation type="list" allowBlank="1" showInputMessage="1" showErrorMessage="1" sqref="AL218:AM221 AG218:AG221 AA218:AA221 CM218:CQ226 AL304:AM304 CN4:CN43 CM4:CM39 CO4:CQ22 CO26:CQ42 AG4:AG22 AG26:AG43 AA4:AA22 AA26:AA43 AL26:AL38 AL4:AL24 AM26:AM35 AM4:AM22 CM270:CQ271 CM309:CQ313 AA309:AA313 AG309:AG311 CM304:CQ305 AA304:AA305 AM305 AL309:AM313" xr:uid="{00000000-0002-0000-0400-000002000000}">
      <formula1>#REF!</formula1>
    </dataValidation>
  </dataValidations>
  <hyperlinks>
    <hyperlink ref="BL237" r:id="rId1" xr:uid="{00000000-0004-0000-0400-000000000000}"/>
  </hyperlinks>
  <pageMargins left="0.7" right="0.7" top="0.75" bottom="0.75" header="0.3" footer="0.3"/>
  <pageSetup paperSize="9" orientation="portrait" r:id="rId2"/>
  <drawing r:id="rId3"/>
  <legacyDrawing r:id="rId4"/>
  <oleObjects>
    <mc:AlternateContent xmlns:mc="http://schemas.openxmlformats.org/markup-compatibility/2006">
      <mc:Choice Requires="x14">
        <oleObject progId="Equation.3" shapeId="61456" r:id="rId5">
          <objectPr defaultSize="0" autoPict="0" r:id="rId6">
            <anchor moveWithCells="1" sizeWithCells="1">
              <from>
                <xdr:col>42</xdr:col>
                <xdr:colOff>66675</xdr:colOff>
                <xdr:row>40</xdr:row>
                <xdr:rowOff>0</xdr:rowOff>
              </from>
              <to>
                <xdr:col>42</xdr:col>
                <xdr:colOff>2533650</xdr:colOff>
                <xdr:row>40</xdr:row>
                <xdr:rowOff>0</xdr:rowOff>
              </to>
            </anchor>
          </objectPr>
        </oleObject>
      </mc:Choice>
      <mc:Fallback>
        <oleObject progId="Equation.3" shapeId="61456" r:id="rId5"/>
      </mc:Fallback>
    </mc:AlternateContent>
    <mc:AlternateContent xmlns:mc="http://schemas.openxmlformats.org/markup-compatibility/2006">
      <mc:Choice Requires="x14">
        <oleObject progId="Equation.3" shapeId="61457" r:id="rId7">
          <objectPr defaultSize="0" autoPict="0" r:id="rId8">
            <anchor moveWithCells="1" sizeWithCells="1">
              <from>
                <xdr:col>42</xdr:col>
                <xdr:colOff>104775</xdr:colOff>
                <xdr:row>40</xdr:row>
                <xdr:rowOff>0</xdr:rowOff>
              </from>
              <to>
                <xdr:col>42</xdr:col>
                <xdr:colOff>2533650</xdr:colOff>
                <xdr:row>40</xdr:row>
                <xdr:rowOff>0</xdr:rowOff>
              </to>
            </anchor>
          </objectPr>
        </oleObject>
      </mc:Choice>
      <mc:Fallback>
        <oleObject progId="Equation.3" shapeId="61457" r:id="rId7"/>
      </mc:Fallback>
    </mc:AlternateContent>
    <mc:AlternateContent xmlns:mc="http://schemas.openxmlformats.org/markup-compatibility/2006">
      <mc:Choice Requires="x14">
        <oleObject progId="Equation.3" shapeId="61458" r:id="rId9">
          <objectPr defaultSize="0" autoPict="0" r:id="rId10">
            <anchor moveWithCells="1" sizeWithCells="1">
              <from>
                <xdr:col>42</xdr:col>
                <xdr:colOff>85725</xdr:colOff>
                <xdr:row>40</xdr:row>
                <xdr:rowOff>0</xdr:rowOff>
              </from>
              <to>
                <xdr:col>42</xdr:col>
                <xdr:colOff>2533650</xdr:colOff>
                <xdr:row>40</xdr:row>
                <xdr:rowOff>0</xdr:rowOff>
              </to>
            </anchor>
          </objectPr>
        </oleObject>
      </mc:Choice>
      <mc:Fallback>
        <oleObject progId="Equation.3" shapeId="61458" r:id="rId9"/>
      </mc:Fallback>
    </mc:AlternateContent>
    <mc:AlternateContent xmlns:mc="http://schemas.openxmlformats.org/markup-compatibility/2006">
      <mc:Choice Requires="x14">
        <oleObject progId="Equation.3" shapeId="61459" r:id="rId11">
          <objectPr defaultSize="0" autoPict="0" r:id="rId12">
            <anchor moveWithCells="1" sizeWithCells="1">
              <from>
                <xdr:col>42</xdr:col>
                <xdr:colOff>28575</xdr:colOff>
                <xdr:row>40</xdr:row>
                <xdr:rowOff>0</xdr:rowOff>
              </from>
              <to>
                <xdr:col>42</xdr:col>
                <xdr:colOff>2505075</xdr:colOff>
                <xdr:row>40</xdr:row>
                <xdr:rowOff>0</xdr:rowOff>
              </to>
            </anchor>
          </objectPr>
        </oleObject>
      </mc:Choice>
      <mc:Fallback>
        <oleObject progId="Equation.3" shapeId="61459" r:id="rId11"/>
      </mc:Fallback>
    </mc:AlternateContent>
    <mc:AlternateContent xmlns:mc="http://schemas.openxmlformats.org/markup-compatibility/2006">
      <mc:Choice Requires="x14">
        <oleObject progId="Equation.3" shapeId="61467" r:id="rId13">
          <objectPr defaultSize="0" autoPict="0" r:id="rId14">
            <anchor moveWithCells="1" sizeWithCells="1">
              <from>
                <xdr:col>42</xdr:col>
                <xdr:colOff>228600</xdr:colOff>
                <xdr:row>245</xdr:row>
                <xdr:rowOff>114300</xdr:rowOff>
              </from>
              <to>
                <xdr:col>42</xdr:col>
                <xdr:colOff>2171700</xdr:colOff>
                <xdr:row>245</xdr:row>
                <xdr:rowOff>533400</xdr:rowOff>
              </to>
            </anchor>
          </objectPr>
        </oleObject>
      </mc:Choice>
      <mc:Fallback>
        <oleObject progId="Equation.3" shapeId="61467" r:id="rId13"/>
      </mc:Fallback>
    </mc:AlternateContent>
    <mc:AlternateContent xmlns:mc="http://schemas.openxmlformats.org/markup-compatibility/2006">
      <mc:Choice Requires="x14">
        <oleObject progId="Equation.3" shapeId="61468" r:id="rId15">
          <objectPr defaultSize="0" r:id="rId16">
            <anchor moveWithCells="1" sizeWithCells="1">
              <from>
                <xdr:col>42</xdr:col>
                <xdr:colOff>285750</xdr:colOff>
                <xdr:row>246</xdr:row>
                <xdr:rowOff>438150</xdr:rowOff>
              </from>
              <to>
                <xdr:col>42</xdr:col>
                <xdr:colOff>2009775</xdr:colOff>
                <xdr:row>246</xdr:row>
                <xdr:rowOff>895350</xdr:rowOff>
              </to>
            </anchor>
          </objectPr>
        </oleObject>
      </mc:Choice>
      <mc:Fallback>
        <oleObject progId="Equation.3" shapeId="61468" r:id="rId15"/>
      </mc:Fallback>
    </mc:AlternateContent>
    <mc:AlternateContent xmlns:mc="http://schemas.openxmlformats.org/markup-compatibility/2006">
      <mc:Choice Requires="x14">
        <oleObject progId="Equation.3" shapeId="61469" r:id="rId17">
          <objectPr defaultSize="0" autoPict="0" r:id="rId18">
            <anchor moveWithCells="1" sizeWithCells="1">
              <from>
                <xdr:col>42</xdr:col>
                <xdr:colOff>285750</xdr:colOff>
                <xdr:row>247</xdr:row>
                <xdr:rowOff>228600</xdr:rowOff>
              </from>
              <to>
                <xdr:col>42</xdr:col>
                <xdr:colOff>2162175</xdr:colOff>
                <xdr:row>247</xdr:row>
                <xdr:rowOff>723900</xdr:rowOff>
              </to>
            </anchor>
          </objectPr>
        </oleObject>
      </mc:Choice>
      <mc:Fallback>
        <oleObject progId="Equation.3" shapeId="61469" r:id="rId17"/>
      </mc:Fallback>
    </mc:AlternateContent>
    <mc:AlternateContent xmlns:mc="http://schemas.openxmlformats.org/markup-compatibility/2006">
      <mc:Choice Requires="x14">
        <oleObject progId="Equation.3" shapeId="61470" r:id="rId19">
          <objectPr defaultSize="0" autoPict="0" r:id="rId20">
            <anchor moveWithCells="1" sizeWithCells="1">
              <from>
                <xdr:col>42</xdr:col>
                <xdr:colOff>285750</xdr:colOff>
                <xdr:row>248</xdr:row>
                <xdr:rowOff>228600</xdr:rowOff>
              </from>
              <to>
                <xdr:col>42</xdr:col>
                <xdr:colOff>2162175</xdr:colOff>
                <xdr:row>248</xdr:row>
                <xdr:rowOff>723900</xdr:rowOff>
              </to>
            </anchor>
          </objectPr>
        </oleObject>
      </mc:Choice>
      <mc:Fallback>
        <oleObject progId="Equation.3" shapeId="61470" r:id="rId19"/>
      </mc:Fallback>
    </mc:AlternateContent>
    <mc:AlternateContent xmlns:mc="http://schemas.openxmlformats.org/markup-compatibility/2006">
      <mc:Choice Requires="x14">
        <oleObject progId="Equation.3" shapeId="61471" r:id="rId21">
          <objectPr defaultSize="0" autoPict="0" r:id="rId22">
            <anchor moveWithCells="1" sizeWithCells="1">
              <from>
                <xdr:col>42</xdr:col>
                <xdr:colOff>276225</xdr:colOff>
                <xdr:row>249</xdr:row>
                <xdr:rowOff>209550</xdr:rowOff>
              </from>
              <to>
                <xdr:col>42</xdr:col>
                <xdr:colOff>2133600</xdr:colOff>
                <xdr:row>249</xdr:row>
                <xdr:rowOff>752475</xdr:rowOff>
              </to>
            </anchor>
          </objectPr>
        </oleObject>
      </mc:Choice>
      <mc:Fallback>
        <oleObject progId="Equation.3" shapeId="61471" r:id="rId21"/>
      </mc:Fallback>
    </mc:AlternateContent>
    <mc:AlternateContent xmlns:mc="http://schemas.openxmlformats.org/markup-compatibility/2006">
      <mc:Choice Requires="x14">
        <oleObject progId="Equation.3" shapeId="61472" r:id="rId23">
          <objectPr defaultSize="0" autoPict="0" r:id="rId24">
            <anchor moveWithCells="1" sizeWithCells="1">
              <from>
                <xdr:col>42</xdr:col>
                <xdr:colOff>276225</xdr:colOff>
                <xdr:row>252</xdr:row>
                <xdr:rowOff>209550</xdr:rowOff>
              </from>
              <to>
                <xdr:col>42</xdr:col>
                <xdr:colOff>2133600</xdr:colOff>
                <xdr:row>252</xdr:row>
                <xdr:rowOff>752475</xdr:rowOff>
              </to>
            </anchor>
          </objectPr>
        </oleObject>
      </mc:Choice>
      <mc:Fallback>
        <oleObject progId="Equation.3" shapeId="61472" r:id="rId23"/>
      </mc:Fallback>
    </mc:AlternateContent>
    <mc:AlternateContent xmlns:mc="http://schemas.openxmlformats.org/markup-compatibility/2006">
      <mc:Choice Requires="x14">
        <oleObject progId="Equation.3" shapeId="61473" r:id="rId25">
          <objectPr defaultSize="0" autoPict="0" r:id="rId26">
            <anchor moveWithCells="1" sizeWithCells="1">
              <from>
                <xdr:col>42</xdr:col>
                <xdr:colOff>276225</xdr:colOff>
                <xdr:row>250</xdr:row>
                <xdr:rowOff>209550</xdr:rowOff>
              </from>
              <to>
                <xdr:col>42</xdr:col>
                <xdr:colOff>2133600</xdr:colOff>
                <xdr:row>250</xdr:row>
                <xdr:rowOff>752475</xdr:rowOff>
              </to>
            </anchor>
          </objectPr>
        </oleObject>
      </mc:Choice>
      <mc:Fallback>
        <oleObject progId="Equation.3" shapeId="61473" r:id="rId25"/>
      </mc:Fallback>
    </mc:AlternateContent>
    <mc:AlternateContent xmlns:mc="http://schemas.openxmlformats.org/markup-compatibility/2006">
      <mc:Choice Requires="x14">
        <oleObject progId="Equation.3" shapeId="61474" r:id="rId27">
          <objectPr defaultSize="0" autoPict="0" r:id="rId28">
            <anchor moveWithCells="1" sizeWithCells="1">
              <from>
                <xdr:col>42</xdr:col>
                <xdr:colOff>276225</xdr:colOff>
                <xdr:row>251</xdr:row>
                <xdr:rowOff>209550</xdr:rowOff>
              </from>
              <to>
                <xdr:col>42</xdr:col>
                <xdr:colOff>2133600</xdr:colOff>
                <xdr:row>251</xdr:row>
                <xdr:rowOff>752475</xdr:rowOff>
              </to>
            </anchor>
          </objectPr>
        </oleObject>
      </mc:Choice>
      <mc:Fallback>
        <oleObject progId="Equation.3" shapeId="61474" r:id="rId27"/>
      </mc:Fallback>
    </mc:AlternateContent>
    <mc:AlternateContent xmlns:mc="http://schemas.openxmlformats.org/markup-compatibility/2006">
      <mc:Choice Requires="x14">
        <oleObject progId="Equation.3" shapeId="61487" r:id="rId29">
          <objectPr defaultSize="0" autoPict="0" r:id="rId6">
            <anchor moveWithCells="1" sizeWithCells="1">
              <from>
                <xdr:col>42</xdr:col>
                <xdr:colOff>66675</xdr:colOff>
                <xdr:row>83</xdr:row>
                <xdr:rowOff>0</xdr:rowOff>
              </from>
              <to>
                <xdr:col>42</xdr:col>
                <xdr:colOff>2533650</xdr:colOff>
                <xdr:row>83</xdr:row>
                <xdr:rowOff>0</xdr:rowOff>
              </to>
            </anchor>
          </objectPr>
        </oleObject>
      </mc:Choice>
      <mc:Fallback>
        <oleObject progId="Equation.3" shapeId="61487" r:id="rId29"/>
      </mc:Fallback>
    </mc:AlternateContent>
    <mc:AlternateContent xmlns:mc="http://schemas.openxmlformats.org/markup-compatibility/2006">
      <mc:Choice Requires="x14">
        <oleObject progId="Equation.3" shapeId="61488" r:id="rId30">
          <objectPr defaultSize="0" autoPict="0" r:id="rId8">
            <anchor moveWithCells="1" sizeWithCells="1">
              <from>
                <xdr:col>42</xdr:col>
                <xdr:colOff>104775</xdr:colOff>
                <xdr:row>83</xdr:row>
                <xdr:rowOff>0</xdr:rowOff>
              </from>
              <to>
                <xdr:col>42</xdr:col>
                <xdr:colOff>2533650</xdr:colOff>
                <xdr:row>83</xdr:row>
                <xdr:rowOff>0</xdr:rowOff>
              </to>
            </anchor>
          </objectPr>
        </oleObject>
      </mc:Choice>
      <mc:Fallback>
        <oleObject progId="Equation.3" shapeId="61488" r:id="rId30"/>
      </mc:Fallback>
    </mc:AlternateContent>
    <mc:AlternateContent xmlns:mc="http://schemas.openxmlformats.org/markup-compatibility/2006">
      <mc:Choice Requires="x14">
        <oleObject progId="Equation.3" shapeId="61489" r:id="rId31">
          <objectPr defaultSize="0" autoPict="0" r:id="rId10">
            <anchor moveWithCells="1" sizeWithCells="1">
              <from>
                <xdr:col>42</xdr:col>
                <xdr:colOff>85725</xdr:colOff>
                <xdr:row>83</xdr:row>
                <xdr:rowOff>0</xdr:rowOff>
              </from>
              <to>
                <xdr:col>42</xdr:col>
                <xdr:colOff>2533650</xdr:colOff>
                <xdr:row>83</xdr:row>
                <xdr:rowOff>0</xdr:rowOff>
              </to>
            </anchor>
          </objectPr>
        </oleObject>
      </mc:Choice>
      <mc:Fallback>
        <oleObject progId="Equation.3" shapeId="61489" r:id="rId31"/>
      </mc:Fallback>
    </mc:AlternateContent>
    <mc:AlternateContent xmlns:mc="http://schemas.openxmlformats.org/markup-compatibility/2006">
      <mc:Choice Requires="x14">
        <oleObject progId="Equation.3" shapeId="61490" r:id="rId32">
          <objectPr defaultSize="0" autoPict="0" r:id="rId12">
            <anchor moveWithCells="1" sizeWithCells="1">
              <from>
                <xdr:col>42</xdr:col>
                <xdr:colOff>28575</xdr:colOff>
                <xdr:row>83</xdr:row>
                <xdr:rowOff>0</xdr:rowOff>
              </from>
              <to>
                <xdr:col>42</xdr:col>
                <xdr:colOff>2505075</xdr:colOff>
                <xdr:row>83</xdr:row>
                <xdr:rowOff>0</xdr:rowOff>
              </to>
            </anchor>
          </objectPr>
        </oleObject>
      </mc:Choice>
      <mc:Fallback>
        <oleObject progId="Equation.3" shapeId="61490" r:id="rId32"/>
      </mc:Fallback>
    </mc:AlternateContent>
    <mc:AlternateContent xmlns:mc="http://schemas.openxmlformats.org/markup-compatibility/2006">
      <mc:Choice Requires="x14">
        <oleObject progId="Equation.3" shapeId="61623" r:id="rId33">
          <objectPr defaultSize="0" autoPict="0" r:id="rId34">
            <anchor moveWithCells="1" sizeWithCells="1">
              <from>
                <xdr:col>42</xdr:col>
                <xdr:colOff>28575</xdr:colOff>
                <xdr:row>271</xdr:row>
                <xdr:rowOff>371475</xdr:rowOff>
              </from>
              <to>
                <xdr:col>42</xdr:col>
                <xdr:colOff>2505075</xdr:colOff>
                <xdr:row>271</xdr:row>
                <xdr:rowOff>800100</xdr:rowOff>
              </to>
            </anchor>
          </objectPr>
        </oleObject>
      </mc:Choice>
      <mc:Fallback>
        <oleObject progId="Equation.3" shapeId="61623" r:id="rId33"/>
      </mc:Fallback>
    </mc:AlternateContent>
    <mc:AlternateContent xmlns:mc="http://schemas.openxmlformats.org/markup-compatibility/2006">
      <mc:Choice Requires="x14">
        <oleObject progId="Equation.3" shapeId="61637" r:id="rId35">
          <objectPr defaultSize="0" autoPict="0" r:id="rId10">
            <anchor moveWithCells="1" sizeWithCells="1">
              <from>
                <xdr:col>42</xdr:col>
                <xdr:colOff>57150</xdr:colOff>
                <xdr:row>4</xdr:row>
                <xdr:rowOff>381000</xdr:rowOff>
              </from>
              <to>
                <xdr:col>42</xdr:col>
                <xdr:colOff>2752725</xdr:colOff>
                <xdr:row>4</xdr:row>
                <xdr:rowOff>981075</xdr:rowOff>
              </to>
            </anchor>
          </objectPr>
        </oleObject>
      </mc:Choice>
      <mc:Fallback>
        <oleObject progId="Equation.3" shapeId="61637" r:id="rId35"/>
      </mc:Fallback>
    </mc:AlternateContent>
    <mc:AlternateContent xmlns:mc="http://schemas.openxmlformats.org/markup-compatibility/2006">
      <mc:Choice Requires="x14">
        <oleObject progId="Equation.3" shapeId="61638" r:id="rId36">
          <objectPr defaultSize="0" autoPict="0" r:id="rId12">
            <anchor moveWithCells="1" sizeWithCells="1">
              <from>
                <xdr:col>42</xdr:col>
                <xdr:colOff>57150</xdr:colOff>
                <xdr:row>3</xdr:row>
                <xdr:rowOff>609600</xdr:rowOff>
              </from>
              <to>
                <xdr:col>43</xdr:col>
                <xdr:colOff>66675</xdr:colOff>
                <xdr:row>3</xdr:row>
                <xdr:rowOff>1247775</xdr:rowOff>
              </to>
            </anchor>
          </objectPr>
        </oleObject>
      </mc:Choice>
      <mc:Fallback>
        <oleObject progId="Equation.3" shapeId="61638" r:id="rId36"/>
      </mc:Fallback>
    </mc:AlternateContent>
    <mc:AlternateContent xmlns:mc="http://schemas.openxmlformats.org/markup-compatibility/2006">
      <mc:Choice Requires="x14">
        <oleObject progId="Equation.3" shapeId="61639" r:id="rId37">
          <objectPr defaultSize="0" autoPict="0" r:id="rId38">
            <anchor moveWithCells="1" sizeWithCells="1">
              <from>
                <xdr:col>42</xdr:col>
                <xdr:colOff>38100</xdr:colOff>
                <xdr:row>6</xdr:row>
                <xdr:rowOff>638175</xdr:rowOff>
              </from>
              <to>
                <xdr:col>43</xdr:col>
                <xdr:colOff>57150</xdr:colOff>
                <xdr:row>6</xdr:row>
                <xdr:rowOff>1028700</xdr:rowOff>
              </to>
            </anchor>
          </objectPr>
        </oleObject>
      </mc:Choice>
      <mc:Fallback>
        <oleObject progId="Equation.3" shapeId="61639" r:id="rId37"/>
      </mc:Fallback>
    </mc:AlternateContent>
    <mc:AlternateContent xmlns:mc="http://schemas.openxmlformats.org/markup-compatibility/2006">
      <mc:Choice Requires="x14">
        <oleObject progId="Equation.3" shapeId="61642" r:id="rId39">
          <objectPr defaultSize="0" autoPict="0" r:id="rId40">
            <anchor moveWithCells="1">
              <from>
                <xdr:col>42</xdr:col>
                <xdr:colOff>57150</xdr:colOff>
                <xdr:row>195</xdr:row>
                <xdr:rowOff>847725</xdr:rowOff>
              </from>
              <to>
                <xdr:col>42</xdr:col>
                <xdr:colOff>2724150</xdr:colOff>
                <xdr:row>196</xdr:row>
                <xdr:rowOff>742950</xdr:rowOff>
              </to>
            </anchor>
          </objectPr>
        </oleObject>
      </mc:Choice>
      <mc:Fallback>
        <oleObject progId="Equation.3" shapeId="61642" r:id="rId39"/>
      </mc:Fallback>
    </mc:AlternateContent>
    <mc:AlternateContent xmlns:mc="http://schemas.openxmlformats.org/markup-compatibility/2006">
      <mc:Choice Requires="x14">
        <oleObject progId="Equation.3" shapeId="61631" r:id="rId41">
          <objectPr defaultSize="0" autoPict="0" r:id="rId42">
            <anchor moveWithCells="1" sizeWithCells="1">
              <from>
                <xdr:col>42</xdr:col>
                <xdr:colOff>885825</xdr:colOff>
                <xdr:row>10</xdr:row>
                <xdr:rowOff>0</xdr:rowOff>
              </from>
              <to>
                <xdr:col>42</xdr:col>
                <xdr:colOff>819150</xdr:colOff>
                <xdr:row>10</xdr:row>
                <xdr:rowOff>0</xdr:rowOff>
              </to>
            </anchor>
          </objectPr>
        </oleObject>
      </mc:Choice>
      <mc:Fallback>
        <oleObject progId="Equation.3" shapeId="61631" r:id="rId41"/>
      </mc:Fallback>
    </mc:AlternateContent>
    <mc:AlternateContent xmlns:mc="http://schemas.openxmlformats.org/markup-compatibility/2006">
      <mc:Choice Requires="x14">
        <oleObject progId="Equation.3" shapeId="61798" r:id="rId43">
          <objectPr defaultSize="0" autoPict="0" r:id="rId6">
            <anchor moveWithCells="1" sizeWithCells="1">
              <from>
                <xdr:col>41</xdr:col>
                <xdr:colOff>1543050</xdr:colOff>
                <xdr:row>156</xdr:row>
                <xdr:rowOff>0</xdr:rowOff>
              </from>
              <to>
                <xdr:col>42</xdr:col>
                <xdr:colOff>1438275</xdr:colOff>
                <xdr:row>156</xdr:row>
                <xdr:rowOff>0</xdr:rowOff>
              </to>
            </anchor>
          </objectPr>
        </oleObject>
      </mc:Choice>
      <mc:Fallback>
        <oleObject progId="Equation.3" shapeId="61798" r:id="rId43"/>
      </mc:Fallback>
    </mc:AlternateContent>
    <mc:AlternateContent xmlns:mc="http://schemas.openxmlformats.org/markup-compatibility/2006">
      <mc:Choice Requires="x14">
        <oleObject progId="Equation.3" shapeId="61799" r:id="rId44">
          <objectPr defaultSize="0" autoPict="0" r:id="rId8">
            <anchor moveWithCells="1" sizeWithCells="1">
              <from>
                <xdr:col>41</xdr:col>
                <xdr:colOff>1571625</xdr:colOff>
                <xdr:row>156</xdr:row>
                <xdr:rowOff>0</xdr:rowOff>
              </from>
              <to>
                <xdr:col>42</xdr:col>
                <xdr:colOff>1438275</xdr:colOff>
                <xdr:row>156</xdr:row>
                <xdr:rowOff>0</xdr:rowOff>
              </to>
            </anchor>
          </objectPr>
        </oleObject>
      </mc:Choice>
      <mc:Fallback>
        <oleObject progId="Equation.3" shapeId="61799" r:id="rId44"/>
      </mc:Fallback>
    </mc:AlternateContent>
    <mc:AlternateContent xmlns:mc="http://schemas.openxmlformats.org/markup-compatibility/2006">
      <mc:Choice Requires="x14">
        <oleObject progId="Equation.3" shapeId="61800" r:id="rId45">
          <objectPr defaultSize="0" autoPict="0" r:id="rId10">
            <anchor moveWithCells="1" sizeWithCells="1">
              <from>
                <xdr:col>41</xdr:col>
                <xdr:colOff>1552575</xdr:colOff>
                <xdr:row>156</xdr:row>
                <xdr:rowOff>0</xdr:rowOff>
              </from>
              <to>
                <xdr:col>42</xdr:col>
                <xdr:colOff>1438275</xdr:colOff>
                <xdr:row>156</xdr:row>
                <xdr:rowOff>0</xdr:rowOff>
              </to>
            </anchor>
          </objectPr>
        </oleObject>
      </mc:Choice>
      <mc:Fallback>
        <oleObject progId="Equation.3" shapeId="61800" r:id="rId45"/>
      </mc:Fallback>
    </mc:AlternateContent>
    <mc:AlternateContent xmlns:mc="http://schemas.openxmlformats.org/markup-compatibility/2006">
      <mc:Choice Requires="x14">
        <oleObject progId="Equation.3" shapeId="61801" r:id="rId46">
          <objectPr defaultSize="0" autoPict="0" r:id="rId12">
            <anchor moveWithCells="1" sizeWithCells="1">
              <from>
                <xdr:col>41</xdr:col>
                <xdr:colOff>1514475</xdr:colOff>
                <xdr:row>156</xdr:row>
                <xdr:rowOff>0</xdr:rowOff>
              </from>
              <to>
                <xdr:col>42</xdr:col>
                <xdr:colOff>1409700</xdr:colOff>
                <xdr:row>156</xdr:row>
                <xdr:rowOff>0</xdr:rowOff>
              </to>
            </anchor>
          </objectPr>
        </oleObject>
      </mc:Choice>
      <mc:Fallback>
        <oleObject progId="Equation.3" shapeId="61801" r:id="rId46"/>
      </mc:Fallback>
    </mc:AlternateContent>
    <mc:AlternateContent xmlns:mc="http://schemas.openxmlformats.org/markup-compatibility/2006">
      <mc:Choice Requires="x14">
        <oleObject progId="Equation.DSMT4" shapeId="61808" r:id="rId47">
          <objectPr defaultSize="0" autoPict="0" r:id="rId48">
            <anchor moveWithCells="1" sizeWithCells="1">
              <from>
                <xdr:col>42</xdr:col>
                <xdr:colOff>352425</xdr:colOff>
                <xdr:row>82</xdr:row>
                <xdr:rowOff>628650</xdr:rowOff>
              </from>
              <to>
                <xdr:col>42</xdr:col>
                <xdr:colOff>2181225</xdr:colOff>
                <xdr:row>82</xdr:row>
                <xdr:rowOff>1066800</xdr:rowOff>
              </to>
            </anchor>
          </objectPr>
        </oleObject>
      </mc:Choice>
      <mc:Fallback>
        <oleObject progId="Equation.DSMT4" shapeId="61808" r:id="rId47"/>
      </mc:Fallback>
    </mc:AlternateContent>
    <mc:AlternateContent xmlns:mc="http://schemas.openxmlformats.org/markup-compatibility/2006">
      <mc:Choice Requires="x14">
        <oleObject progId="Equation.DSMT4" shapeId="61809" r:id="rId49">
          <objectPr defaultSize="0" autoPict="0" r:id="rId50">
            <anchor moveWithCells="1" sizeWithCells="1">
              <from>
                <xdr:col>42</xdr:col>
                <xdr:colOff>304800</xdr:colOff>
                <xdr:row>81</xdr:row>
                <xdr:rowOff>771525</xdr:rowOff>
              </from>
              <to>
                <xdr:col>42</xdr:col>
                <xdr:colOff>2257425</xdr:colOff>
                <xdr:row>81</xdr:row>
                <xdr:rowOff>1200150</xdr:rowOff>
              </to>
            </anchor>
          </objectPr>
        </oleObject>
      </mc:Choice>
      <mc:Fallback>
        <oleObject progId="Equation.DSMT4" shapeId="61809" r:id="rId49"/>
      </mc:Fallback>
    </mc:AlternateContent>
    <mc:AlternateContent xmlns:mc="http://schemas.openxmlformats.org/markup-compatibility/2006">
      <mc:Choice Requires="x14">
        <oleObject progId="Equation.3" shapeId="61810" r:id="rId51">
          <objectPr defaultSize="0" autoPict="0" r:id="rId52">
            <anchor moveWithCells="1" sizeWithCells="1">
              <from>
                <xdr:col>42</xdr:col>
                <xdr:colOff>314325</xdr:colOff>
                <xdr:row>122</xdr:row>
                <xdr:rowOff>981075</xdr:rowOff>
              </from>
              <to>
                <xdr:col>42</xdr:col>
                <xdr:colOff>2200275</xdr:colOff>
                <xdr:row>122</xdr:row>
                <xdr:rowOff>1628775</xdr:rowOff>
              </to>
            </anchor>
          </objectPr>
        </oleObject>
      </mc:Choice>
      <mc:Fallback>
        <oleObject progId="Equation.3" shapeId="61810" r:id="rId51"/>
      </mc:Fallback>
    </mc:AlternateContent>
    <mc:AlternateContent xmlns:mc="http://schemas.openxmlformats.org/markup-compatibility/2006">
      <mc:Choice Requires="x14">
        <oleObject progId="Equation.3" shapeId="61811" r:id="rId53">
          <objectPr defaultSize="0" autoPict="0" r:id="rId54">
            <anchor moveWithCells="1" sizeWithCells="1">
              <from>
                <xdr:col>42</xdr:col>
                <xdr:colOff>333375</xdr:colOff>
                <xdr:row>125</xdr:row>
                <xdr:rowOff>142875</xdr:rowOff>
              </from>
              <to>
                <xdr:col>42</xdr:col>
                <xdr:colOff>2257425</xdr:colOff>
                <xdr:row>125</xdr:row>
                <xdr:rowOff>771525</xdr:rowOff>
              </to>
            </anchor>
          </objectPr>
        </oleObject>
      </mc:Choice>
      <mc:Fallback>
        <oleObject progId="Equation.3" shapeId="61811" r:id="rId53"/>
      </mc:Fallback>
    </mc:AlternateContent>
    <mc:AlternateContent xmlns:mc="http://schemas.openxmlformats.org/markup-compatibility/2006">
      <mc:Choice Requires="x14">
        <oleObject progId="Equation.3" shapeId="61812" r:id="rId55">
          <objectPr defaultSize="0" autoPict="0" r:id="rId56">
            <anchor moveWithCells="1" sizeWithCells="1">
              <from>
                <xdr:col>42</xdr:col>
                <xdr:colOff>247650</xdr:colOff>
                <xdr:row>127</xdr:row>
                <xdr:rowOff>161925</xdr:rowOff>
              </from>
              <to>
                <xdr:col>42</xdr:col>
                <xdr:colOff>2305050</xdr:colOff>
                <xdr:row>127</xdr:row>
                <xdr:rowOff>771525</xdr:rowOff>
              </to>
            </anchor>
          </objectPr>
        </oleObject>
      </mc:Choice>
      <mc:Fallback>
        <oleObject progId="Equation.3" shapeId="61812" r:id="rId55"/>
      </mc:Fallback>
    </mc:AlternateContent>
    <mc:AlternateContent xmlns:mc="http://schemas.openxmlformats.org/markup-compatibility/2006">
      <mc:Choice Requires="x14">
        <oleObject progId="Equation.3" shapeId="61813" r:id="rId57">
          <objectPr defaultSize="0" autoPict="0" r:id="rId58">
            <anchor moveWithCells="1" sizeWithCells="1">
              <from>
                <xdr:col>42</xdr:col>
                <xdr:colOff>238125</xdr:colOff>
                <xdr:row>126</xdr:row>
                <xdr:rowOff>171450</xdr:rowOff>
              </from>
              <to>
                <xdr:col>42</xdr:col>
                <xdr:colOff>2266950</xdr:colOff>
                <xdr:row>126</xdr:row>
                <xdr:rowOff>847725</xdr:rowOff>
              </to>
            </anchor>
          </objectPr>
        </oleObject>
      </mc:Choice>
      <mc:Fallback>
        <oleObject progId="Equation.3" shapeId="61813" r:id="rId57"/>
      </mc:Fallback>
    </mc:AlternateContent>
    <mc:AlternateContent xmlns:mc="http://schemas.openxmlformats.org/markup-compatibility/2006">
      <mc:Choice Requires="x14">
        <oleObject progId="Equation.3" shapeId="61814" r:id="rId59">
          <objectPr defaultSize="0" autoPict="0" r:id="rId60">
            <anchor moveWithCells="1" sizeWithCells="1">
              <from>
                <xdr:col>42</xdr:col>
                <xdr:colOff>152400</xdr:colOff>
                <xdr:row>128</xdr:row>
                <xdr:rowOff>142875</xdr:rowOff>
              </from>
              <to>
                <xdr:col>42</xdr:col>
                <xdr:colOff>2333625</xdr:colOff>
                <xdr:row>128</xdr:row>
                <xdr:rowOff>742950</xdr:rowOff>
              </to>
            </anchor>
          </objectPr>
        </oleObject>
      </mc:Choice>
      <mc:Fallback>
        <oleObject progId="Equation.3" shapeId="61814" r:id="rId59"/>
      </mc:Fallback>
    </mc:AlternateContent>
    <mc:AlternateContent xmlns:mc="http://schemas.openxmlformats.org/markup-compatibility/2006">
      <mc:Choice Requires="x14">
        <oleObject progId="Equation.3" shapeId="61815" r:id="rId61">
          <objectPr defaultSize="0" autoPict="0" r:id="rId62">
            <anchor moveWithCells="1" sizeWithCells="1">
              <from>
                <xdr:col>42</xdr:col>
                <xdr:colOff>381000</xdr:colOff>
                <xdr:row>263</xdr:row>
                <xdr:rowOff>209550</xdr:rowOff>
              </from>
              <to>
                <xdr:col>42</xdr:col>
                <xdr:colOff>2085975</xdr:colOff>
                <xdr:row>263</xdr:row>
                <xdr:rowOff>800100</xdr:rowOff>
              </to>
            </anchor>
          </objectPr>
        </oleObject>
      </mc:Choice>
      <mc:Fallback>
        <oleObject progId="Equation.3" shapeId="61815" r:id="rId61"/>
      </mc:Fallback>
    </mc:AlternateContent>
  </oleObjects>
  <extLst>
    <ext xmlns:x14="http://schemas.microsoft.com/office/spreadsheetml/2009/9/main" uri="{CCE6A557-97BC-4b89-ADB6-D9C93CAAB3DF}">
      <x14:dataValidations xmlns:xm="http://schemas.microsoft.com/office/excel/2006/main" count="31">
        <x14:dataValidation type="list" allowBlank="1" showInputMessage="1" showErrorMessage="1" xr:uid="{00000000-0002-0000-0400-000003000000}">
          <x14:formula1>
            <xm:f>'C:\Users\sclaros\Desktop\Gestión 2018\PDES - ODS\MCyT\[4 Matriz Viceministerio de Turismo 03.05.18.xlsx]Combos'!#REF!</xm:f>
          </x14:formula1>
          <xm:sqref>AL39:AM43 CM40:CM43</xm:sqref>
        </x14:dataValidation>
        <x14:dataValidation type="list" allowBlank="1" showInputMessage="1" showErrorMessage="1" xr:uid="{00000000-0002-0000-0400-000004000000}">
          <x14:formula1>
            <xm:f>'C:\Users\sclaros\Desktop\[1 FLUVIAL Matriz_Metadatos_Indicadores_PDS_ODS_4Abril2018_Noche (5).xlsx]Combos'!#REF!</xm:f>
          </x14:formula1>
          <xm:sqref>AA23:AA25 AL25 AM23:AM25 CO23:CQ25 AG23:AG24</xm:sqref>
        </x14:dataValidation>
        <x14:dataValidation type="list" allowBlank="1" showInputMessage="1" showErrorMessage="1" xr:uid="{00000000-0002-0000-0400-000005000000}">
          <x14:formula1>
            <xm:f>'E:\Informacion\2018TAREAS\ODS\MATRICES CONCLUIDAS\NUEVAS MATRICES AJUSTANDO FORMULAS\ultimo sectores energia hidrocarb mineria DB\[5 Matriz_Metadatos_Indicadores_PDS_ODS_Pilar 7 MMM.xlsx]Combos'!#REF!</xm:f>
          </x14:formula1>
          <xm:sqref>AL53:AM60 AA53:AA60 CM53:CQ60</xm:sqref>
        </x14:dataValidation>
        <x14:dataValidation type="list" allowBlank="1" showInputMessage="1" showErrorMessage="1" xr:uid="{00000000-0002-0000-0400-000006000000}">
          <x14:formula1>
            <xm:f>'E:\Informacion\2018TAREAS\ODS\MATRICES CONCLUIDAS\NUEVAS MATRICES AJUSTANDO FORMULAS\ultimo sectores energia hidrocarb mineria DB\[2018-04-30 MATRIZ METADATOS INDICADORES MH.xlsx]Combos'!#REF!</xm:f>
          </x14:formula1>
          <xm:sqref>AL61:AM68 CM61:CQ68 AG61:AG68 AA61:AA66</xm:sqref>
        </x14:dataValidation>
        <x14:dataValidation type="list" allowBlank="1" showInputMessage="1" showErrorMessage="1" xr:uid="{00000000-0002-0000-0400-000007000000}">
          <x14:formula1>
            <xm:f>'C:\Users\lsoriagalvarro\Downloads\[Copy of PARA META 1,2,5 Y 6       08 05  2018rev (1).xlsx]Combos'!#REF!</xm:f>
          </x14:formula1>
          <xm:sqref>CM77:CP79 CM96:CP96 AL77:AM79 AL96:AM98 AL100:AM101</xm:sqref>
        </x14:dataValidation>
        <x14:dataValidation type="list" allowBlank="1" showInputMessage="1" showErrorMessage="1" xr:uid="{00000000-0002-0000-0400-000008000000}">
          <x14:formula1>
            <xm:f>'K:\Users\Ayala\Desktop\[TELESALUD matriz metadatos ind (fin).xlsx]Combos'!#REF!</xm:f>
          </x14:formula1>
          <xm:sqref>AA141:AA142 CN141:CR142 AL141:AL142 AG141:AG142 AG102:AG106 AL111 T111 AA111 AG111 M111 M113:M114 CM111:CQ111 AL102:AM106 CM102:CQ106 AA102:AA106</xm:sqref>
        </x14:dataValidation>
        <x14:dataValidation type="list" allowBlank="1" showInputMessage="1" showErrorMessage="1" xr:uid="{00000000-0002-0000-0400-000009000000}">
          <x14:formula1>
            <xm:f>'E:\backup alcamacho marzo 2018\Evaluación de medio termino\[Matriz DGP.xlsx]Combos'!#REF!</xm:f>
          </x14:formula1>
          <xm:sqref>CM140:CQ140 AM140 CM124:CO124 CM118:CO121 CC122 AM118:AM124 CP118:CQ124 AA118:AA119</xm:sqref>
        </x14:dataValidation>
        <x14:dataValidation type="list" allowBlank="1" showInputMessage="1" showErrorMessage="1" xr:uid="{00000000-0002-0000-0400-00000A000000}">
          <x14:formula1>
            <xm:f>'F:\[MATRIZ METADATOS PILARES 1 Y 11 MIN GOB  16.04.2018 (1)patricia.xlsx]Combos'!#REF!</xm:f>
          </x14:formula1>
          <xm:sqref>AM167 AM171:AM172</xm:sqref>
        </x14:dataValidation>
        <x14:dataValidation type="list" allowBlank="1" showInputMessage="1" showErrorMessage="1" xr:uid="{00000000-0002-0000-0400-00000B000000}">
          <x14:formula1>
            <xm:f>'E:\Users\Plani-2017\Desktop\PDES-ODS\REUNIONES LUNES\[MATRIZ METADATOS PILARES 1 Y 11 MIN GOB  16.04.2018.xlsx]Combos'!#REF!</xm:f>
          </x14:formula1>
          <xm:sqref>AM165:AM166</xm:sqref>
        </x14:dataValidation>
        <x14:dataValidation type="list" allowBlank="1" showInputMessage="1" showErrorMessage="1" xr:uid="{00000000-0002-0000-0400-00000C000000}">
          <x14:formula1>
            <xm:f>'C:\Users\Plani-2017\Desktop\PDES-ODS\REUNIONES LUNES\[MATRIZ METADATOS PILARES 1 Y 11 MIN GOB  16.04.2018.xlsx]Combos'!#REF!</xm:f>
          </x14:formula1>
          <xm:sqref>AM173:AM174 AG173 AM177 AH177 AH163:AH172 AA204:AA206 AG202 AG204</xm:sqref>
        </x14:dataValidation>
        <x14:dataValidation type="list" allowBlank="1" showInputMessage="1" showErrorMessage="1" xr:uid="{00000000-0002-0000-0400-00000D000000}">
          <x14:formula1>
            <xm:f>'C:\Users\Plani-2017\Desktop\PDES-ODS\MATRICES UO\[Matriz_Metadatos_ DIGEM)IG.xlsx]Combos'!#REF!</xm:f>
          </x14:formula1>
          <xm:sqref>AY180 BD180 AS180</xm:sqref>
        </x14:dataValidation>
        <x14:dataValidation type="list" allowBlank="1" showInputMessage="1" showErrorMessage="1" xr:uid="{00000000-0002-0000-0400-00000E000000}">
          <x14:formula1>
            <xm:f>'C:\Users\Plani-2017\Desktop\PDES-ODS\MATRICES UO\[MATRIZ METADATOS PILARES 1 Y 11  .xlsx]Combos'!#REF!</xm:f>
          </x14:formula1>
          <xm:sqref>AM176 AA152:AA181</xm:sqref>
        </x14:dataValidation>
        <x14:dataValidation type="list" allowBlank="1" showInputMessage="1" showErrorMessage="1" xr:uid="{00000000-0002-0000-0400-00000F000000}">
          <x14:formula1>
            <xm:f>'C:\Users\Plani-2017\Desktop\PDES-ODS\MATRICES UO\[MATRIZ METADATOSdgrp.2018.xlsx]Combos'!#REF!</xm:f>
          </x14:formula1>
          <xm:sqref>AH178:AH179</xm:sqref>
        </x14:dataValidation>
        <x14:dataValidation type="list" allowBlank="1" showInputMessage="1" showErrorMessage="1" xr:uid="{00000000-0002-0000-0400-000010000000}">
          <x14:formula1>
            <xm:f>'E:\OTROS\ODS\informe seguimiento ODS PDES 2018\comision transparencia seguridad\reunión defensa 19abr2018\[Matriz_Metadatos_Indicadores_PDS_ODS_DEFENSA 19abr2018.xlsx]Combos'!#REF!</xm:f>
          </x14:formula1>
          <xm:sqref>AM181</xm:sqref>
        </x14:dataValidation>
        <x14:dataValidation type="list" allowBlank="1" showInputMessage="1" showErrorMessage="1" xr:uid="{00000000-0002-0000-0400-000011000000}">
          <x14:formula1>
            <xm:f>'E:\Informacion\2018TAREAS\ODS\MATRICES CONCLUIDAS\NUEVAS MATRICES AJUSTANDO FORMULAS\[9 Agua y Saneamiento Basico.xlsx]Combos'!#REF!</xm:f>
          </x14:formula1>
          <xm:sqref>AL182:AM187 AA182:AA187 AG182:AG187 CM182:CQ187</xm:sqref>
        </x14:dataValidation>
        <x14:dataValidation type="list" allowBlank="1" showInputMessage="1" showErrorMessage="1" xr:uid="{00000000-0002-0000-0400-000012000000}">
          <x14:formula1>
            <xm:f>'E:\Informacion\2018TAREAS\ODS\MATRICES CONCLUIDAS\8 Disfrute y felicidad\[27 Interculturalidad.xlsx]Combos'!#REF!</xm:f>
          </x14:formula1>
          <xm:sqref>AL188:AM190 CM188:CQ190</xm:sqref>
        </x14:dataValidation>
        <x14:dataValidation type="list" allowBlank="1" showInputMessage="1" showErrorMessage="1" xr:uid="{00000000-0002-0000-0400-000013000000}">
          <x14:formula1>
            <xm:f>'E:\Informacion\2018TAREAS\ODS\MATRICES CONCLUIDAS\NUEVAS MATRICES AJUSTANDO FORMULAS\[Viceministerio de Descolonizacion16052018 UDAPE FINAL-Proyecciones-FI-MCyT.xlsx]Combos'!#REF!</xm:f>
          </x14:formula1>
          <xm:sqref>AM197:AM198 AM201 AL197:AL201 AA197:AA201 CM197:CQ198 CM201:CQ201</xm:sqref>
        </x14:dataValidation>
        <x14:dataValidation type="list" allowBlank="1" showInputMessage="1" showErrorMessage="1" xr:uid="{00000000-0002-0000-0400-000014000000}">
          <x14:formula1>
            <xm:f>'C:\Users\Ronald\Downloads\[DGLCR.xlsx]Combos'!#REF!</xm:f>
          </x14:formula1>
          <xm:sqref>AM199:AM200 CM199:CQ200</xm:sqref>
        </x14:dataValidation>
        <x14:dataValidation type="list" allowBlank="1" showInputMessage="1" showErrorMessage="1" xr:uid="{00000000-0002-0000-0400-000015000000}">
          <x14:formula1>
            <xm:f>'C:\Users\Plani-2017\Desktop\PDES-ODS\REUNIONES LUNES\[MATRIZ METADATOS PILARES 1 Y 11 MIN GOB lunes.xlsx]Combos'!#REF!</xm:f>
          </x14:formula1>
          <xm:sqref>AL204:AL206</xm:sqref>
        </x14:dataValidation>
        <x14:dataValidation type="list" allowBlank="1" showInputMessage="1" showErrorMessage="1" xr:uid="{00000000-0002-0000-0400-000016000000}">
          <x14:formula1>
            <xm:f>'D:\Backup scarrasco\descargas\[Matriz_Metadatos_Indicadores_PDS_ODS_28Marzo2018_Noche (1).xlsx]Combos'!#REF!</xm:f>
          </x14:formula1>
          <xm:sqref>CM227:CQ228 AM227:AM228</xm:sqref>
        </x14:dataValidation>
        <x14:dataValidation type="list" allowBlank="1" showInputMessage="1" showErrorMessage="1" xr:uid="{00000000-0002-0000-0400-000017000000}">
          <x14:formula1>
            <xm:f>'C:\Users\flanda\AppData\Local\Microsoft\Windows\Temporary Internet Files\Content.Outlook\Q4KGZ23O\[Pilar_6_Matriz_Metadatos_Indicadores_PDS_ODS_GT.xlsx]Combos'!#REF!</xm:f>
          </x14:formula1>
          <xm:sqref>AL222:AM226 AA222:AB226 AG222:AG226 AH225:AH226 AL227:AL228</xm:sqref>
        </x14:dataValidation>
        <x14:dataValidation type="list" allowBlank="1" showInputMessage="1" showErrorMessage="1" xr:uid="{00000000-0002-0000-0400-000018000000}">
          <x14:formula1>
            <xm:f>'E:\Informacion\2018TAREAS\ODS\MATRICES CONCLUIDAS\2 Servicios Basicos\[7 Deportes.xlsx]Combos'!#REF!</xm:f>
          </x14:formula1>
          <xm:sqref>AA229:AA236 AL233 AL229:AL230 AM236 AM229:AM233 CM229:CQ236</xm:sqref>
        </x14:dataValidation>
        <x14:dataValidation type="list" allowBlank="1" showInputMessage="1" showErrorMessage="1" xr:uid="{00000000-0002-0000-0400-000019000000}">
          <x14:formula1>
            <xm:f>'F:\oDS\[25 ABRIL MATRIZ PDES - ODS.xlsx]Combos'!#REF!</xm:f>
          </x14:formula1>
          <xm:sqref>AA264:AA267 AL264:AM267 CM264:CQ267 AG264:AG265</xm:sqref>
        </x14:dataValidation>
        <x14:dataValidation type="list" allowBlank="1" showInputMessage="1" showErrorMessage="1" xr:uid="{00000000-0002-0000-0400-00001A000000}">
          <x14:formula1>
            <xm:f>'C:\Users\framirez\AppData\Local\Microsoft\Windows\Temporary Internet Files\Content.Outlook\WKRBQRGH\[INIAF PROPUESTA (2).xlsx]Combos'!#REF!</xm:f>
          </x14:formula1>
          <xm:sqref>AM255 AA255 CM255:CQ255 CM239:CQ239 AA257 CM257:CQ257 AL257 AL239:AM239 AA239 CM263:CQ263 AA263 AL263:AM263</xm:sqref>
        </x14:dataValidation>
        <x14:dataValidation type="list" allowBlank="1" showInputMessage="1" showErrorMessage="1" xr:uid="{00000000-0002-0000-0400-00001B000000}">
          <x14:formula1>
            <xm:f>'H:\OSMAR\2018\ODS\Para_Informe\Matrices Finales\[272_274.xlsx]Combos'!#REF!</xm:f>
          </x14:formula1>
          <xm:sqref>CM272:CQ273 AL272:AM273 AG272:AG273 AA270:AA273</xm:sqref>
        </x14:dataValidation>
        <x14:dataValidation type="list" allowBlank="1" showInputMessage="1" showErrorMessage="1" xr:uid="{00000000-0002-0000-0400-00001C000000}">
          <x14:formula1>
            <xm:f>'D:\MMAyA_DGP Oscar AA\19 Evaluacion PDES\4 Matrices enviadas 20-04-2018\[Matriz metadatos DGGDF_262_263.xlsx]Combos'!#REF!</xm:f>
          </x14:formula1>
          <xm:sqref>AL270:AM271</xm:sqref>
        </x14:dataValidation>
        <x14:dataValidation type="list" allowBlank="1" showInputMessage="1" showErrorMessage="1" xr:uid="{00000000-0002-0000-0400-00001D000000}">
          <x14:formula1>
            <xm:f>'F:\PDES-ODS\[Matriz_Metadatos_Indicadores_PDS_ODS_28Marzo2018_Noche.xlsx]Combos'!#REF!</xm:f>
          </x14:formula1>
          <xm:sqref>CM278:CQ281</xm:sqref>
        </x14:dataValidation>
        <x14:dataValidation type="list" allowBlank="1" showInputMessage="1" showErrorMessage="1" xr:uid="{00000000-0002-0000-0400-00001E000000}">
          <x14:formula1>
            <xm:f>'E:\Informacion\2018TAREAS\ODS\MATRICES CONCLUIDAS\5 Financiero\Matriz Pilar 5 PDES\5.4 Triplicar las Reservas Financieras Internacionales - copia (4)\[Matriz_Metadatos_Indicadores_PDS_ODS_08 Mayo 2018_REFI.xlsx]Combos'!#REF!</xm:f>
          </x14:formula1>
          <xm:sqref>AL284:AM284 CM284:CQ284</xm:sqref>
        </x14:dataValidation>
        <x14:dataValidation type="list" allowBlank="1" showInputMessage="1" showErrorMessage="1" xr:uid="{00000000-0002-0000-0400-00001F000000}">
          <x14:formula1>
            <xm:f>'C:\Users\rlopez\Desktop\[MEFP Matriz_Metadatos_Indicadores_PDS_ODS_DGCP Y DGAPF.xlsx]Combos'!#REF!</xm:f>
          </x14:formula1>
          <xm:sqref>CM275:CQ276 AL275:AM276</xm:sqref>
        </x14:dataValidation>
        <x14:dataValidation type="list" allowBlank="1" showInputMessage="1" showErrorMessage="1" xr:uid="{00000000-0002-0000-0400-000020000000}">
          <x14:formula1>
            <xm:f>'C:\Users\fcarrasco\Downloads\[Matriz_Metadatos_Indicadores_PDS_ODS_24.04.18_ME eINE.XLSX]Combos'!#REF!</xm:f>
          </x14:formula1>
          <xm:sqref>AA333 CM333:CQ333 AL333:AM333</xm:sqref>
        </x14:dataValidation>
        <x14:dataValidation type="list" allowBlank="1" showInputMessage="1" showErrorMessage="1" xr:uid="{00000000-0002-0000-0400-000021000000}">
          <x14:formula1>
            <xm:f>'E:\REUNIÓN CIMPDS\Educación\[Matriz_Metadatos_Indicadores_PDS_ODS_12.04.18_INE.xlsx]Combos'!#REF!</xm:f>
          </x14:formula1>
          <xm:sqref>AM314 AL334:AM334 AA334 CM334:CQ334 AG315:AG322 AA314:AA332 AM317:AM332 AG324:AG326 AL332 AL318:AL321 CM314:CQ332</xm:sqref>
        </x14:dataValidation>
      </x14:dataValidations>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N1043"/>
  <sheetViews>
    <sheetView topLeftCell="A1015" zoomScaleNormal="100" workbookViewId="0">
      <selection activeCell="E7" sqref="E7"/>
    </sheetView>
  </sheetViews>
  <sheetFormatPr baseColWidth="10" defaultRowHeight="15" x14ac:dyDescent="0.25"/>
  <cols>
    <col min="1" max="1" width="55.85546875" style="6" bestFit="1" customWidth="1"/>
    <col min="2" max="2" width="20.42578125" customWidth="1"/>
    <col min="3" max="3" width="13.42578125" customWidth="1"/>
    <col min="4" max="4" width="20.85546875" customWidth="1"/>
    <col min="5" max="5" width="18.140625" customWidth="1"/>
    <col min="6" max="6" width="17.7109375" customWidth="1"/>
    <col min="7" max="7" width="19.5703125" customWidth="1"/>
    <col min="8" max="8" width="20" customWidth="1"/>
    <col min="9" max="9" width="10" customWidth="1"/>
    <col min="10" max="10" width="11.7109375" customWidth="1"/>
    <col min="11" max="11" width="11.42578125" customWidth="1"/>
    <col min="12" max="12" width="11" customWidth="1"/>
    <col min="13" max="14" width="11.42578125" customWidth="1"/>
    <col min="15" max="146" width="8" customWidth="1"/>
    <col min="147" max="150" width="9" customWidth="1"/>
    <col min="151" max="152" width="8" customWidth="1"/>
    <col min="153" max="155" width="9" customWidth="1"/>
    <col min="156" max="342" width="8" customWidth="1"/>
    <col min="343" max="343" width="7.7109375" customWidth="1"/>
  </cols>
  <sheetData>
    <row r="1" spans="1:14" x14ac:dyDescent="0.25">
      <c r="A1" s="10" t="s">
        <v>26</v>
      </c>
      <c r="B1" s="6" t="s">
        <v>1222</v>
      </c>
    </row>
    <row r="2" spans="1:14" x14ac:dyDescent="0.25">
      <c r="A2" s="10" t="s">
        <v>28</v>
      </c>
      <c r="B2" s="6" t="s">
        <v>1222</v>
      </c>
    </row>
    <row r="3" spans="1:14" x14ac:dyDescent="0.25">
      <c r="A3" s="10" t="s">
        <v>1151</v>
      </c>
      <c r="B3" s="6" t="s">
        <v>1150</v>
      </c>
    </row>
    <row r="4" spans="1:14" x14ac:dyDescent="0.25">
      <c r="A4" s="10" t="s">
        <v>1152</v>
      </c>
      <c r="B4" s="6" t="s">
        <v>1150</v>
      </c>
    </row>
    <row r="5" spans="1:14" x14ac:dyDescent="0.25">
      <c r="A5" s="10" t="s">
        <v>1153</v>
      </c>
      <c r="B5" s="6" t="s">
        <v>1150</v>
      </c>
    </row>
    <row r="6" spans="1:14" x14ac:dyDescent="0.25">
      <c r="A6" s="10" t="s">
        <v>1154</v>
      </c>
      <c r="B6" s="6" t="s">
        <v>1150</v>
      </c>
    </row>
    <row r="7" spans="1:14" x14ac:dyDescent="0.25">
      <c r="A7" s="10" t="s">
        <v>1156</v>
      </c>
      <c r="B7" s="6" t="s">
        <v>1150</v>
      </c>
    </row>
    <row r="8" spans="1:14" x14ac:dyDescent="0.25">
      <c r="A8" s="10" t="s">
        <v>1155</v>
      </c>
      <c r="B8" s="6" t="s">
        <v>1150</v>
      </c>
    </row>
    <row r="9" spans="1:14" x14ac:dyDescent="0.25">
      <c r="A9" s="10" t="s">
        <v>38</v>
      </c>
      <c r="B9" s="6" t="s">
        <v>1150</v>
      </c>
    </row>
    <row r="10" spans="1:14" x14ac:dyDescent="0.25">
      <c r="A10" s="10" t="s">
        <v>39</v>
      </c>
      <c r="B10" s="6" t="s">
        <v>1150</v>
      </c>
    </row>
    <row r="11" spans="1:14" x14ac:dyDescent="0.25">
      <c r="A11" s="10" t="s">
        <v>40</v>
      </c>
      <c r="B11" s="6" t="s">
        <v>1150</v>
      </c>
    </row>
    <row r="13" spans="1:14" ht="45" x14ac:dyDescent="0.25">
      <c r="A13" s="7" t="s">
        <v>803</v>
      </c>
      <c r="B13" s="6" t="s">
        <v>1164</v>
      </c>
      <c r="C13" s="6" t="s">
        <v>1163</v>
      </c>
      <c r="D13" s="6" t="s">
        <v>1162</v>
      </c>
      <c r="E13" s="6" t="s">
        <v>1158</v>
      </c>
      <c r="F13" s="6" t="s">
        <v>1161</v>
      </c>
      <c r="G13" s="6" t="s">
        <v>1159</v>
      </c>
      <c r="H13" s="6" t="s">
        <v>1160</v>
      </c>
      <c r="I13" s="6" t="s">
        <v>1157</v>
      </c>
      <c r="J13" s="6" t="s">
        <v>1165</v>
      </c>
      <c r="K13" s="6" t="s">
        <v>1166</v>
      </c>
      <c r="L13" s="6" t="s">
        <v>1167</v>
      </c>
      <c r="M13" s="6" t="s">
        <v>1168</v>
      </c>
      <c r="N13" s="6" t="s">
        <v>1169</v>
      </c>
    </row>
    <row r="14" spans="1:14" x14ac:dyDescent="0.25">
      <c r="A14" s="8" t="s">
        <v>809</v>
      </c>
      <c r="B14" s="9">
        <v>1</v>
      </c>
      <c r="C14" s="9">
        <v>1</v>
      </c>
      <c r="D14" s="9">
        <v>1</v>
      </c>
      <c r="E14" s="9">
        <v>1</v>
      </c>
      <c r="F14" s="9">
        <v>1</v>
      </c>
      <c r="G14" s="9"/>
      <c r="H14" s="9"/>
      <c r="I14" s="9"/>
      <c r="J14" s="9">
        <v>1</v>
      </c>
      <c r="K14" s="9"/>
      <c r="L14" s="9"/>
      <c r="M14" s="9"/>
      <c r="N14" s="9"/>
    </row>
    <row r="15" spans="1:14" ht="30" x14ac:dyDescent="0.25">
      <c r="A15" s="8" t="s">
        <v>14</v>
      </c>
      <c r="B15" s="9">
        <v>1</v>
      </c>
      <c r="C15" s="9">
        <v>1</v>
      </c>
      <c r="D15" s="9">
        <v>1</v>
      </c>
      <c r="E15" s="9">
        <v>1</v>
      </c>
      <c r="F15" s="9">
        <v>1</v>
      </c>
      <c r="G15" s="9"/>
      <c r="H15" s="9"/>
      <c r="I15" s="9"/>
      <c r="J15" s="9">
        <v>1</v>
      </c>
      <c r="K15" s="9"/>
      <c r="L15" s="9"/>
      <c r="M15" s="9"/>
      <c r="N15" s="9"/>
    </row>
    <row r="16" spans="1:14" x14ac:dyDescent="0.25">
      <c r="A16" s="8" t="s">
        <v>15</v>
      </c>
      <c r="B16" s="9">
        <v>1</v>
      </c>
      <c r="C16" s="9">
        <v>1</v>
      </c>
      <c r="D16" s="9">
        <v>1</v>
      </c>
      <c r="E16" s="9">
        <v>1</v>
      </c>
      <c r="F16" s="9">
        <v>1</v>
      </c>
      <c r="G16" s="9"/>
      <c r="H16" s="9"/>
      <c r="I16" s="9"/>
      <c r="J16" s="9">
        <v>1</v>
      </c>
      <c r="K16" s="9"/>
      <c r="L16" s="9"/>
      <c r="M16" s="9"/>
      <c r="N16" s="9"/>
    </row>
    <row r="17" spans="1:14" x14ac:dyDescent="0.25">
      <c r="A17" s="8" t="s">
        <v>810</v>
      </c>
      <c r="B17" s="9">
        <v>1</v>
      </c>
      <c r="C17" s="9">
        <v>1</v>
      </c>
      <c r="D17" s="9">
        <v>1</v>
      </c>
      <c r="E17" s="9">
        <v>1</v>
      </c>
      <c r="F17" s="9">
        <v>1</v>
      </c>
      <c r="G17" s="9"/>
      <c r="H17" s="9"/>
      <c r="I17" s="9"/>
      <c r="J17" s="9">
        <v>1</v>
      </c>
      <c r="K17" s="9"/>
      <c r="L17" s="9"/>
      <c r="M17" s="9"/>
      <c r="N17" s="9"/>
    </row>
    <row r="18" spans="1:14" ht="30" x14ac:dyDescent="0.25">
      <c r="A18" s="8" t="s">
        <v>18</v>
      </c>
      <c r="B18" s="9">
        <v>1</v>
      </c>
      <c r="C18" s="9">
        <v>1</v>
      </c>
      <c r="D18" s="9">
        <v>1</v>
      </c>
      <c r="E18" s="9">
        <v>1</v>
      </c>
      <c r="F18" s="9">
        <v>1</v>
      </c>
      <c r="G18" s="9"/>
      <c r="H18" s="9"/>
      <c r="I18" s="9"/>
      <c r="J18" s="9">
        <v>1</v>
      </c>
      <c r="K18" s="9"/>
      <c r="L18" s="9"/>
      <c r="M18" s="9"/>
      <c r="N18" s="9"/>
    </row>
    <row r="19" spans="1:14" x14ac:dyDescent="0.25">
      <c r="A19" s="8" t="s">
        <v>19</v>
      </c>
      <c r="B19" s="9">
        <v>1</v>
      </c>
      <c r="C19" s="9">
        <v>1</v>
      </c>
      <c r="D19" s="9">
        <v>1</v>
      </c>
      <c r="E19" s="9">
        <v>1</v>
      </c>
      <c r="F19" s="9">
        <v>1</v>
      </c>
      <c r="G19" s="9"/>
      <c r="H19" s="9"/>
      <c r="I19" s="9"/>
      <c r="J19" s="9">
        <v>1</v>
      </c>
      <c r="K19" s="9"/>
      <c r="L19" s="9"/>
      <c r="M19" s="9"/>
      <c r="N19" s="9"/>
    </row>
    <row r="20" spans="1:14" x14ac:dyDescent="0.25">
      <c r="A20" s="8" t="s">
        <v>811</v>
      </c>
      <c r="B20" s="9">
        <v>1</v>
      </c>
      <c r="C20" s="9">
        <v>1</v>
      </c>
      <c r="D20" s="9">
        <v>1</v>
      </c>
      <c r="E20" s="9">
        <v>1</v>
      </c>
      <c r="F20" s="9"/>
      <c r="G20" s="9"/>
      <c r="H20" s="9">
        <v>1</v>
      </c>
      <c r="I20" s="9"/>
      <c r="J20" s="9"/>
      <c r="K20" s="9"/>
      <c r="L20" s="9">
        <v>1</v>
      </c>
      <c r="M20" s="9"/>
      <c r="N20" s="9"/>
    </row>
    <row r="21" spans="1:14" ht="30" x14ac:dyDescent="0.25">
      <c r="A21" s="8" t="s">
        <v>69</v>
      </c>
      <c r="B21" s="9">
        <v>1</v>
      </c>
      <c r="C21" s="9">
        <v>1</v>
      </c>
      <c r="D21" s="9">
        <v>1</v>
      </c>
      <c r="E21" s="9">
        <v>1</v>
      </c>
      <c r="F21" s="9"/>
      <c r="G21" s="9"/>
      <c r="H21" s="9">
        <v>1</v>
      </c>
      <c r="I21" s="9"/>
      <c r="J21" s="9"/>
      <c r="K21" s="9"/>
      <c r="L21" s="9">
        <v>1</v>
      </c>
      <c r="M21" s="9"/>
      <c r="N21" s="9"/>
    </row>
    <row r="22" spans="1:14" x14ac:dyDescent="0.25">
      <c r="A22" s="8" t="s">
        <v>70</v>
      </c>
      <c r="B22" s="9">
        <v>1</v>
      </c>
      <c r="C22" s="9">
        <v>1</v>
      </c>
      <c r="D22" s="9">
        <v>1</v>
      </c>
      <c r="E22" s="9">
        <v>1</v>
      </c>
      <c r="F22" s="9"/>
      <c r="G22" s="9"/>
      <c r="H22" s="9">
        <v>1</v>
      </c>
      <c r="I22" s="9"/>
      <c r="J22" s="9"/>
      <c r="K22" s="9"/>
      <c r="L22" s="9">
        <v>1</v>
      </c>
      <c r="M22" s="9"/>
      <c r="N22" s="9"/>
    </row>
    <row r="23" spans="1:14" x14ac:dyDescent="0.25">
      <c r="A23" s="8" t="s">
        <v>812</v>
      </c>
      <c r="B23" s="9">
        <v>1</v>
      </c>
      <c r="C23" s="9">
        <v>1</v>
      </c>
      <c r="D23" s="9">
        <v>1</v>
      </c>
      <c r="E23" s="9">
        <v>1</v>
      </c>
      <c r="F23" s="9">
        <v>1</v>
      </c>
      <c r="G23" s="9"/>
      <c r="H23" s="9"/>
      <c r="I23" s="9"/>
      <c r="J23" s="9">
        <v>1</v>
      </c>
      <c r="K23" s="9"/>
      <c r="L23" s="9"/>
      <c r="M23" s="9"/>
      <c r="N23" s="9"/>
    </row>
    <row r="24" spans="1:14" ht="30" x14ac:dyDescent="0.25">
      <c r="A24" s="8" t="s">
        <v>20</v>
      </c>
      <c r="B24" s="9">
        <v>1</v>
      </c>
      <c r="C24" s="9">
        <v>1</v>
      </c>
      <c r="D24" s="9">
        <v>1</v>
      </c>
      <c r="E24" s="9">
        <v>1</v>
      </c>
      <c r="F24" s="9">
        <v>1</v>
      </c>
      <c r="G24" s="9"/>
      <c r="H24" s="9"/>
      <c r="I24" s="9"/>
      <c r="J24" s="9">
        <v>1</v>
      </c>
      <c r="K24" s="9"/>
      <c r="L24" s="9"/>
      <c r="M24" s="9"/>
      <c r="N24" s="9"/>
    </row>
    <row r="25" spans="1:14" ht="30" x14ac:dyDescent="0.25">
      <c r="A25" s="8" t="s">
        <v>21</v>
      </c>
      <c r="B25" s="9">
        <v>1</v>
      </c>
      <c r="C25" s="9">
        <v>1</v>
      </c>
      <c r="D25" s="9">
        <v>1</v>
      </c>
      <c r="E25" s="9">
        <v>1</v>
      </c>
      <c r="F25" s="9">
        <v>1</v>
      </c>
      <c r="G25" s="9"/>
      <c r="H25" s="9"/>
      <c r="I25" s="9"/>
      <c r="J25" s="9">
        <v>1</v>
      </c>
      <c r="K25" s="9"/>
      <c r="L25" s="9"/>
      <c r="M25" s="9"/>
      <c r="N25" s="9"/>
    </row>
    <row r="26" spans="1:14" x14ac:dyDescent="0.25">
      <c r="A26" s="8" t="s">
        <v>813</v>
      </c>
      <c r="B26" s="9">
        <v>1</v>
      </c>
      <c r="C26" s="9">
        <v>1</v>
      </c>
      <c r="D26" s="9">
        <v>1</v>
      </c>
      <c r="E26" s="9">
        <v>1</v>
      </c>
      <c r="F26" s="9"/>
      <c r="G26" s="9">
        <v>1</v>
      </c>
      <c r="H26" s="9"/>
      <c r="I26" s="9"/>
      <c r="J26" s="9"/>
      <c r="K26" s="9"/>
      <c r="L26" s="9">
        <v>1</v>
      </c>
      <c r="M26" s="9"/>
      <c r="N26" s="9"/>
    </row>
    <row r="27" spans="1:14" ht="30" x14ac:dyDescent="0.25">
      <c r="A27" s="8" t="s">
        <v>73</v>
      </c>
      <c r="B27" s="9">
        <v>1</v>
      </c>
      <c r="C27" s="9">
        <v>1</v>
      </c>
      <c r="D27" s="9">
        <v>1</v>
      </c>
      <c r="E27" s="9">
        <v>1</v>
      </c>
      <c r="F27" s="9"/>
      <c r="G27" s="9">
        <v>1</v>
      </c>
      <c r="H27" s="9"/>
      <c r="I27" s="9"/>
      <c r="J27" s="9"/>
      <c r="K27" s="9"/>
      <c r="L27" s="9">
        <v>1</v>
      </c>
      <c r="M27" s="9"/>
      <c r="N27" s="9"/>
    </row>
    <row r="28" spans="1:14" x14ac:dyDescent="0.25">
      <c r="A28" s="8" t="s">
        <v>804</v>
      </c>
      <c r="B28" s="9">
        <v>1</v>
      </c>
      <c r="C28" s="9">
        <v>1</v>
      </c>
      <c r="D28" s="9">
        <v>1</v>
      </c>
      <c r="E28" s="9">
        <v>1</v>
      </c>
      <c r="F28" s="9"/>
      <c r="G28" s="9">
        <v>1</v>
      </c>
      <c r="H28" s="9"/>
      <c r="I28" s="9"/>
      <c r="J28" s="9"/>
      <c r="K28" s="9"/>
      <c r="L28" s="9">
        <v>1</v>
      </c>
      <c r="M28" s="9"/>
      <c r="N28" s="9"/>
    </row>
    <row r="29" spans="1:14" x14ac:dyDescent="0.25">
      <c r="A29" s="8" t="s">
        <v>814</v>
      </c>
      <c r="B29" s="9">
        <v>1</v>
      </c>
      <c r="C29" s="9">
        <v>1</v>
      </c>
      <c r="D29" s="9"/>
      <c r="E29" s="9"/>
      <c r="F29" s="9"/>
      <c r="G29" s="9"/>
      <c r="H29" s="9"/>
      <c r="I29" s="9"/>
      <c r="J29" s="9"/>
      <c r="K29" s="9"/>
      <c r="L29" s="9">
        <v>1</v>
      </c>
      <c r="M29" s="9"/>
      <c r="N29" s="9"/>
    </row>
    <row r="30" spans="1:14" ht="30" x14ac:dyDescent="0.25">
      <c r="A30" s="8" t="s">
        <v>74</v>
      </c>
      <c r="B30" s="9">
        <v>1</v>
      </c>
      <c r="C30" s="9">
        <v>1</v>
      </c>
      <c r="D30" s="9"/>
      <c r="E30" s="9"/>
      <c r="F30" s="9"/>
      <c r="G30" s="9"/>
      <c r="H30" s="9"/>
      <c r="I30" s="9"/>
      <c r="J30" s="9"/>
      <c r="K30" s="9"/>
      <c r="L30" s="9">
        <v>1</v>
      </c>
      <c r="M30" s="9"/>
      <c r="N30" s="9"/>
    </row>
    <row r="31" spans="1:14" x14ac:dyDescent="0.25">
      <c r="A31" s="8" t="s">
        <v>804</v>
      </c>
      <c r="B31" s="9">
        <v>1</v>
      </c>
      <c r="C31" s="9">
        <v>1</v>
      </c>
      <c r="D31" s="9"/>
      <c r="E31" s="9"/>
      <c r="F31" s="9"/>
      <c r="G31" s="9"/>
      <c r="H31" s="9"/>
      <c r="I31" s="9"/>
      <c r="J31" s="9"/>
      <c r="K31" s="9"/>
      <c r="L31" s="9">
        <v>1</v>
      </c>
      <c r="M31" s="9"/>
      <c r="N31" s="9"/>
    </row>
    <row r="32" spans="1:14" x14ac:dyDescent="0.25">
      <c r="A32" s="8" t="s">
        <v>815</v>
      </c>
      <c r="B32" s="9">
        <v>1</v>
      </c>
      <c r="C32" s="9">
        <v>1</v>
      </c>
      <c r="D32" s="9"/>
      <c r="E32" s="9"/>
      <c r="F32" s="9"/>
      <c r="G32" s="9"/>
      <c r="H32" s="9"/>
      <c r="I32" s="9"/>
      <c r="J32" s="9"/>
      <c r="K32" s="9"/>
      <c r="L32" s="9"/>
      <c r="M32" s="9"/>
      <c r="N32" s="9">
        <v>1</v>
      </c>
    </row>
    <row r="33" spans="1:14" ht="30" x14ac:dyDescent="0.25">
      <c r="A33" s="8" t="s">
        <v>77</v>
      </c>
      <c r="B33" s="9">
        <v>1</v>
      </c>
      <c r="C33" s="9">
        <v>1</v>
      </c>
      <c r="D33" s="9"/>
      <c r="E33" s="9"/>
      <c r="F33" s="9"/>
      <c r="G33" s="9"/>
      <c r="H33" s="9"/>
      <c r="I33" s="9"/>
      <c r="J33" s="9"/>
      <c r="K33" s="9"/>
      <c r="L33" s="9"/>
      <c r="M33" s="9"/>
      <c r="N33" s="9">
        <v>1</v>
      </c>
    </row>
    <row r="34" spans="1:14" x14ac:dyDescent="0.25">
      <c r="A34" s="8" t="s">
        <v>804</v>
      </c>
      <c r="B34" s="9">
        <v>1</v>
      </c>
      <c r="C34" s="9">
        <v>1</v>
      </c>
      <c r="D34" s="9"/>
      <c r="E34" s="9"/>
      <c r="F34" s="9"/>
      <c r="G34" s="9"/>
      <c r="H34" s="9"/>
      <c r="I34" s="9"/>
      <c r="J34" s="9"/>
      <c r="K34" s="9"/>
      <c r="L34" s="9"/>
      <c r="M34" s="9"/>
      <c r="N34" s="9">
        <v>1</v>
      </c>
    </row>
    <row r="35" spans="1:14" x14ac:dyDescent="0.25">
      <c r="A35" s="8" t="s">
        <v>816</v>
      </c>
      <c r="B35" s="9">
        <v>1</v>
      </c>
      <c r="C35" s="9">
        <v>1</v>
      </c>
      <c r="D35" s="9"/>
      <c r="E35" s="9"/>
      <c r="F35" s="9"/>
      <c r="G35" s="9"/>
      <c r="H35" s="9"/>
      <c r="I35" s="9"/>
      <c r="J35" s="9"/>
      <c r="K35" s="9"/>
      <c r="L35" s="9">
        <v>1</v>
      </c>
      <c r="M35" s="9"/>
      <c r="N35" s="9"/>
    </row>
    <row r="36" spans="1:14" ht="45" x14ac:dyDescent="0.25">
      <c r="A36" s="8" t="s">
        <v>80</v>
      </c>
      <c r="B36" s="9">
        <v>1</v>
      </c>
      <c r="C36" s="9">
        <v>1</v>
      </c>
      <c r="D36" s="9"/>
      <c r="E36" s="9"/>
      <c r="F36" s="9"/>
      <c r="G36" s="9"/>
      <c r="H36" s="9"/>
      <c r="I36" s="9"/>
      <c r="J36" s="9"/>
      <c r="K36" s="9"/>
      <c r="L36" s="9">
        <v>1</v>
      </c>
      <c r="M36" s="9"/>
      <c r="N36" s="9"/>
    </row>
    <row r="37" spans="1:14" x14ac:dyDescent="0.25">
      <c r="A37" s="8" t="s">
        <v>804</v>
      </c>
      <c r="B37" s="9">
        <v>1</v>
      </c>
      <c r="C37" s="9">
        <v>1</v>
      </c>
      <c r="D37" s="9"/>
      <c r="E37" s="9"/>
      <c r="F37" s="9"/>
      <c r="G37" s="9"/>
      <c r="H37" s="9"/>
      <c r="I37" s="9"/>
      <c r="J37" s="9"/>
      <c r="K37" s="9"/>
      <c r="L37" s="9">
        <v>1</v>
      </c>
      <c r="M37" s="9"/>
      <c r="N37" s="9"/>
    </row>
    <row r="38" spans="1:14" x14ac:dyDescent="0.25">
      <c r="A38" s="8" t="s">
        <v>817</v>
      </c>
      <c r="B38" s="9">
        <v>1</v>
      </c>
      <c r="C38" s="9">
        <v>1</v>
      </c>
      <c r="D38" s="9"/>
      <c r="E38" s="9"/>
      <c r="F38" s="9"/>
      <c r="G38" s="9"/>
      <c r="H38" s="9"/>
      <c r="I38" s="9"/>
      <c r="J38" s="9"/>
      <c r="K38" s="9"/>
      <c r="L38" s="9"/>
      <c r="M38" s="9"/>
      <c r="N38" s="9">
        <v>1</v>
      </c>
    </row>
    <row r="39" spans="1:14" ht="30" x14ac:dyDescent="0.25">
      <c r="A39" s="8" t="s">
        <v>81</v>
      </c>
      <c r="B39" s="9">
        <v>1</v>
      </c>
      <c r="C39" s="9">
        <v>1</v>
      </c>
      <c r="D39" s="9"/>
      <c r="E39" s="9"/>
      <c r="F39" s="9"/>
      <c r="G39" s="9"/>
      <c r="H39" s="9"/>
      <c r="I39" s="9"/>
      <c r="J39" s="9"/>
      <c r="K39" s="9"/>
      <c r="L39" s="9"/>
      <c r="M39" s="9"/>
      <c r="N39" s="9">
        <v>1</v>
      </c>
    </row>
    <row r="40" spans="1:14" x14ac:dyDescent="0.25">
      <c r="A40" s="8" t="s">
        <v>804</v>
      </c>
      <c r="B40" s="9">
        <v>1</v>
      </c>
      <c r="C40" s="9">
        <v>1</v>
      </c>
      <c r="D40" s="9"/>
      <c r="E40" s="9"/>
      <c r="F40" s="9"/>
      <c r="G40" s="9"/>
      <c r="H40" s="9"/>
      <c r="I40" s="9"/>
      <c r="J40" s="9"/>
      <c r="K40" s="9"/>
      <c r="L40" s="9"/>
      <c r="M40" s="9"/>
      <c r="N40" s="9">
        <v>1</v>
      </c>
    </row>
    <row r="41" spans="1:14" x14ac:dyDescent="0.25">
      <c r="A41" s="8" t="s">
        <v>818</v>
      </c>
      <c r="B41" s="9">
        <v>1</v>
      </c>
      <c r="C41" s="9">
        <v>1</v>
      </c>
      <c r="D41" s="9"/>
      <c r="E41" s="9"/>
      <c r="F41" s="9"/>
      <c r="G41" s="9"/>
      <c r="H41" s="9"/>
      <c r="I41" s="9"/>
      <c r="J41" s="9"/>
      <c r="K41" s="9"/>
      <c r="L41" s="9"/>
      <c r="M41" s="9"/>
      <c r="N41" s="9">
        <v>1</v>
      </c>
    </row>
    <row r="42" spans="1:14" ht="45" x14ac:dyDescent="0.25">
      <c r="A42" s="8" t="s">
        <v>82</v>
      </c>
      <c r="B42" s="9">
        <v>1</v>
      </c>
      <c r="C42" s="9">
        <v>1</v>
      </c>
      <c r="D42" s="9"/>
      <c r="E42" s="9"/>
      <c r="F42" s="9"/>
      <c r="G42" s="9"/>
      <c r="H42" s="9"/>
      <c r="I42" s="9"/>
      <c r="J42" s="9"/>
      <c r="K42" s="9"/>
      <c r="L42" s="9"/>
      <c r="M42" s="9"/>
      <c r="N42" s="9">
        <v>1</v>
      </c>
    </row>
    <row r="43" spans="1:14" x14ac:dyDescent="0.25">
      <c r="A43" s="8" t="s">
        <v>804</v>
      </c>
      <c r="B43" s="9">
        <v>1</v>
      </c>
      <c r="C43" s="9">
        <v>1</v>
      </c>
      <c r="D43" s="9"/>
      <c r="E43" s="9"/>
      <c r="F43" s="9"/>
      <c r="G43" s="9"/>
      <c r="H43" s="9"/>
      <c r="I43" s="9"/>
      <c r="J43" s="9"/>
      <c r="K43" s="9"/>
      <c r="L43" s="9"/>
      <c r="M43" s="9"/>
      <c r="N43" s="9">
        <v>1</v>
      </c>
    </row>
    <row r="44" spans="1:14" x14ac:dyDescent="0.25">
      <c r="A44" s="8" t="s">
        <v>819</v>
      </c>
      <c r="B44" s="9">
        <v>1</v>
      </c>
      <c r="C44" s="9">
        <v>1</v>
      </c>
      <c r="D44" s="9"/>
      <c r="E44" s="9"/>
      <c r="F44" s="9"/>
      <c r="G44" s="9"/>
      <c r="H44" s="9"/>
      <c r="I44" s="9"/>
      <c r="J44" s="9"/>
      <c r="K44" s="9"/>
      <c r="L44" s="9"/>
      <c r="M44" s="9"/>
      <c r="N44" s="9">
        <v>1</v>
      </c>
    </row>
    <row r="45" spans="1:14" ht="45" x14ac:dyDescent="0.25">
      <c r="A45" s="8" t="s">
        <v>83</v>
      </c>
      <c r="B45" s="9">
        <v>1</v>
      </c>
      <c r="C45" s="9">
        <v>1</v>
      </c>
      <c r="D45" s="9"/>
      <c r="E45" s="9"/>
      <c r="F45" s="9"/>
      <c r="G45" s="9"/>
      <c r="H45" s="9"/>
      <c r="I45" s="9"/>
      <c r="J45" s="9"/>
      <c r="K45" s="9"/>
      <c r="L45" s="9"/>
      <c r="M45" s="9"/>
      <c r="N45" s="9">
        <v>1</v>
      </c>
    </row>
    <row r="46" spans="1:14" x14ac:dyDescent="0.25">
      <c r="A46" s="8" t="s">
        <v>804</v>
      </c>
      <c r="B46" s="9">
        <v>1</v>
      </c>
      <c r="C46" s="9">
        <v>1</v>
      </c>
      <c r="D46" s="9"/>
      <c r="E46" s="9"/>
      <c r="F46" s="9"/>
      <c r="G46" s="9"/>
      <c r="H46" s="9"/>
      <c r="I46" s="9"/>
      <c r="J46" s="9"/>
      <c r="K46" s="9"/>
      <c r="L46" s="9"/>
      <c r="M46" s="9"/>
      <c r="N46" s="9">
        <v>1</v>
      </c>
    </row>
    <row r="47" spans="1:14" x14ac:dyDescent="0.25">
      <c r="A47" s="8" t="s">
        <v>820</v>
      </c>
      <c r="B47" s="9">
        <v>1</v>
      </c>
      <c r="C47" s="9">
        <v>1</v>
      </c>
      <c r="D47" s="9"/>
      <c r="E47" s="9"/>
      <c r="F47" s="9"/>
      <c r="G47" s="9"/>
      <c r="H47" s="9"/>
      <c r="I47" s="9"/>
      <c r="J47" s="9"/>
      <c r="K47" s="9"/>
      <c r="L47" s="9"/>
      <c r="M47" s="9"/>
      <c r="N47" s="9">
        <v>1</v>
      </c>
    </row>
    <row r="48" spans="1:14" ht="45" x14ac:dyDescent="0.25">
      <c r="A48" s="8" t="s">
        <v>84</v>
      </c>
      <c r="B48" s="9">
        <v>1</v>
      </c>
      <c r="C48" s="9">
        <v>1</v>
      </c>
      <c r="D48" s="9"/>
      <c r="E48" s="9"/>
      <c r="F48" s="9"/>
      <c r="G48" s="9"/>
      <c r="H48" s="9"/>
      <c r="I48" s="9"/>
      <c r="J48" s="9"/>
      <c r="K48" s="9"/>
      <c r="L48" s="9"/>
      <c r="M48" s="9"/>
      <c r="N48" s="9">
        <v>1</v>
      </c>
    </row>
    <row r="49" spans="1:14" x14ac:dyDescent="0.25">
      <c r="A49" s="8" t="s">
        <v>804</v>
      </c>
      <c r="B49" s="9">
        <v>1</v>
      </c>
      <c r="C49" s="9">
        <v>1</v>
      </c>
      <c r="D49" s="9"/>
      <c r="E49" s="9"/>
      <c r="F49" s="9"/>
      <c r="G49" s="9"/>
      <c r="H49" s="9"/>
      <c r="I49" s="9"/>
      <c r="J49" s="9"/>
      <c r="K49" s="9"/>
      <c r="L49" s="9"/>
      <c r="M49" s="9"/>
      <c r="N49" s="9">
        <v>1</v>
      </c>
    </row>
    <row r="50" spans="1:14" x14ac:dyDescent="0.25">
      <c r="A50" s="8" t="s">
        <v>821</v>
      </c>
      <c r="B50" s="9">
        <v>1</v>
      </c>
      <c r="C50" s="9">
        <v>1</v>
      </c>
      <c r="D50" s="9"/>
      <c r="E50" s="9"/>
      <c r="F50" s="9"/>
      <c r="G50" s="9"/>
      <c r="H50" s="9"/>
      <c r="I50" s="9"/>
      <c r="J50" s="9"/>
      <c r="K50" s="9"/>
      <c r="L50" s="9"/>
      <c r="M50" s="9"/>
      <c r="N50" s="9">
        <v>1</v>
      </c>
    </row>
    <row r="51" spans="1:14" ht="90" x14ac:dyDescent="0.25">
      <c r="A51" s="8" t="s">
        <v>88</v>
      </c>
      <c r="B51" s="9">
        <v>1</v>
      </c>
      <c r="C51" s="9">
        <v>1</v>
      </c>
      <c r="D51" s="9"/>
      <c r="E51" s="9"/>
      <c r="F51" s="9"/>
      <c r="G51" s="9"/>
      <c r="H51" s="9"/>
      <c r="I51" s="9"/>
      <c r="J51" s="9"/>
      <c r="K51" s="9"/>
      <c r="L51" s="9"/>
      <c r="M51" s="9"/>
      <c r="N51" s="9">
        <v>1</v>
      </c>
    </row>
    <row r="52" spans="1:14" x14ac:dyDescent="0.25">
      <c r="A52" s="8" t="s">
        <v>804</v>
      </c>
      <c r="B52" s="9">
        <v>1</v>
      </c>
      <c r="C52" s="9">
        <v>1</v>
      </c>
      <c r="D52" s="9"/>
      <c r="E52" s="9"/>
      <c r="F52" s="9"/>
      <c r="G52" s="9"/>
      <c r="H52" s="9"/>
      <c r="I52" s="9"/>
      <c r="J52" s="9"/>
      <c r="K52" s="9"/>
      <c r="L52" s="9"/>
      <c r="M52" s="9"/>
      <c r="N52" s="9">
        <v>1</v>
      </c>
    </row>
    <row r="53" spans="1:14" x14ac:dyDescent="0.25">
      <c r="A53" s="8" t="s">
        <v>822</v>
      </c>
      <c r="B53" s="9">
        <v>1</v>
      </c>
      <c r="C53" s="9">
        <v>1</v>
      </c>
      <c r="D53" s="9"/>
      <c r="E53" s="9"/>
      <c r="F53" s="9"/>
      <c r="G53" s="9"/>
      <c r="H53" s="9"/>
      <c r="I53" s="9"/>
      <c r="J53" s="9"/>
      <c r="K53" s="9"/>
      <c r="L53" s="9"/>
      <c r="M53" s="9"/>
      <c r="N53" s="9">
        <v>1</v>
      </c>
    </row>
    <row r="54" spans="1:14" ht="75" x14ac:dyDescent="0.25">
      <c r="A54" s="8" t="s">
        <v>94</v>
      </c>
      <c r="B54" s="9">
        <v>1</v>
      </c>
      <c r="C54" s="9">
        <v>1</v>
      </c>
      <c r="D54" s="9"/>
      <c r="E54" s="9"/>
      <c r="F54" s="9"/>
      <c r="G54" s="9"/>
      <c r="H54" s="9"/>
      <c r="I54" s="9"/>
      <c r="J54" s="9"/>
      <c r="K54" s="9"/>
      <c r="L54" s="9"/>
      <c r="M54" s="9"/>
      <c r="N54" s="9">
        <v>1</v>
      </c>
    </row>
    <row r="55" spans="1:14" x14ac:dyDescent="0.25">
      <c r="A55" s="8" t="s">
        <v>804</v>
      </c>
      <c r="B55" s="9">
        <v>1</v>
      </c>
      <c r="C55" s="9">
        <v>1</v>
      </c>
      <c r="D55" s="9"/>
      <c r="E55" s="9"/>
      <c r="F55" s="9"/>
      <c r="G55" s="9"/>
      <c r="H55" s="9"/>
      <c r="I55" s="9"/>
      <c r="J55" s="9"/>
      <c r="K55" s="9"/>
      <c r="L55" s="9"/>
      <c r="M55" s="9"/>
      <c r="N55" s="9">
        <v>1</v>
      </c>
    </row>
    <row r="56" spans="1:14" x14ac:dyDescent="0.25">
      <c r="A56" s="8" t="s">
        <v>823</v>
      </c>
      <c r="B56" s="9">
        <v>1</v>
      </c>
      <c r="C56" s="9">
        <v>1</v>
      </c>
      <c r="D56" s="9"/>
      <c r="E56" s="9"/>
      <c r="F56" s="9"/>
      <c r="G56" s="9"/>
      <c r="H56" s="9"/>
      <c r="I56" s="9"/>
      <c r="J56" s="9"/>
      <c r="K56" s="9"/>
      <c r="L56" s="9"/>
      <c r="M56" s="9"/>
      <c r="N56" s="9">
        <v>1</v>
      </c>
    </row>
    <row r="57" spans="1:14" ht="45" x14ac:dyDescent="0.25">
      <c r="A57" s="8" t="s">
        <v>95</v>
      </c>
      <c r="B57" s="9">
        <v>1</v>
      </c>
      <c r="C57" s="9">
        <v>1</v>
      </c>
      <c r="D57" s="9"/>
      <c r="E57" s="9"/>
      <c r="F57" s="9"/>
      <c r="G57" s="9"/>
      <c r="H57" s="9"/>
      <c r="I57" s="9"/>
      <c r="J57" s="9"/>
      <c r="K57" s="9"/>
      <c r="L57" s="9"/>
      <c r="M57" s="9"/>
      <c r="N57" s="9">
        <v>1</v>
      </c>
    </row>
    <row r="58" spans="1:14" x14ac:dyDescent="0.25">
      <c r="A58" s="8" t="s">
        <v>804</v>
      </c>
      <c r="B58" s="9">
        <v>1</v>
      </c>
      <c r="C58" s="9">
        <v>1</v>
      </c>
      <c r="D58" s="9"/>
      <c r="E58" s="9"/>
      <c r="F58" s="9"/>
      <c r="G58" s="9"/>
      <c r="H58" s="9"/>
      <c r="I58" s="9"/>
      <c r="J58" s="9"/>
      <c r="K58" s="9"/>
      <c r="L58" s="9"/>
      <c r="M58" s="9"/>
      <c r="N58" s="9">
        <v>1</v>
      </c>
    </row>
    <row r="59" spans="1:14" x14ac:dyDescent="0.25">
      <c r="A59" s="8" t="s">
        <v>824</v>
      </c>
      <c r="B59" s="9">
        <v>1</v>
      </c>
      <c r="C59" s="9">
        <v>1</v>
      </c>
      <c r="D59" s="9"/>
      <c r="E59" s="9"/>
      <c r="F59" s="9"/>
      <c r="G59" s="9"/>
      <c r="H59" s="9"/>
      <c r="I59" s="9"/>
      <c r="J59" s="9"/>
      <c r="K59" s="9"/>
      <c r="L59" s="9">
        <v>1</v>
      </c>
      <c r="M59" s="9"/>
      <c r="N59" s="9"/>
    </row>
    <row r="60" spans="1:14" ht="45" x14ac:dyDescent="0.25">
      <c r="A60" s="8" t="s">
        <v>97</v>
      </c>
      <c r="B60" s="9">
        <v>1</v>
      </c>
      <c r="C60" s="9">
        <v>1</v>
      </c>
      <c r="D60" s="9"/>
      <c r="E60" s="9"/>
      <c r="F60" s="9"/>
      <c r="G60" s="9"/>
      <c r="H60" s="9"/>
      <c r="I60" s="9"/>
      <c r="J60" s="9"/>
      <c r="K60" s="9"/>
      <c r="L60" s="9">
        <v>1</v>
      </c>
      <c r="M60" s="9"/>
      <c r="N60" s="9"/>
    </row>
    <row r="61" spans="1:14" x14ac:dyDescent="0.25">
      <c r="A61" s="8" t="s">
        <v>804</v>
      </c>
      <c r="B61" s="9">
        <v>1</v>
      </c>
      <c r="C61" s="9">
        <v>1</v>
      </c>
      <c r="D61" s="9"/>
      <c r="E61" s="9"/>
      <c r="F61" s="9"/>
      <c r="G61" s="9"/>
      <c r="H61" s="9"/>
      <c r="I61" s="9"/>
      <c r="J61" s="9"/>
      <c r="K61" s="9"/>
      <c r="L61" s="9">
        <v>1</v>
      </c>
      <c r="M61" s="9"/>
      <c r="N61" s="9"/>
    </row>
    <row r="62" spans="1:14" x14ac:dyDescent="0.25">
      <c r="A62" s="8" t="s">
        <v>825</v>
      </c>
      <c r="B62" s="9">
        <v>1</v>
      </c>
      <c r="C62" s="9">
        <v>1</v>
      </c>
      <c r="D62" s="9"/>
      <c r="E62" s="9"/>
      <c r="F62" s="9"/>
      <c r="G62" s="9"/>
      <c r="H62" s="9"/>
      <c r="I62" s="9"/>
      <c r="J62" s="9"/>
      <c r="K62" s="9"/>
      <c r="L62" s="9"/>
      <c r="M62" s="9"/>
      <c r="N62" s="9">
        <v>1</v>
      </c>
    </row>
    <row r="63" spans="1:14" ht="45" x14ac:dyDescent="0.25">
      <c r="A63" s="8" t="s">
        <v>98</v>
      </c>
      <c r="B63" s="9">
        <v>1</v>
      </c>
      <c r="C63" s="9">
        <v>1</v>
      </c>
      <c r="D63" s="9"/>
      <c r="E63" s="9"/>
      <c r="F63" s="9"/>
      <c r="G63" s="9"/>
      <c r="H63" s="9"/>
      <c r="I63" s="9"/>
      <c r="J63" s="9"/>
      <c r="K63" s="9"/>
      <c r="L63" s="9"/>
      <c r="M63" s="9"/>
      <c r="N63" s="9">
        <v>1</v>
      </c>
    </row>
    <row r="64" spans="1:14" x14ac:dyDescent="0.25">
      <c r="A64" s="8" t="s">
        <v>804</v>
      </c>
      <c r="B64" s="9">
        <v>1</v>
      </c>
      <c r="C64" s="9">
        <v>1</v>
      </c>
      <c r="D64" s="9"/>
      <c r="E64" s="9"/>
      <c r="F64" s="9"/>
      <c r="G64" s="9"/>
      <c r="H64" s="9"/>
      <c r="I64" s="9"/>
      <c r="J64" s="9"/>
      <c r="K64" s="9"/>
      <c r="L64" s="9"/>
      <c r="M64" s="9"/>
      <c r="N64" s="9">
        <v>1</v>
      </c>
    </row>
    <row r="65" spans="1:14" x14ac:dyDescent="0.25">
      <c r="A65" s="8" t="s">
        <v>826</v>
      </c>
      <c r="B65" s="9">
        <v>1</v>
      </c>
      <c r="C65" s="9">
        <v>1</v>
      </c>
      <c r="D65" s="9"/>
      <c r="E65" s="9"/>
      <c r="F65" s="9"/>
      <c r="G65" s="9"/>
      <c r="H65" s="9"/>
      <c r="I65" s="9"/>
      <c r="J65" s="9"/>
      <c r="K65" s="9"/>
      <c r="L65" s="9">
        <v>1</v>
      </c>
      <c r="M65" s="9"/>
      <c r="N65" s="9"/>
    </row>
    <row r="66" spans="1:14" ht="45" x14ac:dyDescent="0.25">
      <c r="A66" s="8" t="s">
        <v>101</v>
      </c>
      <c r="B66" s="9">
        <v>1</v>
      </c>
      <c r="C66" s="9">
        <v>1</v>
      </c>
      <c r="D66" s="9"/>
      <c r="E66" s="9"/>
      <c r="F66" s="9"/>
      <c r="G66" s="9"/>
      <c r="H66" s="9"/>
      <c r="I66" s="9"/>
      <c r="J66" s="9"/>
      <c r="K66" s="9"/>
      <c r="L66" s="9">
        <v>1</v>
      </c>
      <c r="M66" s="9"/>
      <c r="N66" s="9"/>
    </row>
    <row r="67" spans="1:14" x14ac:dyDescent="0.25">
      <c r="A67" s="8" t="s">
        <v>804</v>
      </c>
      <c r="B67" s="9">
        <v>1</v>
      </c>
      <c r="C67" s="9">
        <v>1</v>
      </c>
      <c r="D67" s="9"/>
      <c r="E67" s="9"/>
      <c r="F67" s="9"/>
      <c r="G67" s="9"/>
      <c r="H67" s="9"/>
      <c r="I67" s="9"/>
      <c r="J67" s="9"/>
      <c r="K67" s="9"/>
      <c r="L67" s="9">
        <v>1</v>
      </c>
      <c r="M67" s="9"/>
      <c r="N67" s="9"/>
    </row>
    <row r="68" spans="1:14" x14ac:dyDescent="0.25">
      <c r="A68" s="8" t="s">
        <v>827</v>
      </c>
      <c r="B68" s="9">
        <v>1</v>
      </c>
      <c r="C68" s="9">
        <v>1</v>
      </c>
      <c r="D68" s="9"/>
      <c r="E68" s="9"/>
      <c r="F68" s="9"/>
      <c r="G68" s="9"/>
      <c r="H68" s="9"/>
      <c r="I68" s="9"/>
      <c r="J68" s="9"/>
      <c r="K68" s="9"/>
      <c r="L68" s="9"/>
      <c r="M68" s="9"/>
      <c r="N68" s="9">
        <v>1</v>
      </c>
    </row>
    <row r="69" spans="1:14" ht="45" x14ac:dyDescent="0.25">
      <c r="A69" s="8" t="s">
        <v>104</v>
      </c>
      <c r="B69" s="9">
        <v>1</v>
      </c>
      <c r="C69" s="9">
        <v>1</v>
      </c>
      <c r="D69" s="9"/>
      <c r="E69" s="9"/>
      <c r="F69" s="9"/>
      <c r="G69" s="9"/>
      <c r="H69" s="9"/>
      <c r="I69" s="9"/>
      <c r="J69" s="9"/>
      <c r="K69" s="9"/>
      <c r="L69" s="9"/>
      <c r="M69" s="9"/>
      <c r="N69" s="9">
        <v>1</v>
      </c>
    </row>
    <row r="70" spans="1:14" x14ac:dyDescent="0.25">
      <c r="A70" s="8" t="s">
        <v>804</v>
      </c>
      <c r="B70" s="9">
        <v>1</v>
      </c>
      <c r="C70" s="9">
        <v>1</v>
      </c>
      <c r="D70" s="9"/>
      <c r="E70" s="9"/>
      <c r="F70" s="9"/>
      <c r="G70" s="9"/>
      <c r="H70" s="9"/>
      <c r="I70" s="9"/>
      <c r="J70" s="9"/>
      <c r="K70" s="9"/>
      <c r="L70" s="9"/>
      <c r="M70" s="9"/>
      <c r="N70" s="9">
        <v>1</v>
      </c>
    </row>
    <row r="71" spans="1:14" x14ac:dyDescent="0.25">
      <c r="A71" s="8" t="s">
        <v>828</v>
      </c>
      <c r="B71" s="9">
        <v>1</v>
      </c>
      <c r="C71" s="9">
        <v>1</v>
      </c>
      <c r="D71" s="9"/>
      <c r="E71" s="9"/>
      <c r="F71" s="9"/>
      <c r="G71" s="9"/>
      <c r="H71" s="9"/>
      <c r="I71" s="9"/>
      <c r="J71" s="9"/>
      <c r="K71" s="9"/>
      <c r="L71" s="9"/>
      <c r="M71" s="9"/>
      <c r="N71" s="9">
        <v>1</v>
      </c>
    </row>
    <row r="72" spans="1:14" ht="75" x14ac:dyDescent="0.25">
      <c r="A72" s="8" t="s">
        <v>106</v>
      </c>
      <c r="B72" s="9">
        <v>1</v>
      </c>
      <c r="C72" s="9">
        <v>1</v>
      </c>
      <c r="D72" s="9"/>
      <c r="E72" s="9"/>
      <c r="F72" s="9"/>
      <c r="G72" s="9"/>
      <c r="H72" s="9"/>
      <c r="I72" s="9"/>
      <c r="J72" s="9"/>
      <c r="K72" s="9"/>
      <c r="L72" s="9"/>
      <c r="M72" s="9"/>
      <c r="N72" s="9">
        <v>1</v>
      </c>
    </row>
    <row r="73" spans="1:14" x14ac:dyDescent="0.25">
      <c r="A73" s="8" t="s">
        <v>804</v>
      </c>
      <c r="B73" s="9">
        <v>1</v>
      </c>
      <c r="C73" s="9">
        <v>1</v>
      </c>
      <c r="D73" s="9"/>
      <c r="E73" s="9"/>
      <c r="F73" s="9"/>
      <c r="G73" s="9"/>
      <c r="H73" s="9"/>
      <c r="I73" s="9"/>
      <c r="J73" s="9"/>
      <c r="K73" s="9"/>
      <c r="L73" s="9"/>
      <c r="M73" s="9"/>
      <c r="N73" s="9">
        <v>1</v>
      </c>
    </row>
    <row r="74" spans="1:14" x14ac:dyDescent="0.25">
      <c r="A74" s="8" t="s">
        <v>829</v>
      </c>
      <c r="B74" s="9">
        <v>1</v>
      </c>
      <c r="C74" s="9">
        <v>1</v>
      </c>
      <c r="D74" s="9"/>
      <c r="E74" s="9"/>
      <c r="F74" s="9"/>
      <c r="G74" s="9"/>
      <c r="H74" s="9"/>
      <c r="I74" s="9"/>
      <c r="J74" s="9"/>
      <c r="K74" s="9"/>
      <c r="L74" s="9">
        <v>1</v>
      </c>
      <c r="M74" s="9"/>
      <c r="N74" s="9"/>
    </row>
    <row r="75" spans="1:14" ht="30" x14ac:dyDescent="0.25">
      <c r="A75" s="8" t="s">
        <v>107</v>
      </c>
      <c r="B75" s="9">
        <v>1</v>
      </c>
      <c r="C75" s="9">
        <v>1</v>
      </c>
      <c r="D75" s="9"/>
      <c r="E75" s="9"/>
      <c r="F75" s="9"/>
      <c r="G75" s="9"/>
      <c r="H75" s="9"/>
      <c r="I75" s="9"/>
      <c r="J75" s="9"/>
      <c r="K75" s="9"/>
      <c r="L75" s="9">
        <v>1</v>
      </c>
      <c r="M75" s="9"/>
      <c r="N75" s="9"/>
    </row>
    <row r="76" spans="1:14" x14ac:dyDescent="0.25">
      <c r="A76" s="8" t="s">
        <v>804</v>
      </c>
      <c r="B76" s="9">
        <v>1</v>
      </c>
      <c r="C76" s="9">
        <v>1</v>
      </c>
      <c r="D76" s="9"/>
      <c r="E76" s="9"/>
      <c r="F76" s="9"/>
      <c r="G76" s="9"/>
      <c r="H76" s="9"/>
      <c r="I76" s="9"/>
      <c r="J76" s="9"/>
      <c r="K76" s="9"/>
      <c r="L76" s="9">
        <v>1</v>
      </c>
      <c r="M76" s="9"/>
      <c r="N76" s="9"/>
    </row>
    <row r="77" spans="1:14" x14ac:dyDescent="0.25">
      <c r="A77" s="8" t="s">
        <v>830</v>
      </c>
      <c r="B77" s="9">
        <v>1</v>
      </c>
      <c r="C77" s="9">
        <v>1</v>
      </c>
      <c r="D77" s="9"/>
      <c r="E77" s="9">
        <v>1</v>
      </c>
      <c r="F77" s="9">
        <v>1</v>
      </c>
      <c r="G77" s="9"/>
      <c r="H77" s="9"/>
      <c r="I77" s="9"/>
      <c r="J77" s="9">
        <v>1</v>
      </c>
      <c r="K77" s="9"/>
      <c r="L77" s="9"/>
      <c r="M77" s="9"/>
      <c r="N77" s="9"/>
    </row>
    <row r="78" spans="1:14" ht="30" x14ac:dyDescent="0.25">
      <c r="A78" s="8" t="s">
        <v>111</v>
      </c>
      <c r="B78" s="9">
        <v>1</v>
      </c>
      <c r="C78" s="9">
        <v>1</v>
      </c>
      <c r="D78" s="9"/>
      <c r="E78" s="9">
        <v>1</v>
      </c>
      <c r="F78" s="9">
        <v>1</v>
      </c>
      <c r="G78" s="9"/>
      <c r="H78" s="9"/>
      <c r="I78" s="9"/>
      <c r="J78" s="9">
        <v>1</v>
      </c>
      <c r="K78" s="9"/>
      <c r="L78" s="9"/>
      <c r="M78" s="9"/>
      <c r="N78" s="9"/>
    </row>
    <row r="79" spans="1:14" x14ac:dyDescent="0.25">
      <c r="A79" s="8" t="s">
        <v>804</v>
      </c>
      <c r="B79" s="9">
        <v>1</v>
      </c>
      <c r="C79" s="9">
        <v>1</v>
      </c>
      <c r="D79" s="9"/>
      <c r="E79" s="9">
        <v>1</v>
      </c>
      <c r="F79" s="9">
        <v>1</v>
      </c>
      <c r="G79" s="9"/>
      <c r="H79" s="9"/>
      <c r="I79" s="9"/>
      <c r="J79" s="9">
        <v>1</v>
      </c>
      <c r="K79" s="9"/>
      <c r="L79" s="9"/>
      <c r="M79" s="9"/>
      <c r="N79" s="9"/>
    </row>
    <row r="80" spans="1:14" x14ac:dyDescent="0.25">
      <c r="A80" s="8" t="s">
        <v>831</v>
      </c>
      <c r="B80" s="9">
        <v>1</v>
      </c>
      <c r="C80" s="9">
        <v>1</v>
      </c>
      <c r="D80" s="9"/>
      <c r="E80" s="9"/>
      <c r="F80" s="9"/>
      <c r="G80" s="9"/>
      <c r="H80" s="9"/>
      <c r="I80" s="9"/>
      <c r="J80" s="9"/>
      <c r="K80" s="9"/>
      <c r="L80" s="9">
        <v>1</v>
      </c>
      <c r="M80" s="9"/>
      <c r="N80" s="9"/>
    </row>
    <row r="81" spans="1:14" ht="45" x14ac:dyDescent="0.25">
      <c r="A81" s="8" t="s">
        <v>112</v>
      </c>
      <c r="B81" s="9">
        <v>1</v>
      </c>
      <c r="C81" s="9">
        <v>1</v>
      </c>
      <c r="D81" s="9"/>
      <c r="E81" s="9"/>
      <c r="F81" s="9"/>
      <c r="G81" s="9"/>
      <c r="H81" s="9"/>
      <c r="I81" s="9"/>
      <c r="J81" s="9"/>
      <c r="K81" s="9"/>
      <c r="L81" s="9">
        <v>1</v>
      </c>
      <c r="M81" s="9"/>
      <c r="N81" s="9"/>
    </row>
    <row r="82" spans="1:14" x14ac:dyDescent="0.25">
      <c r="A82" s="8" t="s">
        <v>804</v>
      </c>
      <c r="B82" s="9">
        <v>1</v>
      </c>
      <c r="C82" s="9">
        <v>1</v>
      </c>
      <c r="D82" s="9"/>
      <c r="E82" s="9"/>
      <c r="F82" s="9"/>
      <c r="G82" s="9"/>
      <c r="H82" s="9"/>
      <c r="I82" s="9"/>
      <c r="J82" s="9"/>
      <c r="K82" s="9"/>
      <c r="L82" s="9">
        <v>1</v>
      </c>
      <c r="M82" s="9"/>
      <c r="N82" s="9"/>
    </row>
    <row r="83" spans="1:14" x14ac:dyDescent="0.25">
      <c r="A83" s="8" t="s">
        <v>832</v>
      </c>
      <c r="B83" s="9">
        <v>1</v>
      </c>
      <c r="C83" s="9">
        <v>1</v>
      </c>
      <c r="D83" s="9"/>
      <c r="E83" s="9"/>
      <c r="F83" s="9"/>
      <c r="G83" s="9"/>
      <c r="H83" s="9"/>
      <c r="I83" s="9"/>
      <c r="J83" s="9">
        <v>1</v>
      </c>
      <c r="K83" s="9"/>
      <c r="L83" s="9"/>
      <c r="M83" s="9"/>
      <c r="N83" s="9"/>
    </row>
    <row r="84" spans="1:14" ht="75" x14ac:dyDescent="0.25">
      <c r="A84" s="8" t="s">
        <v>116</v>
      </c>
      <c r="B84" s="9">
        <v>1</v>
      </c>
      <c r="C84" s="9">
        <v>1</v>
      </c>
      <c r="D84" s="9"/>
      <c r="E84" s="9"/>
      <c r="F84" s="9"/>
      <c r="G84" s="9"/>
      <c r="H84" s="9"/>
      <c r="I84" s="9"/>
      <c r="J84" s="9">
        <v>1</v>
      </c>
      <c r="K84" s="9"/>
      <c r="L84" s="9"/>
      <c r="M84" s="9"/>
      <c r="N84" s="9"/>
    </row>
    <row r="85" spans="1:14" x14ac:dyDescent="0.25">
      <c r="A85" s="8" t="s">
        <v>804</v>
      </c>
      <c r="B85" s="9">
        <v>1</v>
      </c>
      <c r="C85" s="9">
        <v>1</v>
      </c>
      <c r="D85" s="9"/>
      <c r="E85" s="9"/>
      <c r="F85" s="9"/>
      <c r="G85" s="9"/>
      <c r="H85" s="9"/>
      <c r="I85" s="9"/>
      <c r="J85" s="9">
        <v>1</v>
      </c>
      <c r="K85" s="9"/>
      <c r="L85" s="9"/>
      <c r="M85" s="9"/>
      <c r="N85" s="9"/>
    </row>
    <row r="86" spans="1:14" x14ac:dyDescent="0.25">
      <c r="A86" s="8" t="s">
        <v>833</v>
      </c>
      <c r="B86" s="9">
        <v>1</v>
      </c>
      <c r="C86" s="9">
        <v>1</v>
      </c>
      <c r="D86" s="9"/>
      <c r="E86" s="9"/>
      <c r="F86" s="9"/>
      <c r="G86" s="9"/>
      <c r="H86" s="9"/>
      <c r="I86" s="9"/>
      <c r="J86" s="9"/>
      <c r="K86" s="9"/>
      <c r="L86" s="9"/>
      <c r="M86" s="9"/>
      <c r="N86" s="9">
        <v>1</v>
      </c>
    </row>
    <row r="87" spans="1:14" ht="45" x14ac:dyDescent="0.25">
      <c r="A87" s="8" t="s">
        <v>121</v>
      </c>
      <c r="B87" s="9">
        <v>1</v>
      </c>
      <c r="C87" s="9">
        <v>1</v>
      </c>
      <c r="D87" s="9"/>
      <c r="E87" s="9"/>
      <c r="F87" s="9"/>
      <c r="G87" s="9"/>
      <c r="H87" s="9"/>
      <c r="I87" s="9"/>
      <c r="J87" s="9"/>
      <c r="K87" s="9"/>
      <c r="L87" s="9"/>
      <c r="M87" s="9"/>
      <c r="N87" s="9">
        <v>1</v>
      </c>
    </row>
    <row r="88" spans="1:14" x14ac:dyDescent="0.25">
      <c r="A88" s="8" t="s">
        <v>804</v>
      </c>
      <c r="B88" s="9">
        <v>1</v>
      </c>
      <c r="C88" s="9">
        <v>1</v>
      </c>
      <c r="D88" s="9"/>
      <c r="E88" s="9"/>
      <c r="F88" s="9"/>
      <c r="G88" s="9"/>
      <c r="H88" s="9"/>
      <c r="I88" s="9"/>
      <c r="J88" s="9"/>
      <c r="K88" s="9"/>
      <c r="L88" s="9"/>
      <c r="M88" s="9"/>
      <c r="N88" s="9">
        <v>1</v>
      </c>
    </row>
    <row r="89" spans="1:14" x14ac:dyDescent="0.25">
      <c r="A89" s="8" t="s">
        <v>834</v>
      </c>
      <c r="B89" s="9">
        <v>1</v>
      </c>
      <c r="C89" s="9">
        <v>1</v>
      </c>
      <c r="D89" s="9"/>
      <c r="E89" s="9"/>
      <c r="F89" s="9"/>
      <c r="G89" s="9"/>
      <c r="H89" s="9"/>
      <c r="I89" s="9"/>
      <c r="J89" s="9"/>
      <c r="K89" s="9"/>
      <c r="L89" s="9"/>
      <c r="M89" s="9"/>
      <c r="N89" s="9">
        <v>1</v>
      </c>
    </row>
    <row r="90" spans="1:14" ht="60" x14ac:dyDescent="0.25">
      <c r="A90" s="8" t="s">
        <v>124</v>
      </c>
      <c r="B90" s="9">
        <v>1</v>
      </c>
      <c r="C90" s="9">
        <v>1</v>
      </c>
      <c r="D90" s="9"/>
      <c r="E90" s="9"/>
      <c r="F90" s="9"/>
      <c r="G90" s="9"/>
      <c r="H90" s="9"/>
      <c r="I90" s="9"/>
      <c r="J90" s="9"/>
      <c r="K90" s="9"/>
      <c r="L90" s="9"/>
      <c r="M90" s="9"/>
      <c r="N90" s="9">
        <v>1</v>
      </c>
    </row>
    <row r="91" spans="1:14" x14ac:dyDescent="0.25">
      <c r="A91" s="8" t="s">
        <v>804</v>
      </c>
      <c r="B91" s="9">
        <v>1</v>
      </c>
      <c r="C91" s="9">
        <v>1</v>
      </c>
      <c r="D91" s="9"/>
      <c r="E91" s="9"/>
      <c r="F91" s="9"/>
      <c r="G91" s="9"/>
      <c r="H91" s="9"/>
      <c r="I91" s="9"/>
      <c r="J91" s="9"/>
      <c r="K91" s="9"/>
      <c r="L91" s="9"/>
      <c r="M91" s="9"/>
      <c r="N91" s="9">
        <v>1</v>
      </c>
    </row>
    <row r="92" spans="1:14" x14ac:dyDescent="0.25">
      <c r="A92" s="8" t="s">
        <v>835</v>
      </c>
      <c r="B92" s="9">
        <v>1</v>
      </c>
      <c r="C92" s="9">
        <v>1</v>
      </c>
      <c r="D92" s="9"/>
      <c r="E92" s="9"/>
      <c r="F92" s="9"/>
      <c r="G92" s="9"/>
      <c r="H92" s="9"/>
      <c r="I92" s="9"/>
      <c r="J92" s="9"/>
      <c r="K92" s="9"/>
      <c r="L92" s="9"/>
      <c r="M92" s="9"/>
      <c r="N92" s="9">
        <v>1</v>
      </c>
    </row>
    <row r="93" spans="1:14" ht="45" x14ac:dyDescent="0.25">
      <c r="A93" s="8" t="s">
        <v>125</v>
      </c>
      <c r="B93" s="9">
        <v>1</v>
      </c>
      <c r="C93" s="9">
        <v>1</v>
      </c>
      <c r="D93" s="9"/>
      <c r="E93" s="9"/>
      <c r="F93" s="9"/>
      <c r="G93" s="9"/>
      <c r="H93" s="9"/>
      <c r="I93" s="9"/>
      <c r="J93" s="9"/>
      <c r="K93" s="9"/>
      <c r="L93" s="9"/>
      <c r="M93" s="9"/>
      <c r="N93" s="9">
        <v>1</v>
      </c>
    </row>
    <row r="94" spans="1:14" x14ac:dyDescent="0.25">
      <c r="A94" s="8" t="s">
        <v>804</v>
      </c>
      <c r="B94" s="9">
        <v>1</v>
      </c>
      <c r="C94" s="9">
        <v>1</v>
      </c>
      <c r="D94" s="9"/>
      <c r="E94" s="9"/>
      <c r="F94" s="9"/>
      <c r="G94" s="9"/>
      <c r="H94" s="9"/>
      <c r="I94" s="9"/>
      <c r="J94" s="9"/>
      <c r="K94" s="9"/>
      <c r="L94" s="9"/>
      <c r="M94" s="9"/>
      <c r="N94" s="9">
        <v>1</v>
      </c>
    </row>
    <row r="95" spans="1:14" x14ac:dyDescent="0.25">
      <c r="A95" s="8" t="s">
        <v>836</v>
      </c>
      <c r="B95" s="9">
        <v>1</v>
      </c>
      <c r="C95" s="9">
        <v>1</v>
      </c>
      <c r="D95" s="9"/>
      <c r="E95" s="9"/>
      <c r="F95" s="9"/>
      <c r="G95" s="9"/>
      <c r="H95" s="9"/>
      <c r="I95" s="9"/>
      <c r="J95" s="9"/>
      <c r="K95" s="9"/>
      <c r="L95" s="9"/>
      <c r="M95" s="9"/>
      <c r="N95" s="9">
        <v>1</v>
      </c>
    </row>
    <row r="96" spans="1:14" ht="45" x14ac:dyDescent="0.25">
      <c r="A96" s="8" t="s">
        <v>126</v>
      </c>
      <c r="B96" s="9">
        <v>1</v>
      </c>
      <c r="C96" s="9">
        <v>1</v>
      </c>
      <c r="D96" s="9"/>
      <c r="E96" s="9"/>
      <c r="F96" s="9"/>
      <c r="G96" s="9"/>
      <c r="H96" s="9"/>
      <c r="I96" s="9"/>
      <c r="J96" s="9"/>
      <c r="K96" s="9"/>
      <c r="L96" s="9"/>
      <c r="M96" s="9"/>
      <c r="N96" s="9">
        <v>1</v>
      </c>
    </row>
    <row r="97" spans="1:14" x14ac:dyDescent="0.25">
      <c r="A97" s="8" t="s">
        <v>804</v>
      </c>
      <c r="B97" s="9">
        <v>1</v>
      </c>
      <c r="C97" s="9">
        <v>1</v>
      </c>
      <c r="D97" s="9"/>
      <c r="E97" s="9"/>
      <c r="F97" s="9"/>
      <c r="G97" s="9"/>
      <c r="H97" s="9"/>
      <c r="I97" s="9"/>
      <c r="J97" s="9"/>
      <c r="K97" s="9"/>
      <c r="L97" s="9"/>
      <c r="M97" s="9"/>
      <c r="N97" s="9">
        <v>1</v>
      </c>
    </row>
    <row r="98" spans="1:14" x14ac:dyDescent="0.25">
      <c r="A98" s="8" t="s">
        <v>837</v>
      </c>
      <c r="B98" s="9">
        <v>1</v>
      </c>
      <c r="C98" s="9">
        <v>1</v>
      </c>
      <c r="D98" s="9"/>
      <c r="E98" s="9">
        <v>1</v>
      </c>
      <c r="F98" s="9"/>
      <c r="G98" s="9"/>
      <c r="H98" s="9">
        <v>1</v>
      </c>
      <c r="I98" s="9"/>
      <c r="J98" s="9"/>
      <c r="K98" s="9">
        <v>1</v>
      </c>
      <c r="L98" s="9"/>
      <c r="M98" s="9"/>
      <c r="N98" s="9"/>
    </row>
    <row r="99" spans="1:14" ht="60" x14ac:dyDescent="0.25">
      <c r="A99" s="8" t="s">
        <v>129</v>
      </c>
      <c r="B99" s="9">
        <v>1</v>
      </c>
      <c r="C99" s="9">
        <v>1</v>
      </c>
      <c r="D99" s="9"/>
      <c r="E99" s="9">
        <v>1</v>
      </c>
      <c r="F99" s="9"/>
      <c r="G99" s="9"/>
      <c r="H99" s="9">
        <v>1</v>
      </c>
      <c r="I99" s="9"/>
      <c r="J99" s="9"/>
      <c r="K99" s="9">
        <v>1</v>
      </c>
      <c r="L99" s="9"/>
      <c r="M99" s="9"/>
      <c r="N99" s="9"/>
    </row>
    <row r="100" spans="1:14" x14ac:dyDescent="0.25">
      <c r="A100" s="8" t="s">
        <v>804</v>
      </c>
      <c r="B100" s="9">
        <v>1</v>
      </c>
      <c r="C100" s="9">
        <v>1</v>
      </c>
      <c r="D100" s="9"/>
      <c r="E100" s="9">
        <v>1</v>
      </c>
      <c r="F100" s="9"/>
      <c r="G100" s="9"/>
      <c r="H100" s="9">
        <v>1</v>
      </c>
      <c r="I100" s="9"/>
      <c r="J100" s="9"/>
      <c r="K100" s="9">
        <v>1</v>
      </c>
      <c r="L100" s="9"/>
      <c r="M100" s="9"/>
      <c r="N100" s="9"/>
    </row>
    <row r="101" spans="1:14" x14ac:dyDescent="0.25">
      <c r="A101" s="8" t="s">
        <v>838</v>
      </c>
      <c r="B101" s="9">
        <v>1</v>
      </c>
      <c r="C101" s="9">
        <v>1</v>
      </c>
      <c r="D101" s="9"/>
      <c r="E101" s="9"/>
      <c r="F101" s="9"/>
      <c r="G101" s="9"/>
      <c r="H101" s="9"/>
      <c r="I101" s="9"/>
      <c r="J101" s="9"/>
      <c r="K101" s="9"/>
      <c r="L101" s="9"/>
      <c r="M101" s="9"/>
      <c r="N101" s="9">
        <v>1</v>
      </c>
    </row>
    <row r="102" spans="1:14" ht="60" x14ac:dyDescent="0.25">
      <c r="A102" s="8" t="s">
        <v>131</v>
      </c>
      <c r="B102" s="9">
        <v>1</v>
      </c>
      <c r="C102" s="9">
        <v>1</v>
      </c>
      <c r="D102" s="9"/>
      <c r="E102" s="9"/>
      <c r="F102" s="9"/>
      <c r="G102" s="9"/>
      <c r="H102" s="9"/>
      <c r="I102" s="9"/>
      <c r="J102" s="9"/>
      <c r="K102" s="9"/>
      <c r="L102" s="9"/>
      <c r="M102" s="9"/>
      <c r="N102" s="9">
        <v>1</v>
      </c>
    </row>
    <row r="103" spans="1:14" x14ac:dyDescent="0.25">
      <c r="A103" s="8" t="s">
        <v>804</v>
      </c>
      <c r="B103" s="9">
        <v>1</v>
      </c>
      <c r="C103" s="9">
        <v>1</v>
      </c>
      <c r="D103" s="9"/>
      <c r="E103" s="9"/>
      <c r="F103" s="9"/>
      <c r="G103" s="9"/>
      <c r="H103" s="9"/>
      <c r="I103" s="9"/>
      <c r="J103" s="9"/>
      <c r="K103" s="9"/>
      <c r="L103" s="9"/>
      <c r="M103" s="9"/>
      <c r="N103" s="9">
        <v>1</v>
      </c>
    </row>
    <row r="104" spans="1:14" x14ac:dyDescent="0.25">
      <c r="A104" s="8" t="s">
        <v>839</v>
      </c>
      <c r="B104" s="9">
        <v>1</v>
      </c>
      <c r="C104" s="9">
        <v>1</v>
      </c>
      <c r="D104" s="9">
        <v>1</v>
      </c>
      <c r="E104" s="9">
        <v>1</v>
      </c>
      <c r="F104" s="9"/>
      <c r="G104" s="9">
        <v>1</v>
      </c>
      <c r="H104" s="9"/>
      <c r="I104" s="9"/>
      <c r="J104" s="9"/>
      <c r="K104" s="9"/>
      <c r="L104" s="9">
        <v>1</v>
      </c>
      <c r="M104" s="9"/>
      <c r="N104" s="9"/>
    </row>
    <row r="105" spans="1:14" ht="45" x14ac:dyDescent="0.25">
      <c r="A105" s="8" t="s">
        <v>134</v>
      </c>
      <c r="B105" s="9">
        <v>1</v>
      </c>
      <c r="C105" s="9">
        <v>1</v>
      </c>
      <c r="D105" s="9">
        <v>1</v>
      </c>
      <c r="E105" s="9">
        <v>1</v>
      </c>
      <c r="F105" s="9"/>
      <c r="G105" s="9">
        <v>1</v>
      </c>
      <c r="H105" s="9"/>
      <c r="I105" s="9"/>
      <c r="J105" s="9"/>
      <c r="K105" s="9"/>
      <c r="L105" s="9">
        <v>1</v>
      </c>
      <c r="M105" s="9"/>
      <c r="N105" s="9"/>
    </row>
    <row r="106" spans="1:14" x14ac:dyDescent="0.25">
      <c r="A106" s="8" t="s">
        <v>804</v>
      </c>
      <c r="B106" s="9">
        <v>1</v>
      </c>
      <c r="C106" s="9">
        <v>1</v>
      </c>
      <c r="D106" s="9">
        <v>1</v>
      </c>
      <c r="E106" s="9">
        <v>1</v>
      </c>
      <c r="F106" s="9"/>
      <c r="G106" s="9">
        <v>1</v>
      </c>
      <c r="H106" s="9"/>
      <c r="I106" s="9"/>
      <c r="J106" s="9"/>
      <c r="K106" s="9"/>
      <c r="L106" s="9">
        <v>1</v>
      </c>
      <c r="M106" s="9"/>
      <c r="N106" s="9"/>
    </row>
    <row r="107" spans="1:14" x14ac:dyDescent="0.25">
      <c r="A107" s="8" t="s">
        <v>840</v>
      </c>
      <c r="B107" s="9">
        <v>1</v>
      </c>
      <c r="C107" s="9">
        <v>1</v>
      </c>
      <c r="D107" s="9"/>
      <c r="E107" s="9"/>
      <c r="F107" s="9"/>
      <c r="G107" s="9"/>
      <c r="H107" s="9"/>
      <c r="I107" s="9"/>
      <c r="J107" s="9"/>
      <c r="K107" s="9"/>
      <c r="L107" s="9"/>
      <c r="M107" s="9"/>
      <c r="N107" s="9">
        <v>1</v>
      </c>
    </row>
    <row r="108" spans="1:14" ht="30" x14ac:dyDescent="0.25">
      <c r="A108" s="8" t="s">
        <v>135</v>
      </c>
      <c r="B108" s="9">
        <v>1</v>
      </c>
      <c r="C108" s="9">
        <v>1</v>
      </c>
      <c r="D108" s="9"/>
      <c r="E108" s="9"/>
      <c r="F108" s="9"/>
      <c r="G108" s="9"/>
      <c r="H108" s="9"/>
      <c r="I108" s="9"/>
      <c r="J108" s="9"/>
      <c r="K108" s="9"/>
      <c r="L108" s="9"/>
      <c r="M108" s="9"/>
      <c r="N108" s="9">
        <v>1</v>
      </c>
    </row>
    <row r="109" spans="1:14" x14ac:dyDescent="0.25">
      <c r="A109" s="8" t="s">
        <v>804</v>
      </c>
      <c r="B109" s="9">
        <v>1</v>
      </c>
      <c r="C109" s="9">
        <v>1</v>
      </c>
      <c r="D109" s="9"/>
      <c r="E109" s="9"/>
      <c r="F109" s="9"/>
      <c r="G109" s="9"/>
      <c r="H109" s="9"/>
      <c r="I109" s="9"/>
      <c r="J109" s="9"/>
      <c r="K109" s="9"/>
      <c r="L109" s="9"/>
      <c r="M109" s="9"/>
      <c r="N109" s="9">
        <v>1</v>
      </c>
    </row>
    <row r="110" spans="1:14" x14ac:dyDescent="0.25">
      <c r="A110" s="8" t="s">
        <v>841</v>
      </c>
      <c r="B110" s="9">
        <v>1</v>
      </c>
      <c r="C110" s="9">
        <v>1</v>
      </c>
      <c r="D110" s="9"/>
      <c r="E110" s="9"/>
      <c r="F110" s="9"/>
      <c r="G110" s="9"/>
      <c r="H110" s="9"/>
      <c r="I110" s="9"/>
      <c r="J110" s="9"/>
      <c r="K110" s="9"/>
      <c r="L110" s="9"/>
      <c r="M110" s="9"/>
      <c r="N110" s="9">
        <v>1</v>
      </c>
    </row>
    <row r="111" spans="1:14" ht="105" x14ac:dyDescent="0.25">
      <c r="A111" s="8" t="s">
        <v>136</v>
      </c>
      <c r="B111" s="9">
        <v>1</v>
      </c>
      <c r="C111" s="9">
        <v>1</v>
      </c>
      <c r="D111" s="9"/>
      <c r="E111" s="9"/>
      <c r="F111" s="9"/>
      <c r="G111" s="9"/>
      <c r="H111" s="9"/>
      <c r="I111" s="9"/>
      <c r="J111" s="9"/>
      <c r="K111" s="9"/>
      <c r="L111" s="9"/>
      <c r="M111" s="9"/>
      <c r="N111" s="9">
        <v>1</v>
      </c>
    </row>
    <row r="112" spans="1:14" x14ac:dyDescent="0.25">
      <c r="A112" s="8" t="s">
        <v>804</v>
      </c>
      <c r="B112" s="9">
        <v>1</v>
      </c>
      <c r="C112" s="9">
        <v>1</v>
      </c>
      <c r="D112" s="9"/>
      <c r="E112" s="9"/>
      <c r="F112" s="9"/>
      <c r="G112" s="9"/>
      <c r="H112" s="9"/>
      <c r="I112" s="9"/>
      <c r="J112" s="9"/>
      <c r="K112" s="9"/>
      <c r="L112" s="9"/>
      <c r="M112" s="9"/>
      <c r="N112" s="9">
        <v>1</v>
      </c>
    </row>
    <row r="113" spans="1:14" x14ac:dyDescent="0.25">
      <c r="A113" s="8" t="s">
        <v>842</v>
      </c>
      <c r="B113" s="9">
        <v>1</v>
      </c>
      <c r="C113" s="9">
        <v>1</v>
      </c>
      <c r="D113" s="9"/>
      <c r="E113" s="9"/>
      <c r="F113" s="9"/>
      <c r="G113" s="9"/>
      <c r="H113" s="9"/>
      <c r="I113" s="9"/>
      <c r="J113" s="9"/>
      <c r="K113" s="9"/>
      <c r="L113" s="9"/>
      <c r="M113" s="9"/>
      <c r="N113" s="9">
        <v>1</v>
      </c>
    </row>
    <row r="114" spans="1:14" ht="45" x14ac:dyDescent="0.25">
      <c r="A114" s="8" t="s">
        <v>139</v>
      </c>
      <c r="B114" s="9">
        <v>1</v>
      </c>
      <c r="C114" s="9">
        <v>1</v>
      </c>
      <c r="D114" s="9"/>
      <c r="E114" s="9"/>
      <c r="F114" s="9"/>
      <c r="G114" s="9"/>
      <c r="H114" s="9"/>
      <c r="I114" s="9"/>
      <c r="J114" s="9"/>
      <c r="K114" s="9"/>
      <c r="L114" s="9"/>
      <c r="M114" s="9"/>
      <c r="N114" s="9">
        <v>1</v>
      </c>
    </row>
    <row r="115" spans="1:14" x14ac:dyDescent="0.25">
      <c r="A115" s="8" t="s">
        <v>804</v>
      </c>
      <c r="B115" s="9">
        <v>1</v>
      </c>
      <c r="C115" s="9">
        <v>1</v>
      </c>
      <c r="D115" s="9"/>
      <c r="E115" s="9"/>
      <c r="F115" s="9"/>
      <c r="G115" s="9"/>
      <c r="H115" s="9"/>
      <c r="I115" s="9"/>
      <c r="J115" s="9"/>
      <c r="K115" s="9"/>
      <c r="L115" s="9"/>
      <c r="M115" s="9"/>
      <c r="N115" s="9">
        <v>1</v>
      </c>
    </row>
    <row r="116" spans="1:14" x14ac:dyDescent="0.25">
      <c r="A116" s="8" t="s">
        <v>843</v>
      </c>
      <c r="B116" s="9">
        <v>1</v>
      </c>
      <c r="C116" s="9">
        <v>1</v>
      </c>
      <c r="D116" s="9"/>
      <c r="E116" s="9"/>
      <c r="F116" s="9"/>
      <c r="G116" s="9"/>
      <c r="H116" s="9"/>
      <c r="I116" s="9"/>
      <c r="J116" s="9"/>
      <c r="K116" s="9"/>
      <c r="L116" s="9"/>
      <c r="M116" s="9"/>
      <c r="N116" s="9">
        <v>1</v>
      </c>
    </row>
    <row r="117" spans="1:14" ht="30" x14ac:dyDescent="0.25">
      <c r="A117" s="8" t="s">
        <v>140</v>
      </c>
      <c r="B117" s="9">
        <v>1</v>
      </c>
      <c r="C117" s="9">
        <v>1</v>
      </c>
      <c r="D117" s="9"/>
      <c r="E117" s="9"/>
      <c r="F117" s="9"/>
      <c r="G117" s="9"/>
      <c r="H117" s="9"/>
      <c r="I117" s="9"/>
      <c r="J117" s="9"/>
      <c r="K117" s="9"/>
      <c r="L117" s="9"/>
      <c r="M117" s="9"/>
      <c r="N117" s="9">
        <v>1</v>
      </c>
    </row>
    <row r="118" spans="1:14" x14ac:dyDescent="0.25">
      <c r="A118" s="8" t="s">
        <v>804</v>
      </c>
      <c r="B118" s="9">
        <v>1</v>
      </c>
      <c r="C118" s="9">
        <v>1</v>
      </c>
      <c r="D118" s="9"/>
      <c r="E118" s="9"/>
      <c r="F118" s="9"/>
      <c r="G118" s="9"/>
      <c r="H118" s="9"/>
      <c r="I118" s="9"/>
      <c r="J118" s="9"/>
      <c r="K118" s="9"/>
      <c r="L118" s="9"/>
      <c r="M118" s="9"/>
      <c r="N118" s="9">
        <v>1</v>
      </c>
    </row>
    <row r="119" spans="1:14" x14ac:dyDescent="0.25">
      <c r="A119" s="8" t="s">
        <v>844</v>
      </c>
      <c r="B119" s="9">
        <v>1</v>
      </c>
      <c r="C119" s="9">
        <v>1</v>
      </c>
      <c r="D119" s="9"/>
      <c r="E119" s="9"/>
      <c r="F119" s="9"/>
      <c r="G119" s="9"/>
      <c r="H119" s="9"/>
      <c r="I119" s="9"/>
      <c r="J119" s="9"/>
      <c r="K119" s="9"/>
      <c r="L119" s="9"/>
      <c r="M119" s="9"/>
      <c r="N119" s="9">
        <v>1</v>
      </c>
    </row>
    <row r="120" spans="1:14" ht="60" x14ac:dyDescent="0.25">
      <c r="A120" s="8" t="s">
        <v>141</v>
      </c>
      <c r="B120" s="9">
        <v>1</v>
      </c>
      <c r="C120" s="9">
        <v>1</v>
      </c>
      <c r="D120" s="9"/>
      <c r="E120" s="9"/>
      <c r="F120" s="9"/>
      <c r="G120" s="9"/>
      <c r="H120" s="9"/>
      <c r="I120" s="9"/>
      <c r="J120" s="9"/>
      <c r="K120" s="9"/>
      <c r="L120" s="9"/>
      <c r="M120" s="9"/>
      <c r="N120" s="9">
        <v>1</v>
      </c>
    </row>
    <row r="121" spans="1:14" x14ac:dyDescent="0.25">
      <c r="A121" s="8" t="s">
        <v>804</v>
      </c>
      <c r="B121" s="9">
        <v>1</v>
      </c>
      <c r="C121" s="9">
        <v>1</v>
      </c>
      <c r="D121" s="9"/>
      <c r="E121" s="9"/>
      <c r="F121" s="9"/>
      <c r="G121" s="9"/>
      <c r="H121" s="9"/>
      <c r="I121" s="9"/>
      <c r="J121" s="9"/>
      <c r="K121" s="9"/>
      <c r="L121" s="9"/>
      <c r="M121" s="9"/>
      <c r="N121" s="9">
        <v>1</v>
      </c>
    </row>
    <row r="122" spans="1:14" x14ac:dyDescent="0.25">
      <c r="A122" s="8" t="s">
        <v>845</v>
      </c>
      <c r="B122" s="9">
        <v>1</v>
      </c>
      <c r="C122" s="9">
        <v>1</v>
      </c>
      <c r="D122" s="9"/>
      <c r="E122" s="9"/>
      <c r="F122" s="9"/>
      <c r="G122" s="9"/>
      <c r="H122" s="9"/>
      <c r="I122" s="9"/>
      <c r="J122" s="9"/>
      <c r="K122" s="9"/>
      <c r="L122" s="9"/>
      <c r="M122" s="9">
        <v>1</v>
      </c>
      <c r="N122" s="9"/>
    </row>
    <row r="123" spans="1:14" ht="45" x14ac:dyDescent="0.25">
      <c r="A123" s="8" t="s">
        <v>144</v>
      </c>
      <c r="B123" s="9">
        <v>1</v>
      </c>
      <c r="C123" s="9">
        <v>1</v>
      </c>
      <c r="D123" s="9"/>
      <c r="E123" s="9"/>
      <c r="F123" s="9"/>
      <c r="G123" s="9"/>
      <c r="H123" s="9"/>
      <c r="I123" s="9"/>
      <c r="J123" s="9"/>
      <c r="K123" s="9"/>
      <c r="L123" s="9"/>
      <c r="M123" s="9">
        <v>1</v>
      </c>
      <c r="N123" s="9"/>
    </row>
    <row r="124" spans="1:14" x14ac:dyDescent="0.25">
      <c r="A124" s="8" t="s">
        <v>804</v>
      </c>
      <c r="B124" s="9">
        <v>1</v>
      </c>
      <c r="C124" s="9">
        <v>1</v>
      </c>
      <c r="D124" s="9"/>
      <c r="E124" s="9"/>
      <c r="F124" s="9"/>
      <c r="G124" s="9"/>
      <c r="H124" s="9"/>
      <c r="I124" s="9"/>
      <c r="J124" s="9"/>
      <c r="K124" s="9"/>
      <c r="L124" s="9"/>
      <c r="M124" s="9">
        <v>1</v>
      </c>
      <c r="N124" s="9"/>
    </row>
    <row r="125" spans="1:14" x14ac:dyDescent="0.25">
      <c r="A125" s="8" t="s">
        <v>846</v>
      </c>
      <c r="B125" s="9">
        <v>1</v>
      </c>
      <c r="C125" s="9">
        <v>1</v>
      </c>
      <c r="D125" s="9"/>
      <c r="E125" s="9"/>
      <c r="F125" s="9"/>
      <c r="G125" s="9"/>
      <c r="H125" s="9"/>
      <c r="I125" s="9"/>
      <c r="J125" s="9"/>
      <c r="K125" s="9"/>
      <c r="L125" s="9"/>
      <c r="M125" s="9"/>
      <c r="N125" s="9">
        <v>1</v>
      </c>
    </row>
    <row r="126" spans="1:14" ht="45" x14ac:dyDescent="0.25">
      <c r="A126" s="8" t="s">
        <v>145</v>
      </c>
      <c r="B126" s="9">
        <v>1</v>
      </c>
      <c r="C126" s="9">
        <v>1</v>
      </c>
      <c r="D126" s="9"/>
      <c r="E126" s="9"/>
      <c r="F126" s="9"/>
      <c r="G126" s="9"/>
      <c r="H126" s="9"/>
      <c r="I126" s="9"/>
      <c r="J126" s="9"/>
      <c r="K126" s="9"/>
      <c r="L126" s="9"/>
      <c r="M126" s="9"/>
      <c r="N126" s="9">
        <v>1</v>
      </c>
    </row>
    <row r="127" spans="1:14" x14ac:dyDescent="0.25">
      <c r="A127" s="8" t="s">
        <v>804</v>
      </c>
      <c r="B127" s="9">
        <v>1</v>
      </c>
      <c r="C127" s="9">
        <v>1</v>
      </c>
      <c r="D127" s="9"/>
      <c r="E127" s="9"/>
      <c r="F127" s="9"/>
      <c r="G127" s="9"/>
      <c r="H127" s="9"/>
      <c r="I127" s="9"/>
      <c r="J127" s="9"/>
      <c r="K127" s="9"/>
      <c r="L127" s="9"/>
      <c r="M127" s="9"/>
      <c r="N127" s="9">
        <v>1</v>
      </c>
    </row>
    <row r="128" spans="1:14" x14ac:dyDescent="0.25">
      <c r="A128" s="8" t="s">
        <v>1223</v>
      </c>
      <c r="B128" s="9">
        <v>1</v>
      </c>
      <c r="C128" s="9">
        <v>1</v>
      </c>
      <c r="D128" s="9">
        <v>1</v>
      </c>
      <c r="E128" s="9"/>
      <c r="F128" s="9"/>
      <c r="G128" s="9"/>
      <c r="H128" s="9"/>
      <c r="I128" s="9"/>
      <c r="J128" s="9">
        <v>1</v>
      </c>
      <c r="K128" s="9"/>
      <c r="L128" s="9"/>
      <c r="M128" s="9"/>
      <c r="N128" s="9"/>
    </row>
    <row r="129" spans="1:14" ht="60" x14ac:dyDescent="0.25">
      <c r="A129" s="8" t="s">
        <v>187</v>
      </c>
      <c r="B129" s="9">
        <v>1</v>
      </c>
      <c r="C129" s="9">
        <v>1</v>
      </c>
      <c r="D129" s="9">
        <v>1</v>
      </c>
      <c r="E129" s="9"/>
      <c r="F129" s="9"/>
      <c r="G129" s="9"/>
      <c r="H129" s="9"/>
      <c r="I129" s="9"/>
      <c r="J129" s="9">
        <v>1</v>
      </c>
      <c r="K129" s="9"/>
      <c r="L129" s="9"/>
      <c r="M129" s="9"/>
      <c r="N129" s="9"/>
    </row>
    <row r="130" spans="1:14" x14ac:dyDescent="0.25">
      <c r="A130" s="8" t="s">
        <v>804</v>
      </c>
      <c r="B130" s="9">
        <v>1</v>
      </c>
      <c r="C130" s="9">
        <v>1</v>
      </c>
      <c r="D130" s="9">
        <v>1</v>
      </c>
      <c r="E130" s="9"/>
      <c r="F130" s="9"/>
      <c r="G130" s="9"/>
      <c r="H130" s="9"/>
      <c r="I130" s="9"/>
      <c r="J130" s="9">
        <v>1</v>
      </c>
      <c r="K130" s="9"/>
      <c r="L130" s="9"/>
      <c r="M130" s="9"/>
      <c r="N130" s="9"/>
    </row>
    <row r="131" spans="1:14" x14ac:dyDescent="0.25">
      <c r="A131" s="8" t="s">
        <v>847</v>
      </c>
      <c r="B131" s="9">
        <v>1</v>
      </c>
      <c r="C131" s="9">
        <v>1</v>
      </c>
      <c r="D131" s="9">
        <v>1</v>
      </c>
      <c r="E131" s="9">
        <v>1</v>
      </c>
      <c r="F131" s="9"/>
      <c r="G131" s="9">
        <v>1</v>
      </c>
      <c r="H131" s="9"/>
      <c r="I131" s="9"/>
      <c r="J131" s="9"/>
      <c r="K131" s="9"/>
      <c r="L131" s="9">
        <v>1</v>
      </c>
      <c r="M131" s="9"/>
      <c r="N131" s="9"/>
    </row>
    <row r="132" spans="1:14" ht="30" x14ac:dyDescent="0.25">
      <c r="A132" s="8" t="s">
        <v>151</v>
      </c>
      <c r="B132" s="9">
        <v>1</v>
      </c>
      <c r="C132" s="9">
        <v>1</v>
      </c>
      <c r="D132" s="9">
        <v>1</v>
      </c>
      <c r="E132" s="9">
        <v>1</v>
      </c>
      <c r="F132" s="9"/>
      <c r="G132" s="9">
        <v>1</v>
      </c>
      <c r="H132" s="9"/>
      <c r="I132" s="9"/>
      <c r="J132" s="9"/>
      <c r="K132" s="9"/>
      <c r="L132" s="9">
        <v>1</v>
      </c>
      <c r="M132" s="9"/>
      <c r="N132" s="9"/>
    </row>
    <row r="133" spans="1:14" x14ac:dyDescent="0.25">
      <c r="A133" s="8" t="s">
        <v>804</v>
      </c>
      <c r="B133" s="9">
        <v>1</v>
      </c>
      <c r="C133" s="9">
        <v>1</v>
      </c>
      <c r="D133" s="9">
        <v>1</v>
      </c>
      <c r="E133" s="9">
        <v>1</v>
      </c>
      <c r="F133" s="9"/>
      <c r="G133" s="9">
        <v>1</v>
      </c>
      <c r="H133" s="9"/>
      <c r="I133" s="9"/>
      <c r="J133" s="9"/>
      <c r="K133" s="9"/>
      <c r="L133" s="9">
        <v>1</v>
      </c>
      <c r="M133" s="9"/>
      <c r="N133" s="9"/>
    </row>
    <row r="134" spans="1:14" x14ac:dyDescent="0.25">
      <c r="A134" s="8" t="s">
        <v>848</v>
      </c>
      <c r="B134" s="9">
        <v>1</v>
      </c>
      <c r="C134" s="9">
        <v>1</v>
      </c>
      <c r="D134" s="9">
        <v>1</v>
      </c>
      <c r="E134" s="9"/>
      <c r="F134" s="9"/>
      <c r="G134" s="9"/>
      <c r="H134" s="9"/>
      <c r="I134" s="9"/>
      <c r="J134" s="9">
        <v>1</v>
      </c>
      <c r="K134" s="9"/>
      <c r="L134" s="9"/>
      <c r="M134" s="9"/>
      <c r="N134" s="9"/>
    </row>
    <row r="135" spans="1:14" ht="30" x14ac:dyDescent="0.25">
      <c r="A135" s="8" t="s">
        <v>158</v>
      </c>
      <c r="B135" s="9">
        <v>1</v>
      </c>
      <c r="C135" s="9">
        <v>1</v>
      </c>
      <c r="D135" s="9">
        <v>1</v>
      </c>
      <c r="E135" s="9"/>
      <c r="F135" s="9"/>
      <c r="G135" s="9"/>
      <c r="H135" s="9"/>
      <c r="I135" s="9"/>
      <c r="J135" s="9">
        <v>1</v>
      </c>
      <c r="K135" s="9"/>
      <c r="L135" s="9"/>
      <c r="M135" s="9"/>
      <c r="N135" s="9"/>
    </row>
    <row r="136" spans="1:14" x14ac:dyDescent="0.25">
      <c r="A136" s="8" t="s">
        <v>804</v>
      </c>
      <c r="B136" s="9">
        <v>1</v>
      </c>
      <c r="C136" s="9">
        <v>1</v>
      </c>
      <c r="D136" s="9">
        <v>1</v>
      </c>
      <c r="E136" s="9"/>
      <c r="F136" s="9"/>
      <c r="G136" s="9"/>
      <c r="H136" s="9"/>
      <c r="I136" s="9"/>
      <c r="J136" s="9">
        <v>1</v>
      </c>
      <c r="K136" s="9"/>
      <c r="L136" s="9"/>
      <c r="M136" s="9"/>
      <c r="N136" s="9"/>
    </row>
    <row r="137" spans="1:14" x14ac:dyDescent="0.25">
      <c r="A137" s="8" t="s">
        <v>849</v>
      </c>
      <c r="B137" s="9">
        <v>1</v>
      </c>
      <c r="C137" s="9">
        <v>1</v>
      </c>
      <c r="D137" s="9">
        <v>1</v>
      </c>
      <c r="E137" s="9">
        <v>1</v>
      </c>
      <c r="F137" s="9"/>
      <c r="G137" s="9">
        <v>1</v>
      </c>
      <c r="H137" s="9"/>
      <c r="I137" s="9"/>
      <c r="J137" s="9"/>
      <c r="K137" s="9"/>
      <c r="L137" s="9">
        <v>1</v>
      </c>
      <c r="M137" s="9"/>
      <c r="N137" s="9"/>
    </row>
    <row r="138" spans="1:14" ht="30" x14ac:dyDescent="0.25">
      <c r="A138" s="8" t="s">
        <v>161</v>
      </c>
      <c r="B138" s="9">
        <v>1</v>
      </c>
      <c r="C138" s="9">
        <v>1</v>
      </c>
      <c r="D138" s="9">
        <v>1</v>
      </c>
      <c r="E138" s="9">
        <v>1</v>
      </c>
      <c r="F138" s="9"/>
      <c r="G138" s="9">
        <v>1</v>
      </c>
      <c r="H138" s="9"/>
      <c r="I138" s="9"/>
      <c r="J138" s="9"/>
      <c r="K138" s="9"/>
      <c r="L138" s="9">
        <v>1</v>
      </c>
      <c r="M138" s="9"/>
      <c r="N138" s="9"/>
    </row>
    <row r="139" spans="1:14" x14ac:dyDescent="0.25">
      <c r="A139" s="8" t="s">
        <v>804</v>
      </c>
      <c r="B139" s="9">
        <v>1</v>
      </c>
      <c r="C139" s="9">
        <v>1</v>
      </c>
      <c r="D139" s="9">
        <v>1</v>
      </c>
      <c r="E139" s="9">
        <v>1</v>
      </c>
      <c r="F139" s="9"/>
      <c r="G139" s="9">
        <v>1</v>
      </c>
      <c r="H139" s="9"/>
      <c r="I139" s="9"/>
      <c r="J139" s="9"/>
      <c r="K139" s="9"/>
      <c r="L139" s="9">
        <v>1</v>
      </c>
      <c r="M139" s="9"/>
      <c r="N139" s="9"/>
    </row>
    <row r="140" spans="1:14" x14ac:dyDescent="0.25">
      <c r="A140" s="8" t="s">
        <v>850</v>
      </c>
      <c r="B140" s="9">
        <v>1</v>
      </c>
      <c r="C140" s="9">
        <v>1</v>
      </c>
      <c r="D140" s="9">
        <v>1</v>
      </c>
      <c r="E140" s="9"/>
      <c r="F140" s="9"/>
      <c r="G140" s="9"/>
      <c r="H140" s="9"/>
      <c r="I140" s="9"/>
      <c r="J140" s="9">
        <v>1</v>
      </c>
      <c r="K140" s="9"/>
      <c r="L140" s="9"/>
      <c r="M140" s="9"/>
      <c r="N140" s="9"/>
    </row>
    <row r="141" spans="1:14" ht="30" x14ac:dyDescent="0.25">
      <c r="A141" s="8" t="s">
        <v>164</v>
      </c>
      <c r="B141" s="9">
        <v>1</v>
      </c>
      <c r="C141" s="9">
        <v>1</v>
      </c>
      <c r="D141" s="9">
        <v>1</v>
      </c>
      <c r="E141" s="9"/>
      <c r="F141" s="9"/>
      <c r="G141" s="9"/>
      <c r="H141" s="9"/>
      <c r="I141" s="9"/>
      <c r="J141" s="9">
        <v>1</v>
      </c>
      <c r="K141" s="9"/>
      <c r="L141" s="9"/>
      <c r="M141" s="9"/>
      <c r="N141" s="9"/>
    </row>
    <row r="142" spans="1:14" x14ac:dyDescent="0.25">
      <c r="A142" s="8" t="s">
        <v>804</v>
      </c>
      <c r="B142" s="9">
        <v>1</v>
      </c>
      <c r="C142" s="9">
        <v>1</v>
      </c>
      <c r="D142" s="9">
        <v>1</v>
      </c>
      <c r="E142" s="9"/>
      <c r="F142" s="9"/>
      <c r="G142" s="9"/>
      <c r="H142" s="9"/>
      <c r="I142" s="9"/>
      <c r="J142" s="9">
        <v>1</v>
      </c>
      <c r="K142" s="9"/>
      <c r="L142" s="9"/>
      <c r="M142" s="9"/>
      <c r="N142" s="9"/>
    </row>
    <row r="143" spans="1:14" x14ac:dyDescent="0.25">
      <c r="A143" s="8" t="s">
        <v>851</v>
      </c>
      <c r="B143" s="9">
        <v>1</v>
      </c>
      <c r="C143" s="9">
        <v>1</v>
      </c>
      <c r="D143" s="9">
        <v>1</v>
      </c>
      <c r="E143" s="9"/>
      <c r="F143" s="9"/>
      <c r="G143" s="9"/>
      <c r="H143" s="9"/>
      <c r="I143" s="9"/>
      <c r="J143" s="9">
        <v>1</v>
      </c>
      <c r="K143" s="9"/>
      <c r="L143" s="9"/>
      <c r="M143" s="9"/>
      <c r="N143" s="9"/>
    </row>
    <row r="144" spans="1:14" ht="30" x14ac:dyDescent="0.25">
      <c r="A144" s="8" t="s">
        <v>167</v>
      </c>
      <c r="B144" s="9">
        <v>1</v>
      </c>
      <c r="C144" s="9">
        <v>1</v>
      </c>
      <c r="D144" s="9">
        <v>1</v>
      </c>
      <c r="E144" s="9"/>
      <c r="F144" s="9"/>
      <c r="G144" s="9"/>
      <c r="H144" s="9"/>
      <c r="I144" s="9"/>
      <c r="J144" s="9">
        <v>1</v>
      </c>
      <c r="K144" s="9"/>
      <c r="L144" s="9"/>
      <c r="M144" s="9"/>
      <c r="N144" s="9"/>
    </row>
    <row r="145" spans="1:14" x14ac:dyDescent="0.25">
      <c r="A145" s="8" t="s">
        <v>804</v>
      </c>
      <c r="B145" s="9">
        <v>1</v>
      </c>
      <c r="C145" s="9">
        <v>1</v>
      </c>
      <c r="D145" s="9">
        <v>1</v>
      </c>
      <c r="E145" s="9"/>
      <c r="F145" s="9"/>
      <c r="G145" s="9"/>
      <c r="H145" s="9"/>
      <c r="I145" s="9"/>
      <c r="J145" s="9">
        <v>1</v>
      </c>
      <c r="K145" s="9"/>
      <c r="L145" s="9"/>
      <c r="M145" s="9"/>
      <c r="N145" s="9"/>
    </row>
    <row r="146" spans="1:14" x14ac:dyDescent="0.25">
      <c r="A146" s="8" t="s">
        <v>852</v>
      </c>
      <c r="B146" s="9">
        <v>1</v>
      </c>
      <c r="C146" s="9">
        <v>1</v>
      </c>
      <c r="D146" s="9">
        <v>1</v>
      </c>
      <c r="E146" s="9">
        <v>1</v>
      </c>
      <c r="F146" s="9"/>
      <c r="G146" s="9">
        <v>1</v>
      </c>
      <c r="H146" s="9"/>
      <c r="I146" s="9"/>
      <c r="J146" s="9"/>
      <c r="K146" s="9"/>
      <c r="L146" s="9">
        <v>1</v>
      </c>
      <c r="M146" s="9"/>
      <c r="N146" s="9"/>
    </row>
    <row r="147" spans="1:14" ht="30" x14ac:dyDescent="0.25">
      <c r="A147" s="8" t="s">
        <v>173</v>
      </c>
      <c r="B147" s="9">
        <v>1</v>
      </c>
      <c r="C147" s="9">
        <v>1</v>
      </c>
      <c r="D147" s="9">
        <v>1</v>
      </c>
      <c r="E147" s="9">
        <v>1</v>
      </c>
      <c r="F147" s="9"/>
      <c r="G147" s="9">
        <v>1</v>
      </c>
      <c r="H147" s="9"/>
      <c r="I147" s="9"/>
      <c r="J147" s="9"/>
      <c r="K147" s="9"/>
      <c r="L147" s="9">
        <v>1</v>
      </c>
      <c r="M147" s="9"/>
      <c r="N147" s="9"/>
    </row>
    <row r="148" spans="1:14" x14ac:dyDescent="0.25">
      <c r="A148" s="8" t="s">
        <v>804</v>
      </c>
      <c r="B148" s="9">
        <v>1</v>
      </c>
      <c r="C148" s="9">
        <v>1</v>
      </c>
      <c r="D148" s="9">
        <v>1</v>
      </c>
      <c r="E148" s="9">
        <v>1</v>
      </c>
      <c r="F148" s="9"/>
      <c r="G148" s="9">
        <v>1</v>
      </c>
      <c r="H148" s="9"/>
      <c r="I148" s="9"/>
      <c r="J148" s="9"/>
      <c r="K148" s="9"/>
      <c r="L148" s="9">
        <v>1</v>
      </c>
      <c r="M148" s="9"/>
      <c r="N148" s="9"/>
    </row>
    <row r="149" spans="1:14" x14ac:dyDescent="0.25">
      <c r="A149" s="8" t="s">
        <v>853</v>
      </c>
      <c r="B149" s="9">
        <v>1</v>
      </c>
      <c r="C149" s="9">
        <v>1</v>
      </c>
      <c r="D149" s="9"/>
      <c r="E149" s="9">
        <v>1</v>
      </c>
      <c r="F149" s="9"/>
      <c r="G149" s="9">
        <v>1</v>
      </c>
      <c r="H149" s="9"/>
      <c r="I149" s="9"/>
      <c r="J149" s="9"/>
      <c r="K149" s="9"/>
      <c r="L149" s="9">
        <v>1</v>
      </c>
      <c r="M149" s="9"/>
      <c r="N149" s="9"/>
    </row>
    <row r="150" spans="1:14" ht="30" x14ac:dyDescent="0.25">
      <c r="A150" s="8" t="s">
        <v>177</v>
      </c>
      <c r="B150" s="9">
        <v>1</v>
      </c>
      <c r="C150" s="9">
        <v>1</v>
      </c>
      <c r="D150" s="9"/>
      <c r="E150" s="9">
        <v>1</v>
      </c>
      <c r="F150" s="9"/>
      <c r="G150" s="9">
        <v>1</v>
      </c>
      <c r="H150" s="9"/>
      <c r="I150" s="9"/>
      <c r="J150" s="9"/>
      <c r="K150" s="9"/>
      <c r="L150" s="9">
        <v>1</v>
      </c>
      <c r="M150" s="9"/>
      <c r="N150" s="9"/>
    </row>
    <row r="151" spans="1:14" x14ac:dyDescent="0.25">
      <c r="A151" s="8" t="s">
        <v>804</v>
      </c>
      <c r="B151" s="9">
        <v>1</v>
      </c>
      <c r="C151" s="9">
        <v>1</v>
      </c>
      <c r="D151" s="9"/>
      <c r="E151" s="9">
        <v>1</v>
      </c>
      <c r="F151" s="9"/>
      <c r="G151" s="9">
        <v>1</v>
      </c>
      <c r="H151" s="9"/>
      <c r="I151" s="9"/>
      <c r="J151" s="9"/>
      <c r="K151" s="9"/>
      <c r="L151" s="9">
        <v>1</v>
      </c>
      <c r="M151" s="9"/>
      <c r="N151" s="9"/>
    </row>
    <row r="152" spans="1:14" x14ac:dyDescent="0.25">
      <c r="A152" s="8" t="s">
        <v>854</v>
      </c>
      <c r="B152" s="9">
        <v>1</v>
      </c>
      <c r="C152" s="9">
        <v>1</v>
      </c>
      <c r="D152" s="9"/>
      <c r="E152" s="9"/>
      <c r="F152" s="9"/>
      <c r="G152" s="9"/>
      <c r="H152" s="9"/>
      <c r="I152" s="9"/>
      <c r="J152" s="9">
        <v>1</v>
      </c>
      <c r="K152" s="9"/>
      <c r="L152" s="9"/>
      <c r="M152" s="9"/>
      <c r="N152" s="9"/>
    </row>
    <row r="153" spans="1:14" ht="30" x14ac:dyDescent="0.25">
      <c r="A153" s="8" t="s">
        <v>182</v>
      </c>
      <c r="B153" s="9">
        <v>1</v>
      </c>
      <c r="C153" s="9">
        <v>1</v>
      </c>
      <c r="D153" s="9"/>
      <c r="E153" s="9"/>
      <c r="F153" s="9"/>
      <c r="G153" s="9"/>
      <c r="H153" s="9"/>
      <c r="I153" s="9"/>
      <c r="J153" s="9">
        <v>1</v>
      </c>
      <c r="K153" s="9"/>
      <c r="L153" s="9"/>
      <c r="M153" s="9"/>
      <c r="N153" s="9"/>
    </row>
    <row r="154" spans="1:14" x14ac:dyDescent="0.25">
      <c r="A154" s="8" t="s">
        <v>804</v>
      </c>
      <c r="B154" s="9">
        <v>1</v>
      </c>
      <c r="C154" s="9">
        <v>1</v>
      </c>
      <c r="D154" s="9"/>
      <c r="E154" s="9"/>
      <c r="F154" s="9"/>
      <c r="G154" s="9"/>
      <c r="H154" s="9"/>
      <c r="I154" s="9"/>
      <c r="J154" s="9">
        <v>1</v>
      </c>
      <c r="K154" s="9"/>
      <c r="L154" s="9"/>
      <c r="M154" s="9"/>
      <c r="N154" s="9"/>
    </row>
    <row r="155" spans="1:14" x14ac:dyDescent="0.25">
      <c r="A155" s="8" t="s">
        <v>855</v>
      </c>
      <c r="B155" s="9">
        <v>1</v>
      </c>
      <c r="C155" s="9">
        <v>1</v>
      </c>
      <c r="D155" s="9"/>
      <c r="E155" s="9"/>
      <c r="F155" s="9"/>
      <c r="G155" s="9"/>
      <c r="H155" s="9"/>
      <c r="I155" s="9"/>
      <c r="J155" s="9">
        <v>1</v>
      </c>
      <c r="K155" s="9"/>
      <c r="L155" s="9"/>
      <c r="M155" s="9"/>
      <c r="N155" s="9"/>
    </row>
    <row r="156" spans="1:14" ht="30" x14ac:dyDescent="0.25">
      <c r="A156" s="8" t="s">
        <v>185</v>
      </c>
      <c r="B156" s="9">
        <v>1</v>
      </c>
      <c r="C156" s="9">
        <v>1</v>
      </c>
      <c r="D156" s="9"/>
      <c r="E156" s="9"/>
      <c r="F156" s="9"/>
      <c r="G156" s="9"/>
      <c r="H156" s="9"/>
      <c r="I156" s="9"/>
      <c r="J156" s="9">
        <v>1</v>
      </c>
      <c r="K156" s="9"/>
      <c r="L156" s="9"/>
      <c r="M156" s="9"/>
      <c r="N156" s="9"/>
    </row>
    <row r="157" spans="1:14" x14ac:dyDescent="0.25">
      <c r="A157" s="8" t="s">
        <v>804</v>
      </c>
      <c r="B157" s="9">
        <v>1</v>
      </c>
      <c r="C157" s="9">
        <v>1</v>
      </c>
      <c r="D157" s="9"/>
      <c r="E157" s="9"/>
      <c r="F157" s="9"/>
      <c r="G157" s="9"/>
      <c r="H157" s="9"/>
      <c r="I157" s="9"/>
      <c r="J157" s="9">
        <v>1</v>
      </c>
      <c r="K157" s="9"/>
      <c r="L157" s="9"/>
      <c r="M157" s="9"/>
      <c r="N157" s="9"/>
    </row>
    <row r="158" spans="1:14" x14ac:dyDescent="0.25">
      <c r="A158" s="8" t="s">
        <v>856</v>
      </c>
      <c r="B158" s="9">
        <v>1</v>
      </c>
      <c r="C158" s="9">
        <v>1</v>
      </c>
      <c r="D158" s="9"/>
      <c r="E158" s="9">
        <v>1</v>
      </c>
      <c r="F158" s="9">
        <v>1</v>
      </c>
      <c r="G158" s="9"/>
      <c r="H158" s="9"/>
      <c r="I158" s="9"/>
      <c r="J158" s="9"/>
      <c r="K158" s="9">
        <v>1</v>
      </c>
      <c r="L158" s="9"/>
      <c r="M158" s="9"/>
      <c r="N158" s="9"/>
    </row>
    <row r="159" spans="1:14" x14ac:dyDescent="0.25">
      <c r="A159" s="8" t="s">
        <v>193</v>
      </c>
      <c r="B159" s="9">
        <v>1</v>
      </c>
      <c r="C159" s="9">
        <v>1</v>
      </c>
      <c r="D159" s="9"/>
      <c r="E159" s="9">
        <v>1</v>
      </c>
      <c r="F159" s="9">
        <v>1</v>
      </c>
      <c r="G159" s="9"/>
      <c r="H159" s="9"/>
      <c r="I159" s="9"/>
      <c r="J159" s="9"/>
      <c r="K159" s="9">
        <v>1</v>
      </c>
      <c r="L159" s="9"/>
      <c r="M159" s="9"/>
      <c r="N159" s="9"/>
    </row>
    <row r="160" spans="1:14" x14ac:dyDescent="0.25">
      <c r="A160" s="8" t="s">
        <v>804</v>
      </c>
      <c r="B160" s="9">
        <v>1</v>
      </c>
      <c r="C160" s="9">
        <v>1</v>
      </c>
      <c r="D160" s="9"/>
      <c r="E160" s="9">
        <v>1</v>
      </c>
      <c r="F160" s="9">
        <v>1</v>
      </c>
      <c r="G160" s="9"/>
      <c r="H160" s="9"/>
      <c r="I160" s="9"/>
      <c r="J160" s="9"/>
      <c r="K160" s="9">
        <v>1</v>
      </c>
      <c r="L160" s="9"/>
      <c r="M160" s="9"/>
      <c r="N160" s="9"/>
    </row>
    <row r="161" spans="1:14" x14ac:dyDescent="0.25">
      <c r="A161" s="8" t="s">
        <v>857</v>
      </c>
      <c r="B161" s="9">
        <v>1</v>
      </c>
      <c r="C161" s="9">
        <v>1</v>
      </c>
      <c r="D161" s="9"/>
      <c r="E161" s="9"/>
      <c r="F161" s="9"/>
      <c r="G161" s="9"/>
      <c r="H161" s="9"/>
      <c r="I161" s="9"/>
      <c r="J161" s="9"/>
      <c r="K161" s="9">
        <v>1</v>
      </c>
      <c r="L161" s="9"/>
      <c r="M161" s="9"/>
      <c r="N161" s="9"/>
    </row>
    <row r="162" spans="1:14" x14ac:dyDescent="0.25">
      <c r="A162" s="8" t="s">
        <v>196</v>
      </c>
      <c r="B162" s="9">
        <v>1</v>
      </c>
      <c r="C162" s="9">
        <v>1</v>
      </c>
      <c r="D162" s="9"/>
      <c r="E162" s="9"/>
      <c r="F162" s="9"/>
      <c r="G162" s="9"/>
      <c r="H162" s="9"/>
      <c r="I162" s="9"/>
      <c r="J162" s="9"/>
      <c r="K162" s="9">
        <v>1</v>
      </c>
      <c r="L162" s="9"/>
      <c r="M162" s="9"/>
      <c r="N162" s="9"/>
    </row>
    <row r="163" spans="1:14" x14ac:dyDescent="0.25">
      <c r="A163" s="8" t="s">
        <v>804</v>
      </c>
      <c r="B163" s="9">
        <v>1</v>
      </c>
      <c r="C163" s="9">
        <v>1</v>
      </c>
      <c r="D163" s="9"/>
      <c r="E163" s="9"/>
      <c r="F163" s="9"/>
      <c r="G163" s="9"/>
      <c r="H163" s="9"/>
      <c r="I163" s="9"/>
      <c r="J163" s="9"/>
      <c r="K163" s="9">
        <v>1</v>
      </c>
      <c r="L163" s="9"/>
      <c r="M163" s="9"/>
      <c r="N163" s="9"/>
    </row>
    <row r="164" spans="1:14" x14ac:dyDescent="0.25">
      <c r="A164" s="8" t="s">
        <v>858</v>
      </c>
      <c r="B164" s="9">
        <v>1</v>
      </c>
      <c r="C164" s="9">
        <v>1</v>
      </c>
      <c r="D164" s="9"/>
      <c r="E164" s="9"/>
      <c r="F164" s="9"/>
      <c r="G164" s="9"/>
      <c r="H164" s="9"/>
      <c r="I164" s="9"/>
      <c r="J164" s="9"/>
      <c r="K164" s="9">
        <v>1</v>
      </c>
      <c r="L164" s="9"/>
      <c r="M164" s="9"/>
      <c r="N164" s="9"/>
    </row>
    <row r="165" spans="1:14" x14ac:dyDescent="0.25">
      <c r="A165" s="8" t="s">
        <v>200</v>
      </c>
      <c r="B165" s="9">
        <v>1</v>
      </c>
      <c r="C165" s="9">
        <v>1</v>
      </c>
      <c r="D165" s="9"/>
      <c r="E165" s="9"/>
      <c r="F165" s="9"/>
      <c r="G165" s="9"/>
      <c r="H165" s="9"/>
      <c r="I165" s="9"/>
      <c r="J165" s="9"/>
      <c r="K165" s="9">
        <v>1</v>
      </c>
      <c r="L165" s="9"/>
      <c r="M165" s="9"/>
      <c r="N165" s="9"/>
    </row>
    <row r="166" spans="1:14" x14ac:dyDescent="0.25">
      <c r="A166" s="8" t="s">
        <v>804</v>
      </c>
      <c r="B166" s="9">
        <v>1</v>
      </c>
      <c r="C166" s="9">
        <v>1</v>
      </c>
      <c r="D166" s="9"/>
      <c r="E166" s="9"/>
      <c r="F166" s="9"/>
      <c r="G166" s="9"/>
      <c r="H166" s="9"/>
      <c r="I166" s="9"/>
      <c r="J166" s="9"/>
      <c r="K166" s="9">
        <v>1</v>
      </c>
      <c r="L166" s="9"/>
      <c r="M166" s="9"/>
      <c r="N166" s="9"/>
    </row>
    <row r="167" spans="1:14" x14ac:dyDescent="0.25">
      <c r="A167" s="8" t="s">
        <v>859</v>
      </c>
      <c r="B167" s="9">
        <v>1</v>
      </c>
      <c r="C167" s="9">
        <v>1</v>
      </c>
      <c r="D167" s="9"/>
      <c r="E167" s="9"/>
      <c r="F167" s="9"/>
      <c r="G167" s="9"/>
      <c r="H167" s="9"/>
      <c r="I167" s="9"/>
      <c r="J167" s="9"/>
      <c r="K167" s="9">
        <v>1</v>
      </c>
      <c r="L167" s="9"/>
      <c r="M167" s="9"/>
      <c r="N167" s="9"/>
    </row>
    <row r="168" spans="1:14" x14ac:dyDescent="0.25">
      <c r="A168" s="8" t="s">
        <v>203</v>
      </c>
      <c r="B168" s="9">
        <v>1</v>
      </c>
      <c r="C168" s="9">
        <v>1</v>
      </c>
      <c r="D168" s="9"/>
      <c r="E168" s="9"/>
      <c r="F168" s="9"/>
      <c r="G168" s="9"/>
      <c r="H168" s="9"/>
      <c r="I168" s="9"/>
      <c r="J168" s="9"/>
      <c r="K168" s="9">
        <v>1</v>
      </c>
      <c r="L168" s="9"/>
      <c r="M168" s="9"/>
      <c r="N168" s="9"/>
    </row>
    <row r="169" spans="1:14" x14ac:dyDescent="0.25">
      <c r="A169" s="8" t="s">
        <v>804</v>
      </c>
      <c r="B169" s="9">
        <v>1</v>
      </c>
      <c r="C169" s="9">
        <v>1</v>
      </c>
      <c r="D169" s="9"/>
      <c r="E169" s="9"/>
      <c r="F169" s="9"/>
      <c r="G169" s="9"/>
      <c r="H169" s="9"/>
      <c r="I169" s="9"/>
      <c r="J169" s="9"/>
      <c r="K169" s="9">
        <v>1</v>
      </c>
      <c r="L169" s="9"/>
      <c r="M169" s="9"/>
      <c r="N169" s="9"/>
    </row>
    <row r="170" spans="1:14" x14ac:dyDescent="0.25">
      <c r="A170" s="8" t="s">
        <v>860</v>
      </c>
      <c r="B170" s="9">
        <v>1</v>
      </c>
      <c r="C170" s="9">
        <v>1</v>
      </c>
      <c r="D170" s="9"/>
      <c r="E170" s="9"/>
      <c r="F170" s="9"/>
      <c r="G170" s="9"/>
      <c r="H170" s="9"/>
      <c r="I170" s="9"/>
      <c r="J170" s="9"/>
      <c r="K170" s="9">
        <v>1</v>
      </c>
      <c r="L170" s="9"/>
      <c r="M170" s="9"/>
      <c r="N170" s="9"/>
    </row>
    <row r="171" spans="1:14" x14ac:dyDescent="0.25">
      <c r="A171" s="8" t="s">
        <v>206</v>
      </c>
      <c r="B171" s="9">
        <v>1</v>
      </c>
      <c r="C171" s="9">
        <v>1</v>
      </c>
      <c r="D171" s="9"/>
      <c r="E171" s="9"/>
      <c r="F171" s="9"/>
      <c r="G171" s="9"/>
      <c r="H171" s="9"/>
      <c r="I171" s="9"/>
      <c r="J171" s="9"/>
      <c r="K171" s="9">
        <v>1</v>
      </c>
      <c r="L171" s="9"/>
      <c r="M171" s="9"/>
      <c r="N171" s="9"/>
    </row>
    <row r="172" spans="1:14" x14ac:dyDescent="0.25">
      <c r="A172" s="8" t="s">
        <v>804</v>
      </c>
      <c r="B172" s="9">
        <v>1</v>
      </c>
      <c r="C172" s="9">
        <v>1</v>
      </c>
      <c r="D172" s="9"/>
      <c r="E172" s="9"/>
      <c r="F172" s="9"/>
      <c r="G172" s="9"/>
      <c r="H172" s="9"/>
      <c r="I172" s="9"/>
      <c r="J172" s="9"/>
      <c r="K172" s="9">
        <v>1</v>
      </c>
      <c r="L172" s="9"/>
      <c r="M172" s="9"/>
      <c r="N172" s="9"/>
    </row>
    <row r="173" spans="1:14" x14ac:dyDescent="0.25">
      <c r="A173" s="8" t="s">
        <v>861</v>
      </c>
      <c r="B173" s="9">
        <v>1</v>
      </c>
      <c r="C173" s="9">
        <v>1</v>
      </c>
      <c r="D173" s="9"/>
      <c r="E173" s="9"/>
      <c r="F173" s="9"/>
      <c r="G173" s="9"/>
      <c r="H173" s="9"/>
      <c r="I173" s="9"/>
      <c r="J173" s="9"/>
      <c r="K173" s="9">
        <v>1</v>
      </c>
      <c r="L173" s="9"/>
      <c r="M173" s="9"/>
      <c r="N173" s="9"/>
    </row>
    <row r="174" spans="1:14" x14ac:dyDescent="0.25">
      <c r="A174" s="8" t="s">
        <v>209</v>
      </c>
      <c r="B174" s="9">
        <v>1</v>
      </c>
      <c r="C174" s="9">
        <v>1</v>
      </c>
      <c r="D174" s="9"/>
      <c r="E174" s="9"/>
      <c r="F174" s="9"/>
      <c r="G174" s="9"/>
      <c r="H174" s="9"/>
      <c r="I174" s="9"/>
      <c r="J174" s="9"/>
      <c r="K174" s="9">
        <v>1</v>
      </c>
      <c r="L174" s="9"/>
      <c r="M174" s="9"/>
      <c r="N174" s="9"/>
    </row>
    <row r="175" spans="1:14" x14ac:dyDescent="0.25">
      <c r="A175" s="8" t="s">
        <v>804</v>
      </c>
      <c r="B175" s="9">
        <v>1</v>
      </c>
      <c r="C175" s="9">
        <v>1</v>
      </c>
      <c r="D175" s="9"/>
      <c r="E175" s="9"/>
      <c r="F175" s="9"/>
      <c r="G175" s="9"/>
      <c r="H175" s="9"/>
      <c r="I175" s="9"/>
      <c r="J175" s="9"/>
      <c r="K175" s="9">
        <v>1</v>
      </c>
      <c r="L175" s="9"/>
      <c r="M175" s="9"/>
      <c r="N175" s="9"/>
    </row>
    <row r="176" spans="1:14" x14ac:dyDescent="0.25">
      <c r="A176" s="8" t="s">
        <v>862</v>
      </c>
      <c r="B176" s="9">
        <v>1</v>
      </c>
      <c r="C176" s="9">
        <v>1</v>
      </c>
      <c r="D176" s="9"/>
      <c r="E176" s="9"/>
      <c r="F176" s="9"/>
      <c r="G176" s="9"/>
      <c r="H176" s="9"/>
      <c r="I176" s="9"/>
      <c r="J176" s="9"/>
      <c r="K176" s="9">
        <v>1</v>
      </c>
      <c r="L176" s="9"/>
      <c r="M176" s="9"/>
      <c r="N176" s="9"/>
    </row>
    <row r="177" spans="1:14" ht="30" x14ac:dyDescent="0.25">
      <c r="A177" s="8" t="s">
        <v>212</v>
      </c>
      <c r="B177" s="9">
        <v>1</v>
      </c>
      <c r="C177" s="9">
        <v>1</v>
      </c>
      <c r="D177" s="9"/>
      <c r="E177" s="9"/>
      <c r="F177" s="9"/>
      <c r="G177" s="9"/>
      <c r="H177" s="9"/>
      <c r="I177" s="9"/>
      <c r="J177" s="9"/>
      <c r="K177" s="9">
        <v>1</v>
      </c>
      <c r="L177" s="9"/>
      <c r="M177" s="9"/>
      <c r="N177" s="9"/>
    </row>
    <row r="178" spans="1:14" x14ac:dyDescent="0.25">
      <c r="A178" s="8" t="s">
        <v>804</v>
      </c>
      <c r="B178" s="9">
        <v>1</v>
      </c>
      <c r="C178" s="9">
        <v>1</v>
      </c>
      <c r="D178" s="9"/>
      <c r="E178" s="9"/>
      <c r="F178" s="9"/>
      <c r="G178" s="9"/>
      <c r="H178" s="9"/>
      <c r="I178" s="9"/>
      <c r="J178" s="9"/>
      <c r="K178" s="9">
        <v>1</v>
      </c>
      <c r="L178" s="9"/>
      <c r="M178" s="9"/>
      <c r="N178" s="9"/>
    </row>
    <row r="179" spans="1:14" x14ac:dyDescent="0.25">
      <c r="A179" s="8" t="s">
        <v>863</v>
      </c>
      <c r="B179" s="9">
        <v>1</v>
      </c>
      <c r="C179" s="9">
        <v>1</v>
      </c>
      <c r="D179" s="9"/>
      <c r="E179" s="9">
        <v>1</v>
      </c>
      <c r="F179" s="9">
        <v>1</v>
      </c>
      <c r="G179" s="9"/>
      <c r="H179" s="9"/>
      <c r="I179" s="9"/>
      <c r="J179" s="9"/>
      <c r="K179" s="9">
        <v>1</v>
      </c>
      <c r="L179" s="9"/>
      <c r="M179" s="9"/>
      <c r="N179" s="9"/>
    </row>
    <row r="180" spans="1:14" x14ac:dyDescent="0.25">
      <c r="A180" s="8" t="s">
        <v>215</v>
      </c>
      <c r="B180" s="9">
        <v>1</v>
      </c>
      <c r="C180" s="9">
        <v>1</v>
      </c>
      <c r="D180" s="9"/>
      <c r="E180" s="9">
        <v>1</v>
      </c>
      <c r="F180" s="9">
        <v>1</v>
      </c>
      <c r="G180" s="9"/>
      <c r="H180" s="9"/>
      <c r="I180" s="9"/>
      <c r="J180" s="9"/>
      <c r="K180" s="9">
        <v>1</v>
      </c>
      <c r="L180" s="9"/>
      <c r="M180" s="9"/>
      <c r="N180" s="9"/>
    </row>
    <row r="181" spans="1:14" x14ac:dyDescent="0.25">
      <c r="A181" s="8" t="s">
        <v>804</v>
      </c>
      <c r="B181" s="9">
        <v>1</v>
      </c>
      <c r="C181" s="9">
        <v>1</v>
      </c>
      <c r="D181" s="9"/>
      <c r="E181" s="9">
        <v>1</v>
      </c>
      <c r="F181" s="9">
        <v>1</v>
      </c>
      <c r="G181" s="9"/>
      <c r="H181" s="9"/>
      <c r="I181" s="9"/>
      <c r="J181" s="9"/>
      <c r="K181" s="9">
        <v>1</v>
      </c>
      <c r="L181" s="9"/>
      <c r="M181" s="9"/>
      <c r="N181" s="9"/>
    </row>
    <row r="182" spans="1:14" x14ac:dyDescent="0.25">
      <c r="A182" s="8" t="s">
        <v>864</v>
      </c>
      <c r="B182" s="9">
        <v>1</v>
      </c>
      <c r="C182" s="9">
        <v>1</v>
      </c>
      <c r="D182" s="9"/>
      <c r="E182" s="9"/>
      <c r="F182" s="9"/>
      <c r="G182" s="9"/>
      <c r="H182" s="9"/>
      <c r="I182" s="9"/>
      <c r="J182" s="9"/>
      <c r="K182" s="9"/>
      <c r="L182" s="9"/>
      <c r="M182" s="9"/>
      <c r="N182" s="9">
        <v>1</v>
      </c>
    </row>
    <row r="183" spans="1:14" ht="60" x14ac:dyDescent="0.25">
      <c r="A183" s="8" t="s">
        <v>218</v>
      </c>
      <c r="B183" s="9">
        <v>1</v>
      </c>
      <c r="C183" s="9">
        <v>1</v>
      </c>
      <c r="D183" s="9"/>
      <c r="E183" s="9"/>
      <c r="F183" s="9"/>
      <c r="G183" s="9"/>
      <c r="H183" s="9"/>
      <c r="I183" s="9"/>
      <c r="J183" s="9"/>
      <c r="K183" s="9"/>
      <c r="L183" s="9"/>
      <c r="M183" s="9"/>
      <c r="N183" s="9">
        <v>1</v>
      </c>
    </row>
    <row r="184" spans="1:14" x14ac:dyDescent="0.25">
      <c r="A184" s="8" t="s">
        <v>804</v>
      </c>
      <c r="B184" s="9">
        <v>1</v>
      </c>
      <c r="C184" s="9">
        <v>1</v>
      </c>
      <c r="D184" s="9"/>
      <c r="E184" s="9"/>
      <c r="F184" s="9"/>
      <c r="G184" s="9"/>
      <c r="H184" s="9"/>
      <c r="I184" s="9"/>
      <c r="J184" s="9"/>
      <c r="K184" s="9"/>
      <c r="L184" s="9"/>
      <c r="M184" s="9"/>
      <c r="N184" s="9">
        <v>1</v>
      </c>
    </row>
    <row r="185" spans="1:14" x14ac:dyDescent="0.25">
      <c r="A185" s="8" t="s">
        <v>865</v>
      </c>
      <c r="B185" s="9">
        <v>1</v>
      </c>
      <c r="C185" s="9">
        <v>1</v>
      </c>
      <c r="D185" s="9"/>
      <c r="E185" s="9"/>
      <c r="F185" s="9"/>
      <c r="G185" s="9"/>
      <c r="H185" s="9"/>
      <c r="I185" s="9"/>
      <c r="J185" s="9"/>
      <c r="K185" s="9">
        <v>1</v>
      </c>
      <c r="L185" s="9"/>
      <c r="M185" s="9"/>
      <c r="N185" s="9"/>
    </row>
    <row r="186" spans="1:14" ht="45" x14ac:dyDescent="0.25">
      <c r="A186" s="8" t="s">
        <v>221</v>
      </c>
      <c r="B186" s="9">
        <v>1</v>
      </c>
      <c r="C186" s="9">
        <v>1</v>
      </c>
      <c r="D186" s="9"/>
      <c r="E186" s="9"/>
      <c r="F186" s="9"/>
      <c r="G186" s="9"/>
      <c r="H186" s="9"/>
      <c r="I186" s="9"/>
      <c r="J186" s="9"/>
      <c r="K186" s="9">
        <v>1</v>
      </c>
      <c r="L186" s="9"/>
      <c r="M186" s="9"/>
      <c r="N186" s="9"/>
    </row>
    <row r="187" spans="1:14" x14ac:dyDescent="0.25">
      <c r="A187" s="8" t="s">
        <v>804</v>
      </c>
      <c r="B187" s="9">
        <v>1</v>
      </c>
      <c r="C187" s="9">
        <v>1</v>
      </c>
      <c r="D187" s="9"/>
      <c r="E187" s="9"/>
      <c r="F187" s="9"/>
      <c r="G187" s="9"/>
      <c r="H187" s="9"/>
      <c r="I187" s="9"/>
      <c r="J187" s="9"/>
      <c r="K187" s="9">
        <v>1</v>
      </c>
      <c r="L187" s="9"/>
      <c r="M187" s="9"/>
      <c r="N187" s="9"/>
    </row>
    <row r="188" spans="1:14" x14ac:dyDescent="0.25">
      <c r="A188" s="8" t="s">
        <v>866</v>
      </c>
      <c r="B188" s="9">
        <v>1</v>
      </c>
      <c r="C188" s="9">
        <v>1</v>
      </c>
      <c r="D188" s="9"/>
      <c r="E188" s="9"/>
      <c r="F188" s="9"/>
      <c r="G188" s="9"/>
      <c r="H188" s="9"/>
      <c r="I188" s="9"/>
      <c r="J188" s="9"/>
      <c r="K188" s="9"/>
      <c r="L188" s="9"/>
      <c r="M188" s="9"/>
      <c r="N188" s="9">
        <v>1</v>
      </c>
    </row>
    <row r="189" spans="1:14" ht="60" x14ac:dyDescent="0.25">
      <c r="A189" s="8" t="s">
        <v>222</v>
      </c>
      <c r="B189" s="9">
        <v>1</v>
      </c>
      <c r="C189" s="9">
        <v>1</v>
      </c>
      <c r="D189" s="9"/>
      <c r="E189" s="9"/>
      <c r="F189" s="9"/>
      <c r="G189" s="9"/>
      <c r="H189" s="9"/>
      <c r="I189" s="9"/>
      <c r="J189" s="9"/>
      <c r="K189" s="9"/>
      <c r="L189" s="9"/>
      <c r="M189" s="9"/>
      <c r="N189" s="9">
        <v>1</v>
      </c>
    </row>
    <row r="190" spans="1:14" x14ac:dyDescent="0.25">
      <c r="A190" s="8" t="s">
        <v>804</v>
      </c>
      <c r="B190" s="9">
        <v>1</v>
      </c>
      <c r="C190" s="9">
        <v>1</v>
      </c>
      <c r="D190" s="9"/>
      <c r="E190" s="9"/>
      <c r="F190" s="9"/>
      <c r="G190" s="9"/>
      <c r="H190" s="9"/>
      <c r="I190" s="9"/>
      <c r="J190" s="9"/>
      <c r="K190" s="9"/>
      <c r="L190" s="9"/>
      <c r="M190" s="9"/>
      <c r="N190" s="9">
        <v>1</v>
      </c>
    </row>
    <row r="191" spans="1:14" x14ac:dyDescent="0.25">
      <c r="A191" s="8" t="s">
        <v>867</v>
      </c>
      <c r="B191" s="9">
        <v>1</v>
      </c>
      <c r="C191" s="9">
        <v>1</v>
      </c>
      <c r="D191" s="9"/>
      <c r="E191" s="9"/>
      <c r="F191" s="9"/>
      <c r="G191" s="9"/>
      <c r="H191" s="9"/>
      <c r="I191" s="9"/>
      <c r="J191" s="9"/>
      <c r="K191" s="9">
        <v>1</v>
      </c>
      <c r="L191" s="9"/>
      <c r="M191" s="9"/>
      <c r="N191" s="9"/>
    </row>
    <row r="192" spans="1:14" ht="30" x14ac:dyDescent="0.25">
      <c r="A192" s="8" t="s">
        <v>225</v>
      </c>
      <c r="B192" s="9">
        <v>1</v>
      </c>
      <c r="C192" s="9">
        <v>1</v>
      </c>
      <c r="D192" s="9"/>
      <c r="E192" s="9"/>
      <c r="F192" s="9"/>
      <c r="G192" s="9"/>
      <c r="H192" s="9"/>
      <c r="I192" s="9"/>
      <c r="J192" s="9"/>
      <c r="K192" s="9">
        <v>1</v>
      </c>
      <c r="L192" s="9"/>
      <c r="M192" s="9"/>
      <c r="N192" s="9"/>
    </row>
    <row r="193" spans="1:14" x14ac:dyDescent="0.25">
      <c r="A193" s="8" t="s">
        <v>804</v>
      </c>
      <c r="B193" s="9">
        <v>1</v>
      </c>
      <c r="C193" s="9">
        <v>1</v>
      </c>
      <c r="D193" s="9"/>
      <c r="E193" s="9"/>
      <c r="F193" s="9"/>
      <c r="G193" s="9"/>
      <c r="H193" s="9"/>
      <c r="I193" s="9"/>
      <c r="J193" s="9"/>
      <c r="K193" s="9">
        <v>1</v>
      </c>
      <c r="L193" s="9"/>
      <c r="M193" s="9"/>
      <c r="N193" s="9"/>
    </row>
    <row r="194" spans="1:14" x14ac:dyDescent="0.25">
      <c r="A194" s="8" t="s">
        <v>868</v>
      </c>
      <c r="B194" s="9">
        <v>1</v>
      </c>
      <c r="C194" s="9">
        <v>1</v>
      </c>
      <c r="D194" s="9"/>
      <c r="E194" s="9"/>
      <c r="F194" s="9"/>
      <c r="G194" s="9"/>
      <c r="H194" s="9"/>
      <c r="I194" s="9"/>
      <c r="J194" s="9"/>
      <c r="K194" s="9">
        <v>1</v>
      </c>
      <c r="L194" s="9"/>
      <c r="M194" s="9"/>
      <c r="N194" s="9"/>
    </row>
    <row r="195" spans="1:14" ht="30" x14ac:dyDescent="0.25">
      <c r="A195" s="8" t="s">
        <v>228</v>
      </c>
      <c r="B195" s="9">
        <v>1</v>
      </c>
      <c r="C195" s="9">
        <v>1</v>
      </c>
      <c r="D195" s="9"/>
      <c r="E195" s="9"/>
      <c r="F195" s="9"/>
      <c r="G195" s="9"/>
      <c r="H195" s="9"/>
      <c r="I195" s="9"/>
      <c r="J195" s="9"/>
      <c r="K195" s="9">
        <v>1</v>
      </c>
      <c r="L195" s="9"/>
      <c r="M195" s="9"/>
      <c r="N195" s="9"/>
    </row>
    <row r="196" spans="1:14" x14ac:dyDescent="0.25">
      <c r="A196" s="8" t="s">
        <v>804</v>
      </c>
      <c r="B196" s="9">
        <v>1</v>
      </c>
      <c r="C196" s="9">
        <v>1</v>
      </c>
      <c r="D196" s="9"/>
      <c r="E196" s="9"/>
      <c r="F196" s="9"/>
      <c r="G196" s="9"/>
      <c r="H196" s="9"/>
      <c r="I196" s="9"/>
      <c r="J196" s="9"/>
      <c r="K196" s="9">
        <v>1</v>
      </c>
      <c r="L196" s="9"/>
      <c r="M196" s="9"/>
      <c r="N196" s="9"/>
    </row>
    <row r="197" spans="1:14" x14ac:dyDescent="0.25">
      <c r="A197" s="8" t="s">
        <v>869</v>
      </c>
      <c r="B197" s="9">
        <v>1</v>
      </c>
      <c r="C197" s="9">
        <v>1</v>
      </c>
      <c r="D197" s="9"/>
      <c r="E197" s="9"/>
      <c r="F197" s="9"/>
      <c r="G197" s="9"/>
      <c r="H197" s="9"/>
      <c r="I197" s="9"/>
      <c r="J197" s="9"/>
      <c r="K197" s="9">
        <v>1</v>
      </c>
      <c r="L197" s="9"/>
      <c r="M197" s="9"/>
      <c r="N197" s="9"/>
    </row>
    <row r="198" spans="1:14" x14ac:dyDescent="0.25">
      <c r="A198" s="8" t="s">
        <v>231</v>
      </c>
      <c r="B198" s="9">
        <v>1</v>
      </c>
      <c r="C198" s="9">
        <v>1</v>
      </c>
      <c r="D198" s="9"/>
      <c r="E198" s="9"/>
      <c r="F198" s="9"/>
      <c r="G198" s="9"/>
      <c r="H198" s="9"/>
      <c r="I198" s="9"/>
      <c r="J198" s="9"/>
      <c r="K198" s="9">
        <v>1</v>
      </c>
      <c r="L198" s="9"/>
      <c r="M198" s="9"/>
      <c r="N198" s="9"/>
    </row>
    <row r="199" spans="1:14" x14ac:dyDescent="0.25">
      <c r="A199" s="8" t="s">
        <v>804</v>
      </c>
      <c r="B199" s="9">
        <v>1</v>
      </c>
      <c r="C199" s="9">
        <v>1</v>
      </c>
      <c r="D199" s="9"/>
      <c r="E199" s="9"/>
      <c r="F199" s="9"/>
      <c r="G199" s="9"/>
      <c r="H199" s="9"/>
      <c r="I199" s="9"/>
      <c r="J199" s="9"/>
      <c r="K199" s="9">
        <v>1</v>
      </c>
      <c r="L199" s="9"/>
      <c r="M199" s="9"/>
      <c r="N199" s="9"/>
    </row>
    <row r="200" spans="1:14" x14ac:dyDescent="0.25">
      <c r="A200" s="8" t="s">
        <v>870</v>
      </c>
      <c r="B200" s="9">
        <v>1</v>
      </c>
      <c r="C200" s="9">
        <v>1</v>
      </c>
      <c r="D200" s="9"/>
      <c r="E200" s="9"/>
      <c r="F200" s="9"/>
      <c r="G200" s="9"/>
      <c r="H200" s="9"/>
      <c r="I200" s="9"/>
      <c r="J200" s="9"/>
      <c r="K200" s="9"/>
      <c r="L200" s="9"/>
      <c r="M200" s="9">
        <v>1</v>
      </c>
      <c r="N200" s="9"/>
    </row>
    <row r="201" spans="1:14" ht="30" x14ac:dyDescent="0.25">
      <c r="A201" s="8" t="s">
        <v>234</v>
      </c>
      <c r="B201" s="9">
        <v>1</v>
      </c>
      <c r="C201" s="9">
        <v>1</v>
      </c>
      <c r="D201" s="9"/>
      <c r="E201" s="9"/>
      <c r="F201" s="9"/>
      <c r="G201" s="9"/>
      <c r="H201" s="9"/>
      <c r="I201" s="9"/>
      <c r="J201" s="9"/>
      <c r="K201" s="9"/>
      <c r="L201" s="9"/>
      <c r="M201" s="9">
        <v>1</v>
      </c>
      <c r="N201" s="9"/>
    </row>
    <row r="202" spans="1:14" x14ac:dyDescent="0.25">
      <c r="A202" s="8" t="s">
        <v>804</v>
      </c>
      <c r="B202" s="9">
        <v>1</v>
      </c>
      <c r="C202" s="9">
        <v>1</v>
      </c>
      <c r="D202" s="9"/>
      <c r="E202" s="9"/>
      <c r="F202" s="9"/>
      <c r="G202" s="9"/>
      <c r="H202" s="9"/>
      <c r="I202" s="9"/>
      <c r="J202" s="9"/>
      <c r="K202" s="9"/>
      <c r="L202" s="9"/>
      <c r="M202" s="9">
        <v>1</v>
      </c>
      <c r="N202" s="9"/>
    </row>
    <row r="203" spans="1:14" x14ac:dyDescent="0.25">
      <c r="A203" s="8" t="s">
        <v>871</v>
      </c>
      <c r="B203" s="9">
        <v>1</v>
      </c>
      <c r="C203" s="9">
        <v>1</v>
      </c>
      <c r="D203" s="9"/>
      <c r="E203" s="9"/>
      <c r="F203" s="9"/>
      <c r="G203" s="9"/>
      <c r="H203" s="9"/>
      <c r="I203" s="9"/>
      <c r="J203" s="9"/>
      <c r="K203" s="9"/>
      <c r="L203" s="9"/>
      <c r="M203" s="9">
        <v>1</v>
      </c>
      <c r="N203" s="9"/>
    </row>
    <row r="204" spans="1:14" ht="30" x14ac:dyDescent="0.25">
      <c r="A204" s="8" t="s">
        <v>236</v>
      </c>
      <c r="B204" s="9">
        <v>1</v>
      </c>
      <c r="C204" s="9">
        <v>1</v>
      </c>
      <c r="D204" s="9"/>
      <c r="E204" s="9"/>
      <c r="F204" s="9"/>
      <c r="G204" s="9"/>
      <c r="H204" s="9"/>
      <c r="I204" s="9"/>
      <c r="J204" s="9"/>
      <c r="K204" s="9"/>
      <c r="L204" s="9"/>
      <c r="M204" s="9">
        <v>1</v>
      </c>
      <c r="N204" s="9"/>
    </row>
    <row r="205" spans="1:14" x14ac:dyDescent="0.25">
      <c r="A205" s="8" t="s">
        <v>804</v>
      </c>
      <c r="B205" s="9">
        <v>1</v>
      </c>
      <c r="C205" s="9">
        <v>1</v>
      </c>
      <c r="D205" s="9"/>
      <c r="E205" s="9"/>
      <c r="F205" s="9"/>
      <c r="G205" s="9"/>
      <c r="H205" s="9"/>
      <c r="I205" s="9"/>
      <c r="J205" s="9"/>
      <c r="K205" s="9"/>
      <c r="L205" s="9"/>
      <c r="M205" s="9">
        <v>1</v>
      </c>
      <c r="N205" s="9"/>
    </row>
    <row r="206" spans="1:14" x14ac:dyDescent="0.25">
      <c r="A206" s="8" t="s">
        <v>872</v>
      </c>
      <c r="B206" s="9">
        <v>1</v>
      </c>
      <c r="C206" s="9">
        <v>1</v>
      </c>
      <c r="D206" s="9"/>
      <c r="E206" s="9">
        <v>1</v>
      </c>
      <c r="F206" s="9"/>
      <c r="G206" s="9">
        <v>1</v>
      </c>
      <c r="H206" s="9"/>
      <c r="I206" s="9"/>
      <c r="J206" s="9"/>
      <c r="K206" s="9"/>
      <c r="L206" s="9"/>
      <c r="M206" s="9">
        <v>1</v>
      </c>
      <c r="N206" s="9"/>
    </row>
    <row r="207" spans="1:14" ht="45" x14ac:dyDescent="0.25">
      <c r="A207" s="8" t="s">
        <v>808</v>
      </c>
      <c r="B207" s="9">
        <v>1</v>
      </c>
      <c r="C207" s="9">
        <v>1</v>
      </c>
      <c r="D207" s="9"/>
      <c r="E207" s="9">
        <v>1</v>
      </c>
      <c r="F207" s="9"/>
      <c r="G207" s="9">
        <v>1</v>
      </c>
      <c r="H207" s="9"/>
      <c r="I207" s="9"/>
      <c r="J207" s="9"/>
      <c r="K207" s="9"/>
      <c r="L207" s="9"/>
      <c r="M207" s="9">
        <v>1</v>
      </c>
      <c r="N207" s="9"/>
    </row>
    <row r="208" spans="1:14" x14ac:dyDescent="0.25">
      <c r="A208" s="8" t="s">
        <v>804</v>
      </c>
      <c r="B208" s="9">
        <v>1</v>
      </c>
      <c r="C208" s="9">
        <v>1</v>
      </c>
      <c r="D208" s="9"/>
      <c r="E208" s="9">
        <v>1</v>
      </c>
      <c r="F208" s="9"/>
      <c r="G208" s="9">
        <v>1</v>
      </c>
      <c r="H208" s="9"/>
      <c r="I208" s="9"/>
      <c r="J208" s="9"/>
      <c r="K208" s="9"/>
      <c r="L208" s="9"/>
      <c r="M208" s="9">
        <v>1</v>
      </c>
      <c r="N208" s="9"/>
    </row>
    <row r="209" spans="1:14" x14ac:dyDescent="0.25">
      <c r="A209" s="8" t="s">
        <v>873</v>
      </c>
      <c r="B209" s="9">
        <v>1</v>
      </c>
      <c r="C209" s="9">
        <v>1</v>
      </c>
      <c r="D209" s="9"/>
      <c r="E209" s="9"/>
      <c r="F209" s="9"/>
      <c r="G209" s="9"/>
      <c r="H209" s="9"/>
      <c r="I209" s="9"/>
      <c r="J209" s="9"/>
      <c r="K209" s="9"/>
      <c r="L209" s="9"/>
      <c r="M209" s="9"/>
      <c r="N209" s="9">
        <v>1</v>
      </c>
    </row>
    <row r="210" spans="1:14" ht="30" x14ac:dyDescent="0.25">
      <c r="A210" s="8" t="s">
        <v>241</v>
      </c>
      <c r="B210" s="9">
        <v>1</v>
      </c>
      <c r="C210" s="9">
        <v>1</v>
      </c>
      <c r="D210" s="9"/>
      <c r="E210" s="9"/>
      <c r="F210" s="9"/>
      <c r="G210" s="9"/>
      <c r="H210" s="9"/>
      <c r="I210" s="9"/>
      <c r="J210" s="9"/>
      <c r="K210" s="9"/>
      <c r="L210" s="9"/>
      <c r="M210" s="9"/>
      <c r="N210" s="9">
        <v>1</v>
      </c>
    </row>
    <row r="211" spans="1:14" x14ac:dyDescent="0.25">
      <c r="A211" s="8" t="s">
        <v>804</v>
      </c>
      <c r="B211" s="9">
        <v>1</v>
      </c>
      <c r="C211" s="9">
        <v>1</v>
      </c>
      <c r="D211" s="9"/>
      <c r="E211" s="9"/>
      <c r="F211" s="9"/>
      <c r="G211" s="9"/>
      <c r="H211" s="9"/>
      <c r="I211" s="9"/>
      <c r="J211" s="9"/>
      <c r="K211" s="9"/>
      <c r="L211" s="9"/>
      <c r="M211" s="9"/>
      <c r="N211" s="9">
        <v>1</v>
      </c>
    </row>
    <row r="212" spans="1:14" x14ac:dyDescent="0.25">
      <c r="A212" s="8" t="s">
        <v>874</v>
      </c>
      <c r="B212" s="9">
        <v>1</v>
      </c>
      <c r="C212" s="9">
        <v>1</v>
      </c>
      <c r="D212" s="9"/>
      <c r="E212" s="9"/>
      <c r="F212" s="9"/>
      <c r="G212" s="9"/>
      <c r="H212" s="9"/>
      <c r="I212" s="9"/>
      <c r="J212" s="9"/>
      <c r="K212" s="9">
        <v>1</v>
      </c>
      <c r="L212" s="9"/>
      <c r="M212" s="9"/>
      <c r="N212" s="9"/>
    </row>
    <row r="213" spans="1:14" ht="45" x14ac:dyDescent="0.25">
      <c r="A213" s="8" t="s">
        <v>244</v>
      </c>
      <c r="B213" s="9">
        <v>1</v>
      </c>
      <c r="C213" s="9">
        <v>1</v>
      </c>
      <c r="D213" s="9"/>
      <c r="E213" s="9"/>
      <c r="F213" s="9"/>
      <c r="G213" s="9"/>
      <c r="H213" s="9"/>
      <c r="I213" s="9"/>
      <c r="J213" s="9"/>
      <c r="K213" s="9">
        <v>1</v>
      </c>
      <c r="L213" s="9"/>
      <c r="M213" s="9"/>
      <c r="N213" s="9"/>
    </row>
    <row r="214" spans="1:14" x14ac:dyDescent="0.25">
      <c r="A214" s="8" t="s">
        <v>804</v>
      </c>
      <c r="B214" s="9">
        <v>1</v>
      </c>
      <c r="C214" s="9">
        <v>1</v>
      </c>
      <c r="D214" s="9"/>
      <c r="E214" s="9"/>
      <c r="F214" s="9"/>
      <c r="G214" s="9"/>
      <c r="H214" s="9"/>
      <c r="I214" s="9"/>
      <c r="J214" s="9"/>
      <c r="K214" s="9">
        <v>1</v>
      </c>
      <c r="L214" s="9"/>
      <c r="M214" s="9"/>
      <c r="N214" s="9"/>
    </row>
    <row r="215" spans="1:14" x14ac:dyDescent="0.25">
      <c r="A215" s="8" t="s">
        <v>875</v>
      </c>
      <c r="B215" s="9">
        <v>1</v>
      </c>
      <c r="C215" s="9">
        <v>1</v>
      </c>
      <c r="D215" s="9"/>
      <c r="E215" s="9"/>
      <c r="F215" s="9"/>
      <c r="G215" s="9"/>
      <c r="H215" s="9"/>
      <c r="I215" s="9"/>
      <c r="J215" s="9"/>
      <c r="K215" s="9">
        <v>1</v>
      </c>
      <c r="L215" s="9"/>
      <c r="M215" s="9"/>
      <c r="N215" s="9"/>
    </row>
    <row r="216" spans="1:14" ht="60" x14ac:dyDescent="0.25">
      <c r="A216" s="8" t="s">
        <v>247</v>
      </c>
      <c r="B216" s="9">
        <v>1</v>
      </c>
      <c r="C216" s="9">
        <v>1</v>
      </c>
      <c r="D216" s="9"/>
      <c r="E216" s="9"/>
      <c r="F216" s="9"/>
      <c r="G216" s="9"/>
      <c r="H216" s="9"/>
      <c r="I216" s="9"/>
      <c r="J216" s="9"/>
      <c r="K216" s="9">
        <v>1</v>
      </c>
      <c r="L216" s="9"/>
      <c r="M216" s="9"/>
      <c r="N216" s="9"/>
    </row>
    <row r="217" spans="1:14" x14ac:dyDescent="0.25">
      <c r="A217" s="8" t="s">
        <v>804</v>
      </c>
      <c r="B217" s="9">
        <v>1</v>
      </c>
      <c r="C217" s="9">
        <v>1</v>
      </c>
      <c r="D217" s="9"/>
      <c r="E217" s="9"/>
      <c r="F217" s="9"/>
      <c r="G217" s="9"/>
      <c r="H217" s="9"/>
      <c r="I217" s="9"/>
      <c r="J217" s="9"/>
      <c r="K217" s="9">
        <v>1</v>
      </c>
      <c r="L217" s="9"/>
      <c r="M217" s="9"/>
      <c r="N217" s="9"/>
    </row>
    <row r="218" spans="1:14" x14ac:dyDescent="0.25">
      <c r="A218" s="8" t="s">
        <v>876</v>
      </c>
      <c r="B218" s="9">
        <v>1</v>
      </c>
      <c r="C218" s="9">
        <v>1</v>
      </c>
      <c r="D218" s="9"/>
      <c r="E218" s="9"/>
      <c r="F218" s="9"/>
      <c r="G218" s="9"/>
      <c r="H218" s="9"/>
      <c r="I218" s="9"/>
      <c r="J218" s="9"/>
      <c r="K218" s="9">
        <v>1</v>
      </c>
      <c r="L218" s="9"/>
      <c r="M218" s="9"/>
      <c r="N218" s="9"/>
    </row>
    <row r="219" spans="1:14" ht="30" x14ac:dyDescent="0.25">
      <c r="A219" s="8" t="s">
        <v>250</v>
      </c>
      <c r="B219" s="9">
        <v>1</v>
      </c>
      <c r="C219" s="9">
        <v>1</v>
      </c>
      <c r="D219" s="9"/>
      <c r="E219" s="9"/>
      <c r="F219" s="9"/>
      <c r="G219" s="9"/>
      <c r="H219" s="9"/>
      <c r="I219" s="9"/>
      <c r="J219" s="9"/>
      <c r="K219" s="9">
        <v>1</v>
      </c>
      <c r="L219" s="9"/>
      <c r="M219" s="9"/>
      <c r="N219" s="9"/>
    </row>
    <row r="220" spans="1:14" x14ac:dyDescent="0.25">
      <c r="A220" s="8" t="s">
        <v>804</v>
      </c>
      <c r="B220" s="9">
        <v>1</v>
      </c>
      <c r="C220" s="9">
        <v>1</v>
      </c>
      <c r="D220" s="9"/>
      <c r="E220" s="9"/>
      <c r="F220" s="9"/>
      <c r="G220" s="9"/>
      <c r="H220" s="9"/>
      <c r="I220" s="9"/>
      <c r="J220" s="9"/>
      <c r="K220" s="9">
        <v>1</v>
      </c>
      <c r="L220" s="9"/>
      <c r="M220" s="9"/>
      <c r="N220" s="9"/>
    </row>
    <row r="221" spans="1:14" x14ac:dyDescent="0.25">
      <c r="A221" s="8" t="s">
        <v>877</v>
      </c>
      <c r="B221" s="9">
        <v>1</v>
      </c>
      <c r="C221" s="9">
        <v>1</v>
      </c>
      <c r="D221" s="9"/>
      <c r="E221" s="9"/>
      <c r="F221" s="9"/>
      <c r="G221" s="9"/>
      <c r="H221" s="9"/>
      <c r="I221" s="9"/>
      <c r="J221" s="9"/>
      <c r="K221" s="9">
        <v>1</v>
      </c>
      <c r="L221" s="9"/>
      <c r="M221" s="9"/>
      <c r="N221" s="9"/>
    </row>
    <row r="222" spans="1:14" ht="30" x14ac:dyDescent="0.25">
      <c r="A222" s="8" t="s">
        <v>251</v>
      </c>
      <c r="B222" s="9">
        <v>1</v>
      </c>
      <c r="C222" s="9">
        <v>1</v>
      </c>
      <c r="D222" s="9"/>
      <c r="E222" s="9"/>
      <c r="F222" s="9"/>
      <c r="G222" s="9"/>
      <c r="H222" s="9"/>
      <c r="I222" s="9"/>
      <c r="J222" s="9"/>
      <c r="K222" s="9">
        <v>1</v>
      </c>
      <c r="L222" s="9"/>
      <c r="M222" s="9"/>
      <c r="N222" s="9"/>
    </row>
    <row r="223" spans="1:14" x14ac:dyDescent="0.25">
      <c r="A223" s="8" t="s">
        <v>804</v>
      </c>
      <c r="B223" s="9">
        <v>1</v>
      </c>
      <c r="C223" s="9">
        <v>1</v>
      </c>
      <c r="D223" s="9"/>
      <c r="E223" s="9"/>
      <c r="F223" s="9"/>
      <c r="G223" s="9"/>
      <c r="H223" s="9"/>
      <c r="I223" s="9"/>
      <c r="J223" s="9"/>
      <c r="K223" s="9">
        <v>1</v>
      </c>
      <c r="L223" s="9"/>
      <c r="M223" s="9"/>
      <c r="N223" s="9"/>
    </row>
    <row r="224" spans="1:14" x14ac:dyDescent="0.25">
      <c r="A224" s="8" t="s">
        <v>878</v>
      </c>
      <c r="B224" s="9">
        <v>1</v>
      </c>
      <c r="C224" s="9">
        <v>1</v>
      </c>
      <c r="D224" s="9">
        <v>1</v>
      </c>
      <c r="E224" s="9">
        <v>1</v>
      </c>
      <c r="F224" s="9">
        <v>1</v>
      </c>
      <c r="G224" s="9"/>
      <c r="H224" s="9"/>
      <c r="I224" s="9"/>
      <c r="J224" s="9">
        <v>1</v>
      </c>
      <c r="K224" s="9"/>
      <c r="L224" s="9"/>
      <c r="M224" s="9"/>
      <c r="N224" s="9"/>
    </row>
    <row r="225" spans="1:14" ht="30" x14ac:dyDescent="0.25">
      <c r="A225" s="8" t="s">
        <v>252</v>
      </c>
      <c r="B225" s="9">
        <v>1</v>
      </c>
      <c r="C225" s="9">
        <v>1</v>
      </c>
      <c r="D225" s="9">
        <v>1</v>
      </c>
      <c r="E225" s="9">
        <v>1</v>
      </c>
      <c r="F225" s="9">
        <v>1</v>
      </c>
      <c r="G225" s="9"/>
      <c r="H225" s="9"/>
      <c r="I225" s="9"/>
      <c r="J225" s="9">
        <v>1</v>
      </c>
      <c r="K225" s="9"/>
      <c r="L225" s="9"/>
      <c r="M225" s="9"/>
      <c r="N225" s="9"/>
    </row>
    <row r="226" spans="1:14" x14ac:dyDescent="0.25">
      <c r="A226" s="8" t="s">
        <v>804</v>
      </c>
      <c r="B226" s="9">
        <v>1</v>
      </c>
      <c r="C226" s="9">
        <v>1</v>
      </c>
      <c r="D226" s="9">
        <v>1</v>
      </c>
      <c r="E226" s="9">
        <v>1</v>
      </c>
      <c r="F226" s="9">
        <v>1</v>
      </c>
      <c r="G226" s="9"/>
      <c r="H226" s="9"/>
      <c r="I226" s="9"/>
      <c r="J226" s="9">
        <v>1</v>
      </c>
      <c r="K226" s="9"/>
      <c r="L226" s="9"/>
      <c r="M226" s="9"/>
      <c r="N226" s="9"/>
    </row>
    <row r="227" spans="1:14" x14ac:dyDescent="0.25">
      <c r="A227" s="8" t="s">
        <v>879</v>
      </c>
      <c r="B227" s="9">
        <v>1</v>
      </c>
      <c r="C227" s="9">
        <v>1</v>
      </c>
      <c r="D227" s="9"/>
      <c r="E227" s="9">
        <v>1</v>
      </c>
      <c r="F227" s="9"/>
      <c r="G227" s="9">
        <v>1</v>
      </c>
      <c r="H227" s="9"/>
      <c r="I227" s="9"/>
      <c r="J227" s="9"/>
      <c r="K227" s="9"/>
      <c r="L227" s="9"/>
      <c r="M227" s="9">
        <v>1</v>
      </c>
      <c r="N227" s="9"/>
    </row>
    <row r="228" spans="1:14" ht="45" x14ac:dyDescent="0.25">
      <c r="A228" s="8" t="s">
        <v>253</v>
      </c>
      <c r="B228" s="9">
        <v>1</v>
      </c>
      <c r="C228" s="9">
        <v>1</v>
      </c>
      <c r="D228" s="9"/>
      <c r="E228" s="9">
        <v>1</v>
      </c>
      <c r="F228" s="9"/>
      <c r="G228" s="9">
        <v>1</v>
      </c>
      <c r="H228" s="9"/>
      <c r="I228" s="9"/>
      <c r="J228" s="9"/>
      <c r="K228" s="9"/>
      <c r="L228" s="9"/>
      <c r="M228" s="9">
        <v>1</v>
      </c>
      <c r="N228" s="9"/>
    </row>
    <row r="229" spans="1:14" x14ac:dyDescent="0.25">
      <c r="A229" s="8" t="s">
        <v>804</v>
      </c>
      <c r="B229" s="9">
        <v>1</v>
      </c>
      <c r="C229" s="9">
        <v>1</v>
      </c>
      <c r="D229" s="9"/>
      <c r="E229" s="9">
        <v>1</v>
      </c>
      <c r="F229" s="9"/>
      <c r="G229" s="9">
        <v>1</v>
      </c>
      <c r="H229" s="9"/>
      <c r="I229" s="9"/>
      <c r="J229" s="9"/>
      <c r="K229" s="9"/>
      <c r="L229" s="9"/>
      <c r="M229" s="9">
        <v>1</v>
      </c>
      <c r="N229" s="9"/>
    </row>
    <row r="230" spans="1:14" x14ac:dyDescent="0.25">
      <c r="A230" s="8" t="s">
        <v>880</v>
      </c>
      <c r="B230" s="9">
        <v>1</v>
      </c>
      <c r="C230" s="9">
        <v>1</v>
      </c>
      <c r="D230" s="9"/>
      <c r="E230" s="9"/>
      <c r="F230" s="9"/>
      <c r="G230" s="9"/>
      <c r="H230" s="9"/>
      <c r="I230" s="9"/>
      <c r="J230" s="9"/>
      <c r="K230" s="9">
        <v>1</v>
      </c>
      <c r="L230" s="9"/>
      <c r="M230" s="9"/>
      <c r="N230" s="9"/>
    </row>
    <row r="231" spans="1:14" ht="30" x14ac:dyDescent="0.25">
      <c r="A231" s="8" t="s">
        <v>254</v>
      </c>
      <c r="B231" s="9">
        <v>1</v>
      </c>
      <c r="C231" s="9">
        <v>1</v>
      </c>
      <c r="D231" s="9"/>
      <c r="E231" s="9"/>
      <c r="F231" s="9"/>
      <c r="G231" s="9"/>
      <c r="H231" s="9"/>
      <c r="I231" s="9"/>
      <c r="J231" s="9"/>
      <c r="K231" s="9">
        <v>1</v>
      </c>
      <c r="L231" s="9"/>
      <c r="M231" s="9"/>
      <c r="N231" s="9"/>
    </row>
    <row r="232" spans="1:14" x14ac:dyDescent="0.25">
      <c r="A232" s="8" t="s">
        <v>804</v>
      </c>
      <c r="B232" s="9">
        <v>1</v>
      </c>
      <c r="C232" s="9">
        <v>1</v>
      </c>
      <c r="D232" s="9"/>
      <c r="E232" s="9"/>
      <c r="F232" s="9"/>
      <c r="G232" s="9"/>
      <c r="H232" s="9"/>
      <c r="I232" s="9"/>
      <c r="J232" s="9"/>
      <c r="K232" s="9">
        <v>1</v>
      </c>
      <c r="L232" s="9"/>
      <c r="M232" s="9"/>
      <c r="N232" s="9"/>
    </row>
    <row r="233" spans="1:14" x14ac:dyDescent="0.25">
      <c r="A233" s="8" t="s">
        <v>881</v>
      </c>
      <c r="B233" s="9">
        <v>1</v>
      </c>
      <c r="C233" s="9">
        <v>1</v>
      </c>
      <c r="D233" s="9"/>
      <c r="E233" s="9">
        <v>1</v>
      </c>
      <c r="F233" s="9"/>
      <c r="G233" s="9">
        <v>1</v>
      </c>
      <c r="H233" s="9"/>
      <c r="I233" s="9"/>
      <c r="J233" s="9"/>
      <c r="K233" s="9"/>
      <c r="L233" s="9">
        <v>1</v>
      </c>
      <c r="M233" s="9"/>
      <c r="N233" s="9"/>
    </row>
    <row r="234" spans="1:14" ht="30" x14ac:dyDescent="0.25">
      <c r="A234" s="8" t="s">
        <v>258</v>
      </c>
      <c r="B234" s="9">
        <v>1</v>
      </c>
      <c r="C234" s="9">
        <v>1</v>
      </c>
      <c r="D234" s="9"/>
      <c r="E234" s="9">
        <v>1</v>
      </c>
      <c r="F234" s="9"/>
      <c r="G234" s="9">
        <v>1</v>
      </c>
      <c r="H234" s="9"/>
      <c r="I234" s="9"/>
      <c r="J234" s="9"/>
      <c r="K234" s="9"/>
      <c r="L234" s="9">
        <v>1</v>
      </c>
      <c r="M234" s="9"/>
      <c r="N234" s="9"/>
    </row>
    <row r="235" spans="1:14" x14ac:dyDescent="0.25">
      <c r="A235" s="8" t="s">
        <v>804</v>
      </c>
      <c r="B235" s="9">
        <v>1</v>
      </c>
      <c r="C235" s="9">
        <v>1</v>
      </c>
      <c r="D235" s="9"/>
      <c r="E235" s="9">
        <v>1</v>
      </c>
      <c r="F235" s="9"/>
      <c r="G235" s="9">
        <v>1</v>
      </c>
      <c r="H235" s="9"/>
      <c r="I235" s="9"/>
      <c r="J235" s="9"/>
      <c r="K235" s="9"/>
      <c r="L235" s="9">
        <v>1</v>
      </c>
      <c r="M235" s="9"/>
      <c r="N235" s="9"/>
    </row>
    <row r="236" spans="1:14" x14ac:dyDescent="0.25">
      <c r="A236" s="8" t="s">
        <v>882</v>
      </c>
      <c r="B236" s="9">
        <v>1</v>
      </c>
      <c r="C236" s="9">
        <v>1</v>
      </c>
      <c r="D236" s="9"/>
      <c r="E236" s="9"/>
      <c r="F236" s="9"/>
      <c r="G236" s="9"/>
      <c r="H236" s="9"/>
      <c r="I236" s="9"/>
      <c r="J236" s="9"/>
      <c r="K236" s="9">
        <v>1</v>
      </c>
      <c r="L236" s="9"/>
      <c r="M236" s="9"/>
      <c r="N236" s="9"/>
    </row>
    <row r="237" spans="1:14" ht="30" x14ac:dyDescent="0.25">
      <c r="A237" s="8" t="s">
        <v>263</v>
      </c>
      <c r="B237" s="9">
        <v>1</v>
      </c>
      <c r="C237" s="9">
        <v>1</v>
      </c>
      <c r="D237" s="9"/>
      <c r="E237" s="9"/>
      <c r="F237" s="9"/>
      <c r="G237" s="9"/>
      <c r="H237" s="9"/>
      <c r="I237" s="9"/>
      <c r="J237" s="9"/>
      <c r="K237" s="9">
        <v>1</v>
      </c>
      <c r="L237" s="9"/>
      <c r="M237" s="9"/>
      <c r="N237" s="9"/>
    </row>
    <row r="238" spans="1:14" x14ac:dyDescent="0.25">
      <c r="A238" s="8" t="s">
        <v>804</v>
      </c>
      <c r="B238" s="9">
        <v>1</v>
      </c>
      <c r="C238" s="9">
        <v>1</v>
      </c>
      <c r="D238" s="9"/>
      <c r="E238" s="9"/>
      <c r="F238" s="9"/>
      <c r="G238" s="9"/>
      <c r="H238" s="9"/>
      <c r="I238" s="9"/>
      <c r="J238" s="9"/>
      <c r="K238" s="9">
        <v>1</v>
      </c>
      <c r="L238" s="9"/>
      <c r="M238" s="9"/>
      <c r="N238" s="9"/>
    </row>
    <row r="239" spans="1:14" x14ac:dyDescent="0.25">
      <c r="A239" s="8" t="s">
        <v>883</v>
      </c>
      <c r="B239" s="9">
        <v>1</v>
      </c>
      <c r="C239" s="9">
        <v>1</v>
      </c>
      <c r="D239" s="9"/>
      <c r="E239" s="9"/>
      <c r="F239" s="9"/>
      <c r="G239" s="9"/>
      <c r="H239" s="9"/>
      <c r="I239" s="9"/>
      <c r="J239" s="9"/>
      <c r="K239" s="9">
        <v>1</v>
      </c>
      <c r="L239" s="9"/>
      <c r="M239" s="9"/>
      <c r="N239" s="9"/>
    </row>
    <row r="240" spans="1:14" ht="30" x14ac:dyDescent="0.25">
      <c r="A240" s="8" t="s">
        <v>266</v>
      </c>
      <c r="B240" s="9">
        <v>1</v>
      </c>
      <c r="C240" s="9">
        <v>1</v>
      </c>
      <c r="D240" s="9"/>
      <c r="E240" s="9"/>
      <c r="F240" s="9"/>
      <c r="G240" s="9"/>
      <c r="H240" s="9"/>
      <c r="I240" s="9"/>
      <c r="J240" s="9"/>
      <c r="K240" s="9">
        <v>1</v>
      </c>
      <c r="L240" s="9"/>
      <c r="M240" s="9"/>
      <c r="N240" s="9"/>
    </row>
    <row r="241" spans="1:14" x14ac:dyDescent="0.25">
      <c r="A241" s="8" t="s">
        <v>804</v>
      </c>
      <c r="B241" s="9">
        <v>1</v>
      </c>
      <c r="C241" s="9">
        <v>1</v>
      </c>
      <c r="D241" s="9"/>
      <c r="E241" s="9"/>
      <c r="F241" s="9"/>
      <c r="G241" s="9"/>
      <c r="H241" s="9"/>
      <c r="I241" s="9"/>
      <c r="J241" s="9"/>
      <c r="K241" s="9">
        <v>1</v>
      </c>
      <c r="L241" s="9"/>
      <c r="M241" s="9"/>
      <c r="N241" s="9"/>
    </row>
    <row r="242" spans="1:14" x14ac:dyDescent="0.25">
      <c r="A242" s="8" t="s">
        <v>884</v>
      </c>
      <c r="B242" s="9">
        <v>1</v>
      </c>
      <c r="C242" s="9">
        <v>1</v>
      </c>
      <c r="D242" s="9"/>
      <c r="E242" s="9"/>
      <c r="F242" s="9"/>
      <c r="G242" s="9"/>
      <c r="H242" s="9"/>
      <c r="I242" s="9"/>
      <c r="J242" s="9"/>
      <c r="K242" s="9"/>
      <c r="L242" s="9"/>
      <c r="M242" s="9"/>
      <c r="N242" s="9">
        <v>1</v>
      </c>
    </row>
    <row r="243" spans="1:14" x14ac:dyDescent="0.25">
      <c r="A243" s="8" t="s">
        <v>270</v>
      </c>
      <c r="B243" s="9">
        <v>1</v>
      </c>
      <c r="C243" s="9">
        <v>1</v>
      </c>
      <c r="D243" s="9"/>
      <c r="E243" s="9"/>
      <c r="F243" s="9"/>
      <c r="G243" s="9"/>
      <c r="H243" s="9"/>
      <c r="I243" s="9"/>
      <c r="J243" s="9"/>
      <c r="K243" s="9"/>
      <c r="L243" s="9"/>
      <c r="M243" s="9"/>
      <c r="N243" s="9">
        <v>1</v>
      </c>
    </row>
    <row r="244" spans="1:14" x14ac:dyDescent="0.25">
      <c r="A244" s="8" t="s">
        <v>804</v>
      </c>
      <c r="B244" s="9">
        <v>1</v>
      </c>
      <c r="C244" s="9">
        <v>1</v>
      </c>
      <c r="D244" s="9"/>
      <c r="E244" s="9"/>
      <c r="F244" s="9"/>
      <c r="G244" s="9"/>
      <c r="H244" s="9"/>
      <c r="I244" s="9"/>
      <c r="J244" s="9"/>
      <c r="K244" s="9"/>
      <c r="L244" s="9"/>
      <c r="M244" s="9"/>
      <c r="N244" s="9">
        <v>1</v>
      </c>
    </row>
    <row r="245" spans="1:14" x14ac:dyDescent="0.25">
      <c r="A245" s="8" t="s">
        <v>885</v>
      </c>
      <c r="B245" s="9">
        <v>1</v>
      </c>
      <c r="C245" s="9">
        <v>1</v>
      </c>
      <c r="D245" s="9">
        <v>1</v>
      </c>
      <c r="E245" s="9"/>
      <c r="F245" s="9"/>
      <c r="G245" s="9"/>
      <c r="H245" s="9"/>
      <c r="I245" s="9"/>
      <c r="J245" s="9"/>
      <c r="K245" s="9"/>
      <c r="L245" s="9">
        <v>1</v>
      </c>
      <c r="M245" s="9"/>
      <c r="N245" s="9"/>
    </row>
    <row r="246" spans="1:14" x14ac:dyDescent="0.25">
      <c r="A246" s="8" t="s">
        <v>276</v>
      </c>
      <c r="B246" s="9">
        <v>1</v>
      </c>
      <c r="C246" s="9">
        <v>1</v>
      </c>
      <c r="D246" s="9">
        <v>1</v>
      </c>
      <c r="E246" s="9"/>
      <c r="F246" s="9"/>
      <c r="G246" s="9"/>
      <c r="H246" s="9"/>
      <c r="I246" s="9"/>
      <c r="J246" s="9"/>
      <c r="K246" s="9"/>
      <c r="L246" s="9">
        <v>1</v>
      </c>
      <c r="M246" s="9"/>
      <c r="N246" s="9"/>
    </row>
    <row r="247" spans="1:14" x14ac:dyDescent="0.25">
      <c r="A247" s="8" t="s">
        <v>804</v>
      </c>
      <c r="B247" s="9">
        <v>1</v>
      </c>
      <c r="C247" s="9">
        <v>1</v>
      </c>
      <c r="D247" s="9">
        <v>1</v>
      </c>
      <c r="E247" s="9"/>
      <c r="F247" s="9"/>
      <c r="G247" s="9"/>
      <c r="H247" s="9"/>
      <c r="I247" s="9"/>
      <c r="J247" s="9"/>
      <c r="K247" s="9"/>
      <c r="L247" s="9">
        <v>1</v>
      </c>
      <c r="M247" s="9"/>
      <c r="N247" s="9"/>
    </row>
    <row r="248" spans="1:14" x14ac:dyDescent="0.25">
      <c r="A248" s="8" t="s">
        <v>886</v>
      </c>
      <c r="B248" s="9">
        <v>1</v>
      </c>
      <c r="C248" s="9">
        <v>1</v>
      </c>
      <c r="D248" s="9"/>
      <c r="E248" s="9">
        <v>1</v>
      </c>
      <c r="F248" s="9"/>
      <c r="G248" s="9">
        <v>1</v>
      </c>
      <c r="H248" s="9"/>
      <c r="I248" s="9"/>
      <c r="J248" s="9"/>
      <c r="K248" s="9"/>
      <c r="L248" s="9"/>
      <c r="M248" s="9">
        <v>1</v>
      </c>
      <c r="N248" s="9"/>
    </row>
    <row r="249" spans="1:14" ht="30" x14ac:dyDescent="0.25">
      <c r="A249" s="8" t="s">
        <v>280</v>
      </c>
      <c r="B249" s="9">
        <v>1</v>
      </c>
      <c r="C249" s="9">
        <v>1</v>
      </c>
      <c r="D249" s="9"/>
      <c r="E249" s="9">
        <v>1</v>
      </c>
      <c r="F249" s="9"/>
      <c r="G249" s="9">
        <v>1</v>
      </c>
      <c r="H249" s="9"/>
      <c r="I249" s="9"/>
      <c r="J249" s="9"/>
      <c r="K249" s="9"/>
      <c r="L249" s="9"/>
      <c r="M249" s="9">
        <v>1</v>
      </c>
      <c r="N249" s="9"/>
    </row>
    <row r="250" spans="1:14" x14ac:dyDescent="0.25">
      <c r="A250" s="8" t="s">
        <v>804</v>
      </c>
      <c r="B250" s="9">
        <v>1</v>
      </c>
      <c r="C250" s="9">
        <v>1</v>
      </c>
      <c r="D250" s="9"/>
      <c r="E250" s="9">
        <v>1</v>
      </c>
      <c r="F250" s="9"/>
      <c r="G250" s="9">
        <v>1</v>
      </c>
      <c r="H250" s="9"/>
      <c r="I250" s="9"/>
      <c r="J250" s="9"/>
      <c r="K250" s="9"/>
      <c r="L250" s="9"/>
      <c r="M250" s="9">
        <v>1</v>
      </c>
      <c r="N250" s="9"/>
    </row>
    <row r="251" spans="1:14" x14ac:dyDescent="0.25">
      <c r="A251" s="8" t="s">
        <v>887</v>
      </c>
      <c r="B251" s="9">
        <v>1</v>
      </c>
      <c r="C251" s="9">
        <v>1</v>
      </c>
      <c r="D251" s="9"/>
      <c r="E251" s="9"/>
      <c r="F251" s="9"/>
      <c r="G251" s="9"/>
      <c r="H251" s="9"/>
      <c r="I251" s="9"/>
      <c r="J251" s="9"/>
      <c r="K251" s="9"/>
      <c r="L251" s="9"/>
      <c r="M251" s="9"/>
      <c r="N251" s="9">
        <v>1</v>
      </c>
    </row>
    <row r="252" spans="1:14" ht="30" x14ac:dyDescent="0.25">
      <c r="A252" s="8" t="s">
        <v>283</v>
      </c>
      <c r="B252" s="9">
        <v>1</v>
      </c>
      <c r="C252" s="9">
        <v>1</v>
      </c>
      <c r="D252" s="9"/>
      <c r="E252" s="9"/>
      <c r="F252" s="9"/>
      <c r="G252" s="9"/>
      <c r="H252" s="9"/>
      <c r="I252" s="9"/>
      <c r="J252" s="9"/>
      <c r="K252" s="9"/>
      <c r="L252" s="9"/>
      <c r="M252" s="9"/>
      <c r="N252" s="9">
        <v>1</v>
      </c>
    </row>
    <row r="253" spans="1:14" x14ac:dyDescent="0.25">
      <c r="A253" s="8" t="s">
        <v>804</v>
      </c>
      <c r="B253" s="9">
        <v>1</v>
      </c>
      <c r="C253" s="9">
        <v>1</v>
      </c>
      <c r="D253" s="9"/>
      <c r="E253" s="9"/>
      <c r="F253" s="9"/>
      <c r="G253" s="9"/>
      <c r="H253" s="9"/>
      <c r="I253" s="9"/>
      <c r="J253" s="9"/>
      <c r="K253" s="9"/>
      <c r="L253" s="9"/>
      <c r="M253" s="9"/>
      <c r="N253" s="9">
        <v>1</v>
      </c>
    </row>
    <row r="254" spans="1:14" x14ac:dyDescent="0.25">
      <c r="A254" s="8" t="s">
        <v>888</v>
      </c>
      <c r="B254" s="9">
        <v>1</v>
      </c>
      <c r="C254" s="9">
        <v>1</v>
      </c>
      <c r="D254" s="9">
        <v>1</v>
      </c>
      <c r="E254" s="9">
        <v>1</v>
      </c>
      <c r="F254" s="9">
        <v>1</v>
      </c>
      <c r="G254" s="9"/>
      <c r="H254" s="9"/>
      <c r="I254" s="9"/>
      <c r="J254" s="9">
        <v>1</v>
      </c>
      <c r="K254" s="9"/>
      <c r="L254" s="9"/>
      <c r="M254" s="9"/>
      <c r="N254" s="9"/>
    </row>
    <row r="255" spans="1:14" ht="30" x14ac:dyDescent="0.25">
      <c r="A255" s="8" t="s">
        <v>286</v>
      </c>
      <c r="B255" s="9">
        <v>1</v>
      </c>
      <c r="C255" s="9">
        <v>1</v>
      </c>
      <c r="D255" s="9">
        <v>1</v>
      </c>
      <c r="E255" s="9">
        <v>1</v>
      </c>
      <c r="F255" s="9">
        <v>1</v>
      </c>
      <c r="G255" s="9"/>
      <c r="H255" s="9"/>
      <c r="I255" s="9"/>
      <c r="J255" s="9">
        <v>1</v>
      </c>
      <c r="K255" s="9"/>
      <c r="L255" s="9"/>
      <c r="M255" s="9"/>
      <c r="N255" s="9"/>
    </row>
    <row r="256" spans="1:14" x14ac:dyDescent="0.25">
      <c r="A256" s="8" t="s">
        <v>804</v>
      </c>
      <c r="B256" s="9">
        <v>1</v>
      </c>
      <c r="C256" s="9">
        <v>1</v>
      </c>
      <c r="D256" s="9">
        <v>1</v>
      </c>
      <c r="E256" s="9">
        <v>1</v>
      </c>
      <c r="F256" s="9">
        <v>1</v>
      </c>
      <c r="G256" s="9"/>
      <c r="H256" s="9"/>
      <c r="I256" s="9"/>
      <c r="J256" s="9">
        <v>1</v>
      </c>
      <c r="K256" s="9"/>
      <c r="L256" s="9"/>
      <c r="M256" s="9"/>
      <c r="N256" s="9"/>
    </row>
    <row r="257" spans="1:14" x14ac:dyDescent="0.25">
      <c r="A257" s="8" t="s">
        <v>889</v>
      </c>
      <c r="B257" s="9">
        <v>1</v>
      </c>
      <c r="C257" s="9">
        <v>1</v>
      </c>
      <c r="D257" s="9">
        <v>1</v>
      </c>
      <c r="E257" s="9">
        <v>1</v>
      </c>
      <c r="F257" s="9"/>
      <c r="G257" s="9"/>
      <c r="H257" s="9">
        <v>1</v>
      </c>
      <c r="I257" s="9"/>
      <c r="J257" s="9"/>
      <c r="K257" s="9"/>
      <c r="L257" s="9">
        <v>1</v>
      </c>
      <c r="M257" s="9"/>
      <c r="N257" s="9"/>
    </row>
    <row r="258" spans="1:14" ht="30" x14ac:dyDescent="0.25">
      <c r="A258" s="8" t="s">
        <v>287</v>
      </c>
      <c r="B258" s="9">
        <v>1</v>
      </c>
      <c r="C258" s="9">
        <v>1</v>
      </c>
      <c r="D258" s="9">
        <v>1</v>
      </c>
      <c r="E258" s="9">
        <v>1</v>
      </c>
      <c r="F258" s="9"/>
      <c r="G258" s="9"/>
      <c r="H258" s="9">
        <v>1</v>
      </c>
      <c r="I258" s="9"/>
      <c r="J258" s="9"/>
      <c r="K258" s="9"/>
      <c r="L258" s="9">
        <v>1</v>
      </c>
      <c r="M258" s="9"/>
      <c r="N258" s="9"/>
    </row>
    <row r="259" spans="1:14" x14ac:dyDescent="0.25">
      <c r="A259" s="8" t="s">
        <v>804</v>
      </c>
      <c r="B259" s="9">
        <v>1</v>
      </c>
      <c r="C259" s="9">
        <v>1</v>
      </c>
      <c r="D259" s="9">
        <v>1</v>
      </c>
      <c r="E259" s="9">
        <v>1</v>
      </c>
      <c r="F259" s="9"/>
      <c r="G259" s="9"/>
      <c r="H259" s="9">
        <v>1</v>
      </c>
      <c r="I259" s="9"/>
      <c r="J259" s="9"/>
      <c r="K259" s="9"/>
      <c r="L259" s="9">
        <v>1</v>
      </c>
      <c r="M259" s="9"/>
      <c r="N259" s="9"/>
    </row>
    <row r="260" spans="1:14" x14ac:dyDescent="0.25">
      <c r="A260" s="8" t="s">
        <v>890</v>
      </c>
      <c r="B260" s="9">
        <v>1</v>
      </c>
      <c r="C260" s="9">
        <v>1</v>
      </c>
      <c r="D260" s="9"/>
      <c r="E260" s="9">
        <v>1</v>
      </c>
      <c r="F260" s="9"/>
      <c r="G260" s="9">
        <v>1</v>
      </c>
      <c r="H260" s="9"/>
      <c r="I260" s="9"/>
      <c r="J260" s="9"/>
      <c r="K260" s="9"/>
      <c r="L260" s="9">
        <v>1</v>
      </c>
      <c r="M260" s="9"/>
      <c r="N260" s="9"/>
    </row>
    <row r="261" spans="1:14" x14ac:dyDescent="0.25">
      <c r="A261" s="8" t="s">
        <v>288</v>
      </c>
      <c r="B261" s="9">
        <v>1</v>
      </c>
      <c r="C261" s="9">
        <v>1</v>
      </c>
      <c r="D261" s="9"/>
      <c r="E261" s="9">
        <v>1</v>
      </c>
      <c r="F261" s="9"/>
      <c r="G261" s="9">
        <v>1</v>
      </c>
      <c r="H261" s="9"/>
      <c r="I261" s="9"/>
      <c r="J261" s="9"/>
      <c r="K261" s="9"/>
      <c r="L261" s="9">
        <v>1</v>
      </c>
      <c r="M261" s="9"/>
      <c r="N261" s="9"/>
    </row>
    <row r="262" spans="1:14" x14ac:dyDescent="0.25">
      <c r="A262" s="8" t="s">
        <v>804</v>
      </c>
      <c r="B262" s="9">
        <v>1</v>
      </c>
      <c r="C262" s="9">
        <v>1</v>
      </c>
      <c r="D262" s="9"/>
      <c r="E262" s="9">
        <v>1</v>
      </c>
      <c r="F262" s="9"/>
      <c r="G262" s="9">
        <v>1</v>
      </c>
      <c r="H262" s="9"/>
      <c r="I262" s="9"/>
      <c r="J262" s="9"/>
      <c r="K262" s="9"/>
      <c r="L262" s="9">
        <v>1</v>
      </c>
      <c r="M262" s="9"/>
      <c r="N262" s="9"/>
    </row>
    <row r="263" spans="1:14" x14ac:dyDescent="0.25">
      <c r="A263" s="8" t="s">
        <v>891</v>
      </c>
      <c r="B263" s="9">
        <v>1</v>
      </c>
      <c r="C263" s="9">
        <v>1</v>
      </c>
      <c r="D263" s="9">
        <v>1</v>
      </c>
      <c r="E263" s="9"/>
      <c r="F263" s="9"/>
      <c r="G263" s="9"/>
      <c r="H263" s="9"/>
      <c r="I263" s="9"/>
      <c r="J263" s="9"/>
      <c r="K263" s="9"/>
      <c r="L263" s="9">
        <v>1</v>
      </c>
      <c r="M263" s="9"/>
      <c r="N263" s="9"/>
    </row>
    <row r="264" spans="1:14" ht="30" x14ac:dyDescent="0.25">
      <c r="A264" s="8" t="s">
        <v>289</v>
      </c>
      <c r="B264" s="9">
        <v>1</v>
      </c>
      <c r="C264" s="9">
        <v>1</v>
      </c>
      <c r="D264" s="9">
        <v>1</v>
      </c>
      <c r="E264" s="9"/>
      <c r="F264" s="9"/>
      <c r="G264" s="9"/>
      <c r="H264" s="9"/>
      <c r="I264" s="9"/>
      <c r="J264" s="9"/>
      <c r="K264" s="9"/>
      <c r="L264" s="9">
        <v>1</v>
      </c>
      <c r="M264" s="9"/>
      <c r="N264" s="9"/>
    </row>
    <row r="265" spans="1:14" x14ac:dyDescent="0.25">
      <c r="A265" s="8" t="s">
        <v>804</v>
      </c>
      <c r="B265" s="9">
        <v>1</v>
      </c>
      <c r="C265" s="9">
        <v>1</v>
      </c>
      <c r="D265" s="9">
        <v>1</v>
      </c>
      <c r="E265" s="9"/>
      <c r="F265" s="9"/>
      <c r="G265" s="9"/>
      <c r="H265" s="9"/>
      <c r="I265" s="9"/>
      <c r="J265" s="9"/>
      <c r="K265" s="9"/>
      <c r="L265" s="9">
        <v>1</v>
      </c>
      <c r="M265" s="9"/>
      <c r="N265" s="9"/>
    </row>
    <row r="266" spans="1:14" x14ac:dyDescent="0.25">
      <c r="A266" s="8" t="s">
        <v>892</v>
      </c>
      <c r="B266" s="9">
        <v>1</v>
      </c>
      <c r="C266" s="9">
        <v>1</v>
      </c>
      <c r="D266" s="9"/>
      <c r="E266" s="9"/>
      <c r="F266" s="9"/>
      <c r="G266" s="9"/>
      <c r="H266" s="9"/>
      <c r="I266" s="9"/>
      <c r="J266" s="9"/>
      <c r="K266" s="9"/>
      <c r="L266" s="9"/>
      <c r="M266" s="9"/>
      <c r="N266" s="9">
        <v>1</v>
      </c>
    </row>
    <row r="267" spans="1:14" ht="30" x14ac:dyDescent="0.25">
      <c r="A267" s="8" t="s">
        <v>290</v>
      </c>
      <c r="B267" s="9">
        <v>1</v>
      </c>
      <c r="C267" s="9">
        <v>1</v>
      </c>
      <c r="D267" s="9"/>
      <c r="E267" s="9"/>
      <c r="F267" s="9"/>
      <c r="G267" s="9"/>
      <c r="H267" s="9"/>
      <c r="I267" s="9"/>
      <c r="J267" s="9"/>
      <c r="K267" s="9"/>
      <c r="L267" s="9"/>
      <c r="M267" s="9"/>
      <c r="N267" s="9">
        <v>1</v>
      </c>
    </row>
    <row r="268" spans="1:14" x14ac:dyDescent="0.25">
      <c r="A268" s="8" t="s">
        <v>804</v>
      </c>
      <c r="B268" s="9">
        <v>1</v>
      </c>
      <c r="C268" s="9">
        <v>1</v>
      </c>
      <c r="D268" s="9"/>
      <c r="E268" s="9"/>
      <c r="F268" s="9"/>
      <c r="G268" s="9"/>
      <c r="H268" s="9"/>
      <c r="I268" s="9"/>
      <c r="J268" s="9"/>
      <c r="K268" s="9"/>
      <c r="L268" s="9"/>
      <c r="M268" s="9"/>
      <c r="N268" s="9">
        <v>1</v>
      </c>
    </row>
    <row r="269" spans="1:14" x14ac:dyDescent="0.25">
      <c r="A269" s="8" t="s">
        <v>893</v>
      </c>
      <c r="B269" s="9">
        <v>1</v>
      </c>
      <c r="C269" s="9">
        <v>1</v>
      </c>
      <c r="D269" s="9">
        <v>1</v>
      </c>
      <c r="E269" s="9"/>
      <c r="F269" s="9"/>
      <c r="G269" s="9"/>
      <c r="H269" s="9"/>
      <c r="I269" s="9"/>
      <c r="J269" s="9"/>
      <c r="K269" s="9"/>
      <c r="L269" s="9">
        <v>1</v>
      </c>
      <c r="M269" s="9"/>
      <c r="N269" s="9"/>
    </row>
    <row r="270" spans="1:14" ht="30" x14ac:dyDescent="0.25">
      <c r="A270" s="8" t="s">
        <v>291</v>
      </c>
      <c r="B270" s="9">
        <v>1</v>
      </c>
      <c r="C270" s="9">
        <v>1</v>
      </c>
      <c r="D270" s="9">
        <v>1</v>
      </c>
      <c r="E270" s="9"/>
      <c r="F270" s="9"/>
      <c r="G270" s="9"/>
      <c r="H270" s="9"/>
      <c r="I270" s="9"/>
      <c r="J270" s="9"/>
      <c r="K270" s="9"/>
      <c r="L270" s="9">
        <v>1</v>
      </c>
      <c r="M270" s="9"/>
      <c r="N270" s="9"/>
    </row>
    <row r="271" spans="1:14" x14ac:dyDescent="0.25">
      <c r="A271" s="8" t="s">
        <v>804</v>
      </c>
      <c r="B271" s="9">
        <v>1</v>
      </c>
      <c r="C271" s="9">
        <v>1</v>
      </c>
      <c r="D271" s="9">
        <v>1</v>
      </c>
      <c r="E271" s="9"/>
      <c r="F271" s="9"/>
      <c r="G271" s="9"/>
      <c r="H271" s="9"/>
      <c r="I271" s="9"/>
      <c r="J271" s="9"/>
      <c r="K271" s="9"/>
      <c r="L271" s="9">
        <v>1</v>
      </c>
      <c r="M271" s="9"/>
      <c r="N271" s="9"/>
    </row>
    <row r="272" spans="1:14" x14ac:dyDescent="0.25">
      <c r="A272" s="8" t="s">
        <v>894</v>
      </c>
      <c r="B272" s="9">
        <v>1</v>
      </c>
      <c r="C272" s="9">
        <v>1</v>
      </c>
      <c r="D272" s="9">
        <v>1</v>
      </c>
      <c r="E272" s="9"/>
      <c r="F272" s="9"/>
      <c r="G272" s="9"/>
      <c r="H272" s="9"/>
      <c r="I272" s="9"/>
      <c r="J272" s="9"/>
      <c r="K272" s="9"/>
      <c r="L272" s="9">
        <v>1</v>
      </c>
      <c r="M272" s="9"/>
      <c r="N272" s="9"/>
    </row>
    <row r="273" spans="1:14" ht="30" x14ac:dyDescent="0.25">
      <c r="A273" s="8" t="s">
        <v>294</v>
      </c>
      <c r="B273" s="9">
        <v>1</v>
      </c>
      <c r="C273" s="9">
        <v>1</v>
      </c>
      <c r="D273" s="9">
        <v>1</v>
      </c>
      <c r="E273" s="9"/>
      <c r="F273" s="9"/>
      <c r="G273" s="9"/>
      <c r="H273" s="9"/>
      <c r="I273" s="9"/>
      <c r="J273" s="9"/>
      <c r="K273" s="9"/>
      <c r="L273" s="9">
        <v>1</v>
      </c>
      <c r="M273" s="9"/>
      <c r="N273" s="9"/>
    </row>
    <row r="274" spans="1:14" x14ac:dyDescent="0.25">
      <c r="A274" s="8" t="s">
        <v>804</v>
      </c>
      <c r="B274" s="9">
        <v>1</v>
      </c>
      <c r="C274" s="9">
        <v>1</v>
      </c>
      <c r="D274" s="9">
        <v>1</v>
      </c>
      <c r="E274" s="9"/>
      <c r="F274" s="9"/>
      <c r="G274" s="9"/>
      <c r="H274" s="9"/>
      <c r="I274" s="9"/>
      <c r="J274" s="9"/>
      <c r="K274" s="9"/>
      <c r="L274" s="9">
        <v>1</v>
      </c>
      <c r="M274" s="9"/>
      <c r="N274" s="9"/>
    </row>
    <row r="275" spans="1:14" x14ac:dyDescent="0.25">
      <c r="A275" s="8" t="s">
        <v>895</v>
      </c>
      <c r="B275" s="9">
        <v>1</v>
      </c>
      <c r="C275" s="9">
        <v>1</v>
      </c>
      <c r="D275" s="9"/>
      <c r="E275" s="9"/>
      <c r="F275" s="9"/>
      <c r="G275" s="9"/>
      <c r="H275" s="9"/>
      <c r="I275" s="9"/>
      <c r="J275" s="9"/>
      <c r="K275" s="9"/>
      <c r="L275" s="9"/>
      <c r="M275" s="9"/>
      <c r="N275" s="9">
        <v>1</v>
      </c>
    </row>
    <row r="276" spans="1:14" ht="45" x14ac:dyDescent="0.25">
      <c r="A276" s="8" t="s">
        <v>297</v>
      </c>
      <c r="B276" s="9">
        <v>1</v>
      </c>
      <c r="C276" s="9">
        <v>1</v>
      </c>
      <c r="D276" s="9"/>
      <c r="E276" s="9"/>
      <c r="F276" s="9"/>
      <c r="G276" s="9"/>
      <c r="H276" s="9"/>
      <c r="I276" s="9"/>
      <c r="J276" s="9"/>
      <c r="K276" s="9"/>
      <c r="L276" s="9"/>
      <c r="M276" s="9"/>
      <c r="N276" s="9">
        <v>1</v>
      </c>
    </row>
    <row r="277" spans="1:14" x14ac:dyDescent="0.25">
      <c r="A277" s="8" t="s">
        <v>804</v>
      </c>
      <c r="B277" s="9">
        <v>1</v>
      </c>
      <c r="C277" s="9">
        <v>1</v>
      </c>
      <c r="D277" s="9"/>
      <c r="E277" s="9"/>
      <c r="F277" s="9"/>
      <c r="G277" s="9"/>
      <c r="H277" s="9"/>
      <c r="I277" s="9"/>
      <c r="J277" s="9"/>
      <c r="K277" s="9"/>
      <c r="L277" s="9"/>
      <c r="M277" s="9"/>
      <c r="N277" s="9">
        <v>1</v>
      </c>
    </row>
    <row r="278" spans="1:14" x14ac:dyDescent="0.25">
      <c r="A278" s="8" t="s">
        <v>896</v>
      </c>
      <c r="B278" s="9">
        <v>1</v>
      </c>
      <c r="C278" s="9">
        <v>1</v>
      </c>
      <c r="D278" s="9"/>
      <c r="E278" s="9"/>
      <c r="F278" s="9"/>
      <c r="G278" s="9"/>
      <c r="H278" s="9"/>
      <c r="I278" s="9"/>
      <c r="J278" s="9"/>
      <c r="K278" s="9"/>
      <c r="L278" s="9"/>
      <c r="M278" s="9"/>
      <c r="N278" s="9">
        <v>1</v>
      </c>
    </row>
    <row r="279" spans="1:14" ht="45" x14ac:dyDescent="0.25">
      <c r="A279" s="8" t="s">
        <v>299</v>
      </c>
      <c r="B279" s="9">
        <v>1</v>
      </c>
      <c r="C279" s="9">
        <v>1</v>
      </c>
      <c r="D279" s="9"/>
      <c r="E279" s="9"/>
      <c r="F279" s="9"/>
      <c r="G279" s="9"/>
      <c r="H279" s="9"/>
      <c r="I279" s="9"/>
      <c r="J279" s="9"/>
      <c r="K279" s="9"/>
      <c r="L279" s="9"/>
      <c r="M279" s="9"/>
      <c r="N279" s="9">
        <v>1</v>
      </c>
    </row>
    <row r="280" spans="1:14" x14ac:dyDescent="0.25">
      <c r="A280" s="8" t="s">
        <v>804</v>
      </c>
      <c r="B280" s="9">
        <v>1</v>
      </c>
      <c r="C280" s="9">
        <v>1</v>
      </c>
      <c r="D280" s="9"/>
      <c r="E280" s="9"/>
      <c r="F280" s="9"/>
      <c r="G280" s="9"/>
      <c r="H280" s="9"/>
      <c r="I280" s="9"/>
      <c r="J280" s="9"/>
      <c r="K280" s="9"/>
      <c r="L280" s="9"/>
      <c r="M280" s="9"/>
      <c r="N280" s="9">
        <v>1</v>
      </c>
    </row>
    <row r="281" spans="1:14" x14ac:dyDescent="0.25">
      <c r="A281" s="8" t="s">
        <v>897</v>
      </c>
      <c r="B281" s="9">
        <v>1</v>
      </c>
      <c r="C281" s="9">
        <v>1</v>
      </c>
      <c r="D281" s="9"/>
      <c r="E281" s="9"/>
      <c r="F281" s="9"/>
      <c r="G281" s="9"/>
      <c r="H281" s="9"/>
      <c r="I281" s="9"/>
      <c r="J281" s="9"/>
      <c r="K281" s="9"/>
      <c r="L281" s="9"/>
      <c r="M281" s="9"/>
      <c r="N281" s="9">
        <v>1</v>
      </c>
    </row>
    <row r="282" spans="1:14" ht="75" x14ac:dyDescent="0.25">
      <c r="A282" s="8" t="s">
        <v>302</v>
      </c>
      <c r="B282" s="9">
        <v>1</v>
      </c>
      <c r="C282" s="9">
        <v>1</v>
      </c>
      <c r="D282" s="9"/>
      <c r="E282" s="9"/>
      <c r="F282" s="9"/>
      <c r="G282" s="9"/>
      <c r="H282" s="9"/>
      <c r="I282" s="9"/>
      <c r="J282" s="9"/>
      <c r="K282" s="9"/>
      <c r="L282" s="9"/>
      <c r="M282" s="9"/>
      <c r="N282" s="9">
        <v>1</v>
      </c>
    </row>
    <row r="283" spans="1:14" x14ac:dyDescent="0.25">
      <c r="A283" s="8" t="s">
        <v>804</v>
      </c>
      <c r="B283" s="9">
        <v>1</v>
      </c>
      <c r="C283" s="9">
        <v>1</v>
      </c>
      <c r="D283" s="9"/>
      <c r="E283" s="9"/>
      <c r="F283" s="9"/>
      <c r="G283" s="9"/>
      <c r="H283" s="9"/>
      <c r="I283" s="9"/>
      <c r="J283" s="9"/>
      <c r="K283" s="9"/>
      <c r="L283" s="9"/>
      <c r="M283" s="9"/>
      <c r="N283" s="9">
        <v>1</v>
      </c>
    </row>
    <row r="284" spans="1:14" x14ac:dyDescent="0.25">
      <c r="A284" s="8" t="s">
        <v>898</v>
      </c>
      <c r="B284" s="9">
        <v>1</v>
      </c>
      <c r="C284" s="9">
        <v>1</v>
      </c>
      <c r="D284" s="9"/>
      <c r="E284" s="9"/>
      <c r="F284" s="9"/>
      <c r="G284" s="9"/>
      <c r="H284" s="9"/>
      <c r="I284" s="9"/>
      <c r="J284" s="9"/>
      <c r="K284" s="9"/>
      <c r="L284" s="9"/>
      <c r="M284" s="9"/>
      <c r="N284" s="9">
        <v>1</v>
      </c>
    </row>
    <row r="285" spans="1:14" ht="60" x14ac:dyDescent="0.25">
      <c r="A285" s="8" t="s">
        <v>303</v>
      </c>
      <c r="B285" s="9">
        <v>1</v>
      </c>
      <c r="C285" s="9">
        <v>1</v>
      </c>
      <c r="D285" s="9"/>
      <c r="E285" s="9"/>
      <c r="F285" s="9"/>
      <c r="G285" s="9"/>
      <c r="H285" s="9"/>
      <c r="I285" s="9"/>
      <c r="J285" s="9"/>
      <c r="K285" s="9"/>
      <c r="L285" s="9"/>
      <c r="M285" s="9"/>
      <c r="N285" s="9">
        <v>1</v>
      </c>
    </row>
    <row r="286" spans="1:14" x14ac:dyDescent="0.25">
      <c r="A286" s="8" t="s">
        <v>804</v>
      </c>
      <c r="B286" s="9">
        <v>1</v>
      </c>
      <c r="C286" s="9">
        <v>1</v>
      </c>
      <c r="D286" s="9"/>
      <c r="E286" s="9"/>
      <c r="F286" s="9"/>
      <c r="G286" s="9"/>
      <c r="H286" s="9"/>
      <c r="I286" s="9"/>
      <c r="J286" s="9"/>
      <c r="K286" s="9"/>
      <c r="L286" s="9"/>
      <c r="M286" s="9"/>
      <c r="N286" s="9">
        <v>1</v>
      </c>
    </row>
    <row r="287" spans="1:14" x14ac:dyDescent="0.25">
      <c r="A287" s="8" t="s">
        <v>899</v>
      </c>
      <c r="B287" s="9">
        <v>1</v>
      </c>
      <c r="C287" s="9">
        <v>1</v>
      </c>
      <c r="D287" s="9"/>
      <c r="E287" s="9"/>
      <c r="F287" s="9"/>
      <c r="G287" s="9"/>
      <c r="H287" s="9"/>
      <c r="I287" s="9"/>
      <c r="J287" s="9"/>
      <c r="K287" s="9"/>
      <c r="L287" s="9"/>
      <c r="M287" s="9"/>
      <c r="N287" s="9">
        <v>1</v>
      </c>
    </row>
    <row r="288" spans="1:14" ht="30" x14ac:dyDescent="0.25">
      <c r="A288" s="8" t="s">
        <v>304</v>
      </c>
      <c r="B288" s="9">
        <v>1</v>
      </c>
      <c r="C288" s="9">
        <v>1</v>
      </c>
      <c r="D288" s="9"/>
      <c r="E288" s="9"/>
      <c r="F288" s="9"/>
      <c r="G288" s="9"/>
      <c r="H288" s="9"/>
      <c r="I288" s="9"/>
      <c r="J288" s="9"/>
      <c r="K288" s="9"/>
      <c r="L288" s="9"/>
      <c r="M288" s="9"/>
      <c r="N288" s="9">
        <v>1</v>
      </c>
    </row>
    <row r="289" spans="1:14" x14ac:dyDescent="0.25">
      <c r="A289" s="8" t="s">
        <v>804</v>
      </c>
      <c r="B289" s="9">
        <v>1</v>
      </c>
      <c r="C289" s="9">
        <v>1</v>
      </c>
      <c r="D289" s="9"/>
      <c r="E289" s="9"/>
      <c r="F289" s="9"/>
      <c r="G289" s="9"/>
      <c r="H289" s="9"/>
      <c r="I289" s="9"/>
      <c r="J289" s="9"/>
      <c r="K289" s="9"/>
      <c r="L289" s="9"/>
      <c r="M289" s="9"/>
      <c r="N289" s="9">
        <v>1</v>
      </c>
    </row>
    <row r="290" spans="1:14" x14ac:dyDescent="0.25">
      <c r="A290" s="8" t="s">
        <v>900</v>
      </c>
      <c r="B290" s="9">
        <v>1</v>
      </c>
      <c r="C290" s="9">
        <v>1</v>
      </c>
      <c r="D290" s="9"/>
      <c r="E290" s="9"/>
      <c r="F290" s="9"/>
      <c r="G290" s="9"/>
      <c r="H290" s="9"/>
      <c r="I290" s="9"/>
      <c r="J290" s="9"/>
      <c r="K290" s="9"/>
      <c r="L290" s="9"/>
      <c r="M290" s="9"/>
      <c r="N290" s="9">
        <v>1</v>
      </c>
    </row>
    <row r="291" spans="1:14" ht="30" x14ac:dyDescent="0.25">
      <c r="A291" s="8" t="s">
        <v>305</v>
      </c>
      <c r="B291" s="9">
        <v>1</v>
      </c>
      <c r="C291" s="9">
        <v>1</v>
      </c>
      <c r="D291" s="9"/>
      <c r="E291" s="9"/>
      <c r="F291" s="9"/>
      <c r="G291" s="9"/>
      <c r="H291" s="9"/>
      <c r="I291" s="9"/>
      <c r="J291" s="9"/>
      <c r="K291" s="9"/>
      <c r="L291" s="9"/>
      <c r="M291" s="9"/>
      <c r="N291" s="9">
        <v>1</v>
      </c>
    </row>
    <row r="292" spans="1:14" x14ac:dyDescent="0.25">
      <c r="A292" s="8" t="s">
        <v>804</v>
      </c>
      <c r="B292" s="9">
        <v>1</v>
      </c>
      <c r="C292" s="9">
        <v>1</v>
      </c>
      <c r="D292" s="9"/>
      <c r="E292" s="9"/>
      <c r="F292" s="9"/>
      <c r="G292" s="9"/>
      <c r="H292" s="9"/>
      <c r="I292" s="9"/>
      <c r="J292" s="9"/>
      <c r="K292" s="9"/>
      <c r="L292" s="9"/>
      <c r="M292" s="9"/>
      <c r="N292" s="9">
        <v>1</v>
      </c>
    </row>
    <row r="293" spans="1:14" x14ac:dyDescent="0.25">
      <c r="A293" s="8" t="s">
        <v>901</v>
      </c>
      <c r="B293" s="9">
        <v>1</v>
      </c>
      <c r="C293" s="9">
        <v>1</v>
      </c>
      <c r="D293" s="9"/>
      <c r="E293" s="9"/>
      <c r="F293" s="9"/>
      <c r="G293" s="9"/>
      <c r="H293" s="9"/>
      <c r="I293" s="9"/>
      <c r="J293" s="9"/>
      <c r="K293" s="9"/>
      <c r="L293" s="9"/>
      <c r="M293" s="9">
        <v>1</v>
      </c>
      <c r="N293" s="9"/>
    </row>
    <row r="294" spans="1:14" ht="30" x14ac:dyDescent="0.25">
      <c r="A294" s="8" t="s">
        <v>306</v>
      </c>
      <c r="B294" s="9">
        <v>1</v>
      </c>
      <c r="C294" s="9">
        <v>1</v>
      </c>
      <c r="D294" s="9"/>
      <c r="E294" s="9"/>
      <c r="F294" s="9"/>
      <c r="G294" s="9"/>
      <c r="H294" s="9"/>
      <c r="I294" s="9"/>
      <c r="J294" s="9"/>
      <c r="K294" s="9"/>
      <c r="L294" s="9"/>
      <c r="M294" s="9">
        <v>1</v>
      </c>
      <c r="N294" s="9"/>
    </row>
    <row r="295" spans="1:14" x14ac:dyDescent="0.25">
      <c r="A295" s="8" t="s">
        <v>804</v>
      </c>
      <c r="B295" s="9">
        <v>1</v>
      </c>
      <c r="C295" s="9">
        <v>1</v>
      </c>
      <c r="D295" s="9"/>
      <c r="E295" s="9"/>
      <c r="F295" s="9"/>
      <c r="G295" s="9"/>
      <c r="H295" s="9"/>
      <c r="I295" s="9"/>
      <c r="J295" s="9"/>
      <c r="K295" s="9"/>
      <c r="L295" s="9"/>
      <c r="M295" s="9">
        <v>1</v>
      </c>
      <c r="N295" s="9"/>
    </row>
    <row r="296" spans="1:14" x14ac:dyDescent="0.25">
      <c r="A296" s="8" t="s">
        <v>902</v>
      </c>
      <c r="B296" s="9">
        <v>1</v>
      </c>
      <c r="C296" s="9">
        <v>1</v>
      </c>
      <c r="D296" s="9">
        <v>1</v>
      </c>
      <c r="E296" s="9">
        <v>1</v>
      </c>
      <c r="F296" s="9"/>
      <c r="G296" s="9">
        <v>1</v>
      </c>
      <c r="H296" s="9"/>
      <c r="I296" s="9"/>
      <c r="J296" s="9"/>
      <c r="K296" s="9"/>
      <c r="L296" s="9">
        <v>1</v>
      </c>
      <c r="M296" s="9"/>
      <c r="N296" s="9"/>
    </row>
    <row r="297" spans="1:14" ht="45" x14ac:dyDescent="0.25">
      <c r="A297" s="8" t="s">
        <v>308</v>
      </c>
      <c r="B297" s="9">
        <v>1</v>
      </c>
      <c r="C297" s="9">
        <v>1</v>
      </c>
      <c r="D297" s="9">
        <v>1</v>
      </c>
      <c r="E297" s="9">
        <v>1</v>
      </c>
      <c r="F297" s="9"/>
      <c r="G297" s="9">
        <v>1</v>
      </c>
      <c r="H297" s="9"/>
      <c r="I297" s="9"/>
      <c r="J297" s="9"/>
      <c r="K297" s="9"/>
      <c r="L297" s="9">
        <v>1</v>
      </c>
      <c r="M297" s="9"/>
      <c r="N297" s="9"/>
    </row>
    <row r="298" spans="1:14" x14ac:dyDescent="0.25">
      <c r="A298" s="8" t="s">
        <v>804</v>
      </c>
      <c r="B298" s="9">
        <v>1</v>
      </c>
      <c r="C298" s="9">
        <v>1</v>
      </c>
      <c r="D298" s="9">
        <v>1</v>
      </c>
      <c r="E298" s="9">
        <v>1</v>
      </c>
      <c r="F298" s="9"/>
      <c r="G298" s="9">
        <v>1</v>
      </c>
      <c r="H298" s="9"/>
      <c r="I298" s="9"/>
      <c r="J298" s="9"/>
      <c r="K298" s="9"/>
      <c r="L298" s="9">
        <v>1</v>
      </c>
      <c r="M298" s="9"/>
      <c r="N298" s="9"/>
    </row>
    <row r="299" spans="1:14" x14ac:dyDescent="0.25">
      <c r="A299" s="8" t="s">
        <v>903</v>
      </c>
      <c r="B299" s="9">
        <v>1</v>
      </c>
      <c r="C299" s="9">
        <v>1</v>
      </c>
      <c r="D299" s="9">
        <v>1</v>
      </c>
      <c r="E299" s="9"/>
      <c r="F299" s="9"/>
      <c r="G299" s="9"/>
      <c r="H299" s="9"/>
      <c r="I299" s="9"/>
      <c r="J299" s="9"/>
      <c r="K299" s="9"/>
      <c r="L299" s="9">
        <v>1</v>
      </c>
      <c r="M299" s="9"/>
      <c r="N299" s="9"/>
    </row>
    <row r="300" spans="1:14" ht="45" x14ac:dyDescent="0.25">
      <c r="A300" s="8" t="s">
        <v>310</v>
      </c>
      <c r="B300" s="9">
        <v>1</v>
      </c>
      <c r="C300" s="9">
        <v>1</v>
      </c>
      <c r="D300" s="9">
        <v>1</v>
      </c>
      <c r="E300" s="9"/>
      <c r="F300" s="9"/>
      <c r="G300" s="9"/>
      <c r="H300" s="9"/>
      <c r="I300" s="9"/>
      <c r="J300" s="9"/>
      <c r="K300" s="9"/>
      <c r="L300" s="9">
        <v>1</v>
      </c>
      <c r="M300" s="9"/>
      <c r="N300" s="9"/>
    </row>
    <row r="301" spans="1:14" x14ac:dyDescent="0.25">
      <c r="A301" s="8" t="s">
        <v>804</v>
      </c>
      <c r="B301" s="9">
        <v>1</v>
      </c>
      <c r="C301" s="9">
        <v>1</v>
      </c>
      <c r="D301" s="9">
        <v>1</v>
      </c>
      <c r="E301" s="9"/>
      <c r="F301" s="9"/>
      <c r="G301" s="9"/>
      <c r="H301" s="9"/>
      <c r="I301" s="9"/>
      <c r="J301" s="9"/>
      <c r="K301" s="9"/>
      <c r="L301" s="9">
        <v>1</v>
      </c>
      <c r="M301" s="9"/>
      <c r="N301" s="9"/>
    </row>
    <row r="302" spans="1:14" x14ac:dyDescent="0.25">
      <c r="A302" s="8" t="s">
        <v>904</v>
      </c>
      <c r="B302" s="9">
        <v>1</v>
      </c>
      <c r="C302" s="9">
        <v>1</v>
      </c>
      <c r="D302" s="9"/>
      <c r="E302" s="9"/>
      <c r="F302" s="9"/>
      <c r="G302" s="9"/>
      <c r="H302" s="9"/>
      <c r="I302" s="9"/>
      <c r="J302" s="9"/>
      <c r="K302" s="9"/>
      <c r="L302" s="9"/>
      <c r="M302" s="9"/>
      <c r="N302" s="9">
        <v>1</v>
      </c>
    </row>
    <row r="303" spans="1:14" ht="45" x14ac:dyDescent="0.25">
      <c r="A303" s="8" t="s">
        <v>312</v>
      </c>
      <c r="B303" s="9">
        <v>1</v>
      </c>
      <c r="C303" s="9">
        <v>1</v>
      </c>
      <c r="D303" s="9"/>
      <c r="E303" s="9"/>
      <c r="F303" s="9"/>
      <c r="G303" s="9"/>
      <c r="H303" s="9"/>
      <c r="I303" s="9"/>
      <c r="J303" s="9"/>
      <c r="K303" s="9"/>
      <c r="L303" s="9"/>
      <c r="M303" s="9"/>
      <c r="N303" s="9">
        <v>1</v>
      </c>
    </row>
    <row r="304" spans="1:14" x14ac:dyDescent="0.25">
      <c r="A304" s="8" t="s">
        <v>804</v>
      </c>
      <c r="B304" s="9">
        <v>1</v>
      </c>
      <c r="C304" s="9">
        <v>1</v>
      </c>
      <c r="D304" s="9"/>
      <c r="E304" s="9"/>
      <c r="F304" s="9"/>
      <c r="G304" s="9"/>
      <c r="H304" s="9"/>
      <c r="I304" s="9"/>
      <c r="J304" s="9"/>
      <c r="K304" s="9"/>
      <c r="L304" s="9"/>
      <c r="M304" s="9"/>
      <c r="N304" s="9">
        <v>1</v>
      </c>
    </row>
    <row r="305" spans="1:14" x14ac:dyDescent="0.25">
      <c r="A305" s="8" t="s">
        <v>905</v>
      </c>
      <c r="B305" s="9">
        <v>1</v>
      </c>
      <c r="C305" s="9">
        <v>1</v>
      </c>
      <c r="D305" s="9">
        <v>1</v>
      </c>
      <c r="E305" s="9">
        <v>1</v>
      </c>
      <c r="F305" s="9"/>
      <c r="G305" s="9">
        <v>1</v>
      </c>
      <c r="H305" s="9"/>
      <c r="I305" s="9"/>
      <c r="J305" s="9"/>
      <c r="K305" s="9"/>
      <c r="L305" s="9">
        <v>1</v>
      </c>
      <c r="M305" s="9"/>
      <c r="N305" s="9"/>
    </row>
    <row r="306" spans="1:14" ht="45" x14ac:dyDescent="0.25">
      <c r="A306" s="8" t="s">
        <v>313</v>
      </c>
      <c r="B306" s="9">
        <v>1</v>
      </c>
      <c r="C306" s="9">
        <v>1</v>
      </c>
      <c r="D306" s="9">
        <v>1</v>
      </c>
      <c r="E306" s="9">
        <v>1</v>
      </c>
      <c r="F306" s="9"/>
      <c r="G306" s="9">
        <v>1</v>
      </c>
      <c r="H306" s="9"/>
      <c r="I306" s="9"/>
      <c r="J306" s="9"/>
      <c r="K306" s="9"/>
      <c r="L306" s="9">
        <v>1</v>
      </c>
      <c r="M306" s="9"/>
      <c r="N306" s="9"/>
    </row>
    <row r="307" spans="1:14" x14ac:dyDescent="0.25">
      <c r="A307" s="8" t="s">
        <v>804</v>
      </c>
      <c r="B307" s="9">
        <v>1</v>
      </c>
      <c r="C307" s="9">
        <v>1</v>
      </c>
      <c r="D307" s="9">
        <v>1</v>
      </c>
      <c r="E307" s="9">
        <v>1</v>
      </c>
      <c r="F307" s="9"/>
      <c r="G307" s="9">
        <v>1</v>
      </c>
      <c r="H307" s="9"/>
      <c r="I307" s="9"/>
      <c r="J307" s="9"/>
      <c r="K307" s="9"/>
      <c r="L307" s="9">
        <v>1</v>
      </c>
      <c r="M307" s="9"/>
      <c r="N307" s="9"/>
    </row>
    <row r="308" spans="1:14" x14ac:dyDescent="0.25">
      <c r="A308" s="8" t="s">
        <v>906</v>
      </c>
      <c r="B308" s="9">
        <v>1</v>
      </c>
      <c r="C308" s="9">
        <v>1</v>
      </c>
      <c r="D308" s="9">
        <v>1</v>
      </c>
      <c r="E308" s="9"/>
      <c r="F308" s="9"/>
      <c r="G308" s="9"/>
      <c r="H308" s="9"/>
      <c r="I308" s="9"/>
      <c r="J308" s="9">
        <v>1</v>
      </c>
      <c r="K308" s="9"/>
      <c r="L308" s="9"/>
      <c r="M308" s="9"/>
      <c r="N308" s="9"/>
    </row>
    <row r="309" spans="1:14" ht="30" x14ac:dyDescent="0.25">
      <c r="A309" s="8" t="s">
        <v>314</v>
      </c>
      <c r="B309" s="9">
        <v>1</v>
      </c>
      <c r="C309" s="9">
        <v>1</v>
      </c>
      <c r="D309" s="9">
        <v>1</v>
      </c>
      <c r="E309" s="9"/>
      <c r="F309" s="9"/>
      <c r="G309" s="9"/>
      <c r="H309" s="9"/>
      <c r="I309" s="9"/>
      <c r="J309" s="9">
        <v>1</v>
      </c>
      <c r="K309" s="9"/>
      <c r="L309" s="9"/>
      <c r="M309" s="9"/>
      <c r="N309" s="9"/>
    </row>
    <row r="310" spans="1:14" x14ac:dyDescent="0.25">
      <c r="A310" s="8" t="s">
        <v>804</v>
      </c>
      <c r="B310" s="9">
        <v>1</v>
      </c>
      <c r="C310" s="9">
        <v>1</v>
      </c>
      <c r="D310" s="9">
        <v>1</v>
      </c>
      <c r="E310" s="9"/>
      <c r="F310" s="9"/>
      <c r="G310" s="9"/>
      <c r="H310" s="9"/>
      <c r="I310" s="9"/>
      <c r="J310" s="9">
        <v>1</v>
      </c>
      <c r="K310" s="9"/>
      <c r="L310" s="9"/>
      <c r="M310" s="9"/>
      <c r="N310" s="9"/>
    </row>
    <row r="311" spans="1:14" x14ac:dyDescent="0.25">
      <c r="A311" s="8" t="s">
        <v>907</v>
      </c>
      <c r="B311" s="9">
        <v>1</v>
      </c>
      <c r="C311" s="9">
        <v>1</v>
      </c>
      <c r="D311" s="9"/>
      <c r="E311" s="9"/>
      <c r="F311" s="9"/>
      <c r="G311" s="9"/>
      <c r="H311" s="9"/>
      <c r="I311" s="9"/>
      <c r="J311" s="9"/>
      <c r="K311" s="9"/>
      <c r="L311" s="9"/>
      <c r="M311" s="9"/>
      <c r="N311" s="9">
        <v>1</v>
      </c>
    </row>
    <row r="312" spans="1:14" ht="45" x14ac:dyDescent="0.25">
      <c r="A312" s="8" t="s">
        <v>315</v>
      </c>
      <c r="B312" s="9">
        <v>1</v>
      </c>
      <c r="C312" s="9">
        <v>1</v>
      </c>
      <c r="D312" s="9"/>
      <c r="E312" s="9"/>
      <c r="F312" s="9"/>
      <c r="G312" s="9"/>
      <c r="H312" s="9"/>
      <c r="I312" s="9"/>
      <c r="J312" s="9"/>
      <c r="K312" s="9"/>
      <c r="L312" s="9"/>
      <c r="M312" s="9"/>
      <c r="N312" s="9">
        <v>1</v>
      </c>
    </row>
    <row r="313" spans="1:14" x14ac:dyDescent="0.25">
      <c r="A313" s="8" t="s">
        <v>804</v>
      </c>
      <c r="B313" s="9">
        <v>1</v>
      </c>
      <c r="C313" s="9">
        <v>1</v>
      </c>
      <c r="D313" s="9"/>
      <c r="E313" s="9"/>
      <c r="F313" s="9"/>
      <c r="G313" s="9"/>
      <c r="H313" s="9"/>
      <c r="I313" s="9"/>
      <c r="J313" s="9"/>
      <c r="K313" s="9"/>
      <c r="L313" s="9"/>
      <c r="M313" s="9"/>
      <c r="N313" s="9">
        <v>1</v>
      </c>
    </row>
    <row r="314" spans="1:14" x14ac:dyDescent="0.25">
      <c r="A314" s="8" t="s">
        <v>908</v>
      </c>
      <c r="B314" s="9">
        <v>1</v>
      </c>
      <c r="C314" s="9">
        <v>1</v>
      </c>
      <c r="D314" s="9"/>
      <c r="E314" s="9"/>
      <c r="F314" s="9"/>
      <c r="G314" s="9"/>
      <c r="H314" s="9"/>
      <c r="I314" s="9"/>
      <c r="J314" s="9"/>
      <c r="K314" s="9"/>
      <c r="L314" s="9"/>
      <c r="M314" s="9"/>
      <c r="N314" s="9">
        <v>1</v>
      </c>
    </row>
    <row r="315" spans="1:14" ht="30" x14ac:dyDescent="0.25">
      <c r="A315" s="8" t="s">
        <v>316</v>
      </c>
      <c r="B315" s="9">
        <v>1</v>
      </c>
      <c r="C315" s="9">
        <v>1</v>
      </c>
      <c r="D315" s="9"/>
      <c r="E315" s="9"/>
      <c r="F315" s="9"/>
      <c r="G315" s="9"/>
      <c r="H315" s="9"/>
      <c r="I315" s="9"/>
      <c r="J315" s="9"/>
      <c r="K315" s="9"/>
      <c r="L315" s="9"/>
      <c r="M315" s="9"/>
      <c r="N315" s="9">
        <v>1</v>
      </c>
    </row>
    <row r="316" spans="1:14" x14ac:dyDescent="0.25">
      <c r="A316" s="8" t="s">
        <v>804</v>
      </c>
      <c r="B316" s="9">
        <v>1</v>
      </c>
      <c r="C316" s="9">
        <v>1</v>
      </c>
      <c r="D316" s="9"/>
      <c r="E316" s="9"/>
      <c r="F316" s="9"/>
      <c r="G316" s="9"/>
      <c r="H316" s="9"/>
      <c r="I316" s="9"/>
      <c r="J316" s="9"/>
      <c r="K316" s="9"/>
      <c r="L316" s="9"/>
      <c r="M316" s="9"/>
      <c r="N316" s="9">
        <v>1</v>
      </c>
    </row>
    <row r="317" spans="1:14" x14ac:dyDescent="0.25">
      <c r="A317" s="8" t="s">
        <v>909</v>
      </c>
      <c r="B317" s="9">
        <v>1</v>
      </c>
      <c r="C317" s="9">
        <v>1</v>
      </c>
      <c r="D317" s="9"/>
      <c r="E317" s="9"/>
      <c r="F317" s="9"/>
      <c r="G317" s="9"/>
      <c r="H317" s="9"/>
      <c r="I317" s="9"/>
      <c r="J317" s="9"/>
      <c r="K317" s="9"/>
      <c r="L317" s="9"/>
      <c r="M317" s="9"/>
      <c r="N317" s="9">
        <v>1</v>
      </c>
    </row>
    <row r="318" spans="1:14" ht="45" x14ac:dyDescent="0.25">
      <c r="A318" s="8" t="s">
        <v>318</v>
      </c>
      <c r="B318" s="9">
        <v>1</v>
      </c>
      <c r="C318" s="9">
        <v>1</v>
      </c>
      <c r="D318" s="9"/>
      <c r="E318" s="9"/>
      <c r="F318" s="9"/>
      <c r="G318" s="9"/>
      <c r="H318" s="9"/>
      <c r="I318" s="9"/>
      <c r="J318" s="9"/>
      <c r="K318" s="9"/>
      <c r="L318" s="9"/>
      <c r="M318" s="9"/>
      <c r="N318" s="9">
        <v>1</v>
      </c>
    </row>
    <row r="319" spans="1:14" x14ac:dyDescent="0.25">
      <c r="A319" s="8" t="s">
        <v>804</v>
      </c>
      <c r="B319" s="9">
        <v>1</v>
      </c>
      <c r="C319" s="9">
        <v>1</v>
      </c>
      <c r="D319" s="9"/>
      <c r="E319" s="9"/>
      <c r="F319" s="9"/>
      <c r="G319" s="9"/>
      <c r="H319" s="9"/>
      <c r="I319" s="9"/>
      <c r="J319" s="9"/>
      <c r="K319" s="9"/>
      <c r="L319" s="9"/>
      <c r="M319" s="9"/>
      <c r="N319" s="9">
        <v>1</v>
      </c>
    </row>
    <row r="320" spans="1:14" x14ac:dyDescent="0.25">
      <c r="A320" s="8" t="s">
        <v>910</v>
      </c>
      <c r="B320" s="9">
        <v>1</v>
      </c>
      <c r="C320" s="9">
        <v>1</v>
      </c>
      <c r="D320" s="9"/>
      <c r="E320" s="9"/>
      <c r="F320" s="9"/>
      <c r="G320" s="9"/>
      <c r="H320" s="9"/>
      <c r="I320" s="9"/>
      <c r="J320" s="9"/>
      <c r="K320" s="9"/>
      <c r="L320" s="9"/>
      <c r="M320" s="9"/>
      <c r="N320" s="9">
        <v>1</v>
      </c>
    </row>
    <row r="321" spans="1:14" ht="45" x14ac:dyDescent="0.25">
      <c r="A321" s="8" t="s">
        <v>319</v>
      </c>
      <c r="B321" s="9">
        <v>1</v>
      </c>
      <c r="C321" s="9">
        <v>1</v>
      </c>
      <c r="D321" s="9"/>
      <c r="E321" s="9"/>
      <c r="F321" s="9"/>
      <c r="G321" s="9"/>
      <c r="H321" s="9"/>
      <c r="I321" s="9"/>
      <c r="J321" s="9"/>
      <c r="K321" s="9"/>
      <c r="L321" s="9"/>
      <c r="M321" s="9"/>
      <c r="N321" s="9">
        <v>1</v>
      </c>
    </row>
    <row r="322" spans="1:14" x14ac:dyDescent="0.25">
      <c r="A322" s="8" t="s">
        <v>804</v>
      </c>
      <c r="B322" s="9">
        <v>1</v>
      </c>
      <c r="C322" s="9">
        <v>1</v>
      </c>
      <c r="D322" s="9"/>
      <c r="E322" s="9"/>
      <c r="F322" s="9"/>
      <c r="G322" s="9"/>
      <c r="H322" s="9"/>
      <c r="I322" s="9"/>
      <c r="J322" s="9"/>
      <c r="K322" s="9"/>
      <c r="L322" s="9"/>
      <c r="M322" s="9"/>
      <c r="N322" s="9">
        <v>1</v>
      </c>
    </row>
    <row r="323" spans="1:14" x14ac:dyDescent="0.25">
      <c r="A323" s="8" t="s">
        <v>911</v>
      </c>
      <c r="B323" s="9">
        <v>1</v>
      </c>
      <c r="C323" s="9">
        <v>1</v>
      </c>
      <c r="D323" s="9"/>
      <c r="E323" s="9"/>
      <c r="F323" s="9"/>
      <c r="G323" s="9"/>
      <c r="H323" s="9"/>
      <c r="I323" s="9"/>
      <c r="J323" s="9"/>
      <c r="K323" s="9"/>
      <c r="L323" s="9"/>
      <c r="M323" s="9"/>
      <c r="N323" s="9">
        <v>1</v>
      </c>
    </row>
    <row r="324" spans="1:14" ht="75" x14ac:dyDescent="0.25">
      <c r="A324" s="8" t="s">
        <v>320</v>
      </c>
      <c r="B324" s="9">
        <v>1</v>
      </c>
      <c r="C324" s="9">
        <v>1</v>
      </c>
      <c r="D324" s="9"/>
      <c r="E324" s="9"/>
      <c r="F324" s="9"/>
      <c r="G324" s="9"/>
      <c r="H324" s="9"/>
      <c r="I324" s="9"/>
      <c r="J324" s="9"/>
      <c r="K324" s="9"/>
      <c r="L324" s="9"/>
      <c r="M324" s="9"/>
      <c r="N324" s="9">
        <v>1</v>
      </c>
    </row>
    <row r="325" spans="1:14" x14ac:dyDescent="0.25">
      <c r="A325" s="8" t="s">
        <v>804</v>
      </c>
      <c r="B325" s="9">
        <v>1</v>
      </c>
      <c r="C325" s="9">
        <v>1</v>
      </c>
      <c r="D325" s="9"/>
      <c r="E325" s="9"/>
      <c r="F325" s="9"/>
      <c r="G325" s="9"/>
      <c r="H325" s="9"/>
      <c r="I325" s="9"/>
      <c r="J325" s="9"/>
      <c r="K325" s="9"/>
      <c r="L325" s="9"/>
      <c r="M325" s="9"/>
      <c r="N325" s="9">
        <v>1</v>
      </c>
    </row>
    <row r="326" spans="1:14" x14ac:dyDescent="0.25">
      <c r="A326" s="8" t="s">
        <v>912</v>
      </c>
      <c r="B326" s="9">
        <v>1</v>
      </c>
      <c r="C326" s="9">
        <v>1</v>
      </c>
      <c r="D326" s="9"/>
      <c r="E326" s="9"/>
      <c r="F326" s="9"/>
      <c r="G326" s="9"/>
      <c r="H326" s="9"/>
      <c r="I326" s="9"/>
      <c r="J326" s="9"/>
      <c r="K326" s="9"/>
      <c r="L326" s="9"/>
      <c r="M326" s="9"/>
      <c r="N326" s="9">
        <v>1</v>
      </c>
    </row>
    <row r="327" spans="1:14" ht="30" x14ac:dyDescent="0.25">
      <c r="A327" s="8" t="s">
        <v>321</v>
      </c>
      <c r="B327" s="9">
        <v>1</v>
      </c>
      <c r="C327" s="9">
        <v>1</v>
      </c>
      <c r="D327" s="9"/>
      <c r="E327" s="9"/>
      <c r="F327" s="9"/>
      <c r="G327" s="9"/>
      <c r="H327" s="9"/>
      <c r="I327" s="9"/>
      <c r="J327" s="9"/>
      <c r="K327" s="9"/>
      <c r="L327" s="9"/>
      <c r="M327" s="9"/>
      <c r="N327" s="9">
        <v>1</v>
      </c>
    </row>
    <row r="328" spans="1:14" x14ac:dyDescent="0.25">
      <c r="A328" s="8" t="s">
        <v>804</v>
      </c>
      <c r="B328" s="9">
        <v>1</v>
      </c>
      <c r="C328" s="9">
        <v>1</v>
      </c>
      <c r="D328" s="9"/>
      <c r="E328" s="9"/>
      <c r="F328" s="9"/>
      <c r="G328" s="9"/>
      <c r="H328" s="9"/>
      <c r="I328" s="9"/>
      <c r="J328" s="9"/>
      <c r="K328" s="9"/>
      <c r="L328" s="9"/>
      <c r="M328" s="9"/>
      <c r="N328" s="9">
        <v>1</v>
      </c>
    </row>
    <row r="329" spans="1:14" x14ac:dyDescent="0.25">
      <c r="A329" s="8" t="s">
        <v>913</v>
      </c>
      <c r="B329" s="9">
        <v>1</v>
      </c>
      <c r="C329" s="9">
        <v>1</v>
      </c>
      <c r="D329" s="9"/>
      <c r="E329" s="9"/>
      <c r="F329" s="9"/>
      <c r="G329" s="9"/>
      <c r="H329" s="9"/>
      <c r="I329" s="9"/>
      <c r="J329" s="9"/>
      <c r="K329" s="9"/>
      <c r="L329" s="9"/>
      <c r="M329" s="9"/>
      <c r="N329" s="9">
        <v>1</v>
      </c>
    </row>
    <row r="330" spans="1:14" ht="30" x14ac:dyDescent="0.25">
      <c r="A330" s="8" t="s">
        <v>322</v>
      </c>
      <c r="B330" s="9">
        <v>1</v>
      </c>
      <c r="C330" s="9">
        <v>1</v>
      </c>
      <c r="D330" s="9"/>
      <c r="E330" s="9"/>
      <c r="F330" s="9"/>
      <c r="G330" s="9"/>
      <c r="H330" s="9"/>
      <c r="I330" s="9"/>
      <c r="J330" s="9"/>
      <c r="K330" s="9"/>
      <c r="L330" s="9"/>
      <c r="M330" s="9"/>
      <c r="N330" s="9">
        <v>1</v>
      </c>
    </row>
    <row r="331" spans="1:14" x14ac:dyDescent="0.25">
      <c r="A331" s="8" t="s">
        <v>804</v>
      </c>
      <c r="B331" s="9">
        <v>1</v>
      </c>
      <c r="C331" s="9">
        <v>1</v>
      </c>
      <c r="D331" s="9"/>
      <c r="E331" s="9"/>
      <c r="F331" s="9"/>
      <c r="G331" s="9"/>
      <c r="H331" s="9"/>
      <c r="I331" s="9"/>
      <c r="J331" s="9"/>
      <c r="K331" s="9"/>
      <c r="L331" s="9"/>
      <c r="M331" s="9"/>
      <c r="N331" s="9">
        <v>1</v>
      </c>
    </row>
    <row r="332" spans="1:14" x14ac:dyDescent="0.25">
      <c r="A332" s="8" t="s">
        <v>914</v>
      </c>
      <c r="B332" s="9">
        <v>1</v>
      </c>
      <c r="C332" s="9">
        <v>1</v>
      </c>
      <c r="D332" s="9">
        <v>1</v>
      </c>
      <c r="E332" s="9"/>
      <c r="F332" s="9"/>
      <c r="G332" s="9"/>
      <c r="H332" s="9"/>
      <c r="I332" s="9"/>
      <c r="J332" s="9"/>
      <c r="K332" s="9"/>
      <c r="L332" s="9">
        <v>1</v>
      </c>
      <c r="M332" s="9"/>
      <c r="N332" s="9"/>
    </row>
    <row r="333" spans="1:14" ht="45" x14ac:dyDescent="0.25">
      <c r="A333" s="8" t="s">
        <v>323</v>
      </c>
      <c r="B333" s="9">
        <v>1</v>
      </c>
      <c r="C333" s="9">
        <v>1</v>
      </c>
      <c r="D333" s="9">
        <v>1</v>
      </c>
      <c r="E333" s="9"/>
      <c r="F333" s="9"/>
      <c r="G333" s="9"/>
      <c r="H333" s="9"/>
      <c r="I333" s="9"/>
      <c r="J333" s="9"/>
      <c r="K333" s="9"/>
      <c r="L333" s="9">
        <v>1</v>
      </c>
      <c r="M333" s="9"/>
      <c r="N333" s="9"/>
    </row>
    <row r="334" spans="1:14" x14ac:dyDescent="0.25">
      <c r="A334" s="8" t="s">
        <v>804</v>
      </c>
      <c r="B334" s="9">
        <v>1</v>
      </c>
      <c r="C334" s="9">
        <v>1</v>
      </c>
      <c r="D334" s="9">
        <v>1</v>
      </c>
      <c r="E334" s="9"/>
      <c r="F334" s="9"/>
      <c r="G334" s="9"/>
      <c r="H334" s="9"/>
      <c r="I334" s="9"/>
      <c r="J334" s="9"/>
      <c r="K334" s="9"/>
      <c r="L334" s="9">
        <v>1</v>
      </c>
      <c r="M334" s="9"/>
      <c r="N334" s="9"/>
    </row>
    <row r="335" spans="1:14" x14ac:dyDescent="0.25">
      <c r="A335" s="8" t="s">
        <v>915</v>
      </c>
      <c r="B335" s="9">
        <v>1</v>
      </c>
      <c r="C335" s="9">
        <v>1</v>
      </c>
      <c r="D335" s="9">
        <v>1</v>
      </c>
      <c r="E335" s="9"/>
      <c r="F335" s="9"/>
      <c r="G335" s="9"/>
      <c r="H335" s="9"/>
      <c r="I335" s="9"/>
      <c r="J335" s="9"/>
      <c r="K335" s="9"/>
      <c r="L335" s="9">
        <v>1</v>
      </c>
      <c r="M335" s="9"/>
      <c r="N335" s="9"/>
    </row>
    <row r="336" spans="1:14" ht="60" x14ac:dyDescent="0.25">
      <c r="A336" s="8" t="s">
        <v>324</v>
      </c>
      <c r="B336" s="9">
        <v>1</v>
      </c>
      <c r="C336" s="9">
        <v>1</v>
      </c>
      <c r="D336" s="9">
        <v>1</v>
      </c>
      <c r="E336" s="9"/>
      <c r="F336" s="9"/>
      <c r="G336" s="9"/>
      <c r="H336" s="9"/>
      <c r="I336" s="9"/>
      <c r="J336" s="9"/>
      <c r="K336" s="9"/>
      <c r="L336" s="9">
        <v>1</v>
      </c>
      <c r="M336" s="9"/>
      <c r="N336" s="9"/>
    </row>
    <row r="337" spans="1:14" x14ac:dyDescent="0.25">
      <c r="A337" s="8" t="s">
        <v>804</v>
      </c>
      <c r="B337" s="9">
        <v>1</v>
      </c>
      <c r="C337" s="9">
        <v>1</v>
      </c>
      <c r="D337" s="9">
        <v>1</v>
      </c>
      <c r="E337" s="9"/>
      <c r="F337" s="9"/>
      <c r="G337" s="9"/>
      <c r="H337" s="9"/>
      <c r="I337" s="9"/>
      <c r="J337" s="9"/>
      <c r="K337" s="9"/>
      <c r="L337" s="9">
        <v>1</v>
      </c>
      <c r="M337" s="9"/>
      <c r="N337" s="9"/>
    </row>
    <row r="338" spans="1:14" x14ac:dyDescent="0.25">
      <c r="A338" s="8" t="s">
        <v>916</v>
      </c>
      <c r="B338" s="9">
        <v>1</v>
      </c>
      <c r="C338" s="9">
        <v>1</v>
      </c>
      <c r="D338" s="9">
        <v>1</v>
      </c>
      <c r="E338" s="9"/>
      <c r="F338" s="9"/>
      <c r="G338" s="9"/>
      <c r="H338" s="9"/>
      <c r="I338" s="9"/>
      <c r="J338" s="9"/>
      <c r="K338" s="9"/>
      <c r="L338" s="9">
        <v>1</v>
      </c>
      <c r="M338" s="9"/>
      <c r="N338" s="9"/>
    </row>
    <row r="339" spans="1:14" ht="45" x14ac:dyDescent="0.25">
      <c r="A339" s="8" t="s">
        <v>325</v>
      </c>
      <c r="B339" s="9">
        <v>1</v>
      </c>
      <c r="C339" s="9">
        <v>1</v>
      </c>
      <c r="D339" s="9">
        <v>1</v>
      </c>
      <c r="E339" s="9"/>
      <c r="F339" s="9"/>
      <c r="G339" s="9"/>
      <c r="H339" s="9"/>
      <c r="I339" s="9"/>
      <c r="J339" s="9"/>
      <c r="K339" s="9"/>
      <c r="L339" s="9">
        <v>1</v>
      </c>
      <c r="M339" s="9"/>
      <c r="N339" s="9"/>
    </row>
    <row r="340" spans="1:14" x14ac:dyDescent="0.25">
      <c r="A340" s="8" t="s">
        <v>804</v>
      </c>
      <c r="B340" s="9">
        <v>1</v>
      </c>
      <c r="C340" s="9">
        <v>1</v>
      </c>
      <c r="D340" s="9">
        <v>1</v>
      </c>
      <c r="E340" s="9"/>
      <c r="F340" s="9"/>
      <c r="G340" s="9"/>
      <c r="H340" s="9"/>
      <c r="I340" s="9"/>
      <c r="J340" s="9"/>
      <c r="K340" s="9"/>
      <c r="L340" s="9">
        <v>1</v>
      </c>
      <c r="M340" s="9"/>
      <c r="N340" s="9"/>
    </row>
    <row r="341" spans="1:14" x14ac:dyDescent="0.25">
      <c r="A341" s="8" t="s">
        <v>917</v>
      </c>
      <c r="B341" s="9">
        <v>1</v>
      </c>
      <c r="C341" s="9">
        <v>1</v>
      </c>
      <c r="D341" s="9">
        <v>1</v>
      </c>
      <c r="E341" s="9"/>
      <c r="F341" s="9"/>
      <c r="G341" s="9"/>
      <c r="H341" s="9"/>
      <c r="I341" s="9"/>
      <c r="J341" s="9"/>
      <c r="K341" s="9"/>
      <c r="L341" s="9">
        <v>1</v>
      </c>
      <c r="M341" s="9"/>
      <c r="N341" s="9"/>
    </row>
    <row r="342" spans="1:14" ht="105" x14ac:dyDescent="0.25">
      <c r="A342" s="8" t="s">
        <v>326</v>
      </c>
      <c r="B342" s="9">
        <v>1</v>
      </c>
      <c r="C342" s="9">
        <v>1</v>
      </c>
      <c r="D342" s="9">
        <v>1</v>
      </c>
      <c r="E342" s="9"/>
      <c r="F342" s="9"/>
      <c r="G342" s="9"/>
      <c r="H342" s="9"/>
      <c r="I342" s="9"/>
      <c r="J342" s="9"/>
      <c r="K342" s="9"/>
      <c r="L342" s="9">
        <v>1</v>
      </c>
      <c r="M342" s="9"/>
      <c r="N342" s="9"/>
    </row>
    <row r="343" spans="1:14" x14ac:dyDescent="0.25">
      <c r="A343" s="8" t="s">
        <v>804</v>
      </c>
      <c r="B343" s="9">
        <v>1</v>
      </c>
      <c r="C343" s="9">
        <v>1</v>
      </c>
      <c r="D343" s="9">
        <v>1</v>
      </c>
      <c r="E343" s="9"/>
      <c r="F343" s="9"/>
      <c r="G343" s="9"/>
      <c r="H343" s="9"/>
      <c r="I343" s="9"/>
      <c r="J343" s="9"/>
      <c r="K343" s="9"/>
      <c r="L343" s="9">
        <v>1</v>
      </c>
      <c r="M343" s="9"/>
      <c r="N343" s="9"/>
    </row>
    <row r="344" spans="1:14" x14ac:dyDescent="0.25">
      <c r="A344" s="8" t="s">
        <v>918</v>
      </c>
      <c r="B344" s="9">
        <v>1</v>
      </c>
      <c r="C344" s="9">
        <v>1</v>
      </c>
      <c r="D344" s="9"/>
      <c r="E344" s="9"/>
      <c r="F344" s="9"/>
      <c r="G344" s="9"/>
      <c r="H344" s="9"/>
      <c r="I344" s="9"/>
      <c r="J344" s="9"/>
      <c r="K344" s="9"/>
      <c r="L344" s="9"/>
      <c r="M344" s="9"/>
      <c r="N344" s="9">
        <v>1</v>
      </c>
    </row>
    <row r="345" spans="1:14" ht="45" x14ac:dyDescent="0.25">
      <c r="A345" s="8" t="s">
        <v>327</v>
      </c>
      <c r="B345" s="9">
        <v>1</v>
      </c>
      <c r="C345" s="9">
        <v>1</v>
      </c>
      <c r="D345" s="9"/>
      <c r="E345" s="9"/>
      <c r="F345" s="9"/>
      <c r="G345" s="9"/>
      <c r="H345" s="9"/>
      <c r="I345" s="9"/>
      <c r="J345" s="9"/>
      <c r="K345" s="9"/>
      <c r="L345" s="9"/>
      <c r="M345" s="9"/>
      <c r="N345" s="9">
        <v>1</v>
      </c>
    </row>
    <row r="346" spans="1:14" x14ac:dyDescent="0.25">
      <c r="A346" s="8" t="s">
        <v>804</v>
      </c>
      <c r="B346" s="9">
        <v>1</v>
      </c>
      <c r="C346" s="9">
        <v>1</v>
      </c>
      <c r="D346" s="9"/>
      <c r="E346" s="9"/>
      <c r="F346" s="9"/>
      <c r="G346" s="9"/>
      <c r="H346" s="9"/>
      <c r="I346" s="9"/>
      <c r="J346" s="9"/>
      <c r="K346" s="9"/>
      <c r="L346" s="9"/>
      <c r="M346" s="9"/>
      <c r="N346" s="9">
        <v>1</v>
      </c>
    </row>
    <row r="347" spans="1:14" x14ac:dyDescent="0.25">
      <c r="A347" s="8" t="s">
        <v>919</v>
      </c>
      <c r="B347" s="9">
        <v>1</v>
      </c>
      <c r="C347" s="9">
        <v>1</v>
      </c>
      <c r="D347" s="9">
        <v>1</v>
      </c>
      <c r="E347" s="9"/>
      <c r="F347" s="9"/>
      <c r="G347" s="9"/>
      <c r="H347" s="9"/>
      <c r="I347" s="9"/>
      <c r="J347" s="9"/>
      <c r="K347" s="9"/>
      <c r="L347" s="9">
        <v>1</v>
      </c>
      <c r="M347" s="9"/>
      <c r="N347" s="9"/>
    </row>
    <row r="348" spans="1:14" ht="60" x14ac:dyDescent="0.25">
      <c r="A348" s="8" t="s">
        <v>331</v>
      </c>
      <c r="B348" s="9">
        <v>1</v>
      </c>
      <c r="C348" s="9">
        <v>1</v>
      </c>
      <c r="D348" s="9">
        <v>1</v>
      </c>
      <c r="E348" s="9"/>
      <c r="F348" s="9"/>
      <c r="G348" s="9"/>
      <c r="H348" s="9"/>
      <c r="I348" s="9"/>
      <c r="J348" s="9"/>
      <c r="K348" s="9"/>
      <c r="L348" s="9">
        <v>1</v>
      </c>
      <c r="M348" s="9"/>
      <c r="N348" s="9"/>
    </row>
    <row r="349" spans="1:14" x14ac:dyDescent="0.25">
      <c r="A349" s="8" t="s">
        <v>804</v>
      </c>
      <c r="B349" s="9">
        <v>1</v>
      </c>
      <c r="C349" s="9">
        <v>1</v>
      </c>
      <c r="D349" s="9">
        <v>1</v>
      </c>
      <c r="E349" s="9"/>
      <c r="F349" s="9"/>
      <c r="G349" s="9"/>
      <c r="H349" s="9"/>
      <c r="I349" s="9"/>
      <c r="J349" s="9"/>
      <c r="K349" s="9"/>
      <c r="L349" s="9">
        <v>1</v>
      </c>
      <c r="M349" s="9"/>
      <c r="N349" s="9"/>
    </row>
    <row r="350" spans="1:14" x14ac:dyDescent="0.25">
      <c r="A350" s="8" t="s">
        <v>920</v>
      </c>
      <c r="B350" s="9">
        <v>1</v>
      </c>
      <c r="C350" s="9">
        <v>1</v>
      </c>
      <c r="D350" s="9">
        <v>1</v>
      </c>
      <c r="E350" s="9"/>
      <c r="F350" s="9"/>
      <c r="G350" s="9"/>
      <c r="H350" s="9"/>
      <c r="I350" s="9"/>
      <c r="J350" s="9"/>
      <c r="K350" s="9"/>
      <c r="L350" s="9">
        <v>1</v>
      </c>
      <c r="M350" s="9"/>
      <c r="N350" s="9"/>
    </row>
    <row r="351" spans="1:14" ht="30" x14ac:dyDescent="0.25">
      <c r="A351" s="8" t="s">
        <v>338</v>
      </c>
      <c r="B351" s="9">
        <v>1</v>
      </c>
      <c r="C351" s="9">
        <v>1</v>
      </c>
      <c r="D351" s="9">
        <v>1</v>
      </c>
      <c r="E351" s="9"/>
      <c r="F351" s="9"/>
      <c r="G351" s="9"/>
      <c r="H351" s="9"/>
      <c r="I351" s="9"/>
      <c r="J351" s="9"/>
      <c r="K351" s="9"/>
      <c r="L351" s="9">
        <v>1</v>
      </c>
      <c r="M351" s="9"/>
      <c r="N351" s="9"/>
    </row>
    <row r="352" spans="1:14" x14ac:dyDescent="0.25">
      <c r="A352" s="8" t="s">
        <v>804</v>
      </c>
      <c r="B352" s="9">
        <v>1</v>
      </c>
      <c r="C352" s="9">
        <v>1</v>
      </c>
      <c r="D352" s="9">
        <v>1</v>
      </c>
      <c r="E352" s="9"/>
      <c r="F352" s="9"/>
      <c r="G352" s="9"/>
      <c r="H352" s="9"/>
      <c r="I352" s="9"/>
      <c r="J352" s="9"/>
      <c r="K352" s="9"/>
      <c r="L352" s="9">
        <v>1</v>
      </c>
      <c r="M352" s="9"/>
      <c r="N352" s="9"/>
    </row>
    <row r="353" spans="1:14" x14ac:dyDescent="0.25">
      <c r="A353" s="8" t="s">
        <v>921</v>
      </c>
      <c r="B353" s="9">
        <v>1</v>
      </c>
      <c r="C353" s="9">
        <v>1</v>
      </c>
      <c r="D353" s="9"/>
      <c r="E353" s="9"/>
      <c r="F353" s="9"/>
      <c r="G353" s="9"/>
      <c r="H353" s="9"/>
      <c r="I353" s="9"/>
      <c r="J353" s="9"/>
      <c r="K353" s="9"/>
      <c r="L353" s="9"/>
      <c r="M353" s="9"/>
      <c r="N353" s="9">
        <v>1</v>
      </c>
    </row>
    <row r="354" spans="1:14" ht="45" x14ac:dyDescent="0.25">
      <c r="A354" s="8" t="s">
        <v>342</v>
      </c>
      <c r="B354" s="9">
        <v>1</v>
      </c>
      <c r="C354" s="9">
        <v>1</v>
      </c>
      <c r="D354" s="9"/>
      <c r="E354" s="9"/>
      <c r="F354" s="9"/>
      <c r="G354" s="9"/>
      <c r="H354" s="9"/>
      <c r="I354" s="9"/>
      <c r="J354" s="9"/>
      <c r="K354" s="9"/>
      <c r="L354" s="9"/>
      <c r="M354" s="9"/>
      <c r="N354" s="9">
        <v>1</v>
      </c>
    </row>
    <row r="355" spans="1:14" x14ac:dyDescent="0.25">
      <c r="A355" s="8" t="s">
        <v>804</v>
      </c>
      <c r="B355" s="9">
        <v>1</v>
      </c>
      <c r="C355" s="9">
        <v>1</v>
      </c>
      <c r="D355" s="9"/>
      <c r="E355" s="9"/>
      <c r="F355" s="9"/>
      <c r="G355" s="9"/>
      <c r="H355" s="9"/>
      <c r="I355" s="9"/>
      <c r="J355" s="9"/>
      <c r="K355" s="9"/>
      <c r="L355" s="9"/>
      <c r="M355" s="9"/>
      <c r="N355" s="9">
        <v>1</v>
      </c>
    </row>
    <row r="356" spans="1:14" x14ac:dyDescent="0.25">
      <c r="A356" s="8" t="s">
        <v>922</v>
      </c>
      <c r="B356" s="9">
        <v>1</v>
      </c>
      <c r="C356" s="9">
        <v>1</v>
      </c>
      <c r="D356" s="9"/>
      <c r="E356" s="9"/>
      <c r="F356" s="9"/>
      <c r="G356" s="9"/>
      <c r="H356" s="9"/>
      <c r="I356" s="9"/>
      <c r="J356" s="9"/>
      <c r="K356" s="9"/>
      <c r="L356" s="9"/>
      <c r="M356" s="9"/>
      <c r="N356" s="9">
        <v>1</v>
      </c>
    </row>
    <row r="357" spans="1:14" ht="30" x14ac:dyDescent="0.25">
      <c r="A357" s="8" t="s">
        <v>345</v>
      </c>
      <c r="B357" s="9">
        <v>1</v>
      </c>
      <c r="C357" s="9">
        <v>1</v>
      </c>
      <c r="D357" s="9"/>
      <c r="E357" s="9"/>
      <c r="F357" s="9"/>
      <c r="G357" s="9"/>
      <c r="H357" s="9"/>
      <c r="I357" s="9"/>
      <c r="J357" s="9"/>
      <c r="K357" s="9"/>
      <c r="L357" s="9"/>
      <c r="M357" s="9"/>
      <c r="N357" s="9">
        <v>1</v>
      </c>
    </row>
    <row r="358" spans="1:14" x14ac:dyDescent="0.25">
      <c r="A358" s="8" t="s">
        <v>804</v>
      </c>
      <c r="B358" s="9">
        <v>1</v>
      </c>
      <c r="C358" s="9">
        <v>1</v>
      </c>
      <c r="D358" s="9"/>
      <c r="E358" s="9"/>
      <c r="F358" s="9"/>
      <c r="G358" s="9"/>
      <c r="H358" s="9"/>
      <c r="I358" s="9"/>
      <c r="J358" s="9"/>
      <c r="K358" s="9"/>
      <c r="L358" s="9"/>
      <c r="M358" s="9"/>
      <c r="N358" s="9">
        <v>1</v>
      </c>
    </row>
    <row r="359" spans="1:14" x14ac:dyDescent="0.25">
      <c r="A359" s="8" t="s">
        <v>923</v>
      </c>
      <c r="B359" s="9">
        <v>1</v>
      </c>
      <c r="C359" s="9">
        <v>1</v>
      </c>
      <c r="D359" s="9">
        <v>1</v>
      </c>
      <c r="E359" s="9"/>
      <c r="F359" s="9"/>
      <c r="G359" s="9"/>
      <c r="H359" s="9"/>
      <c r="I359" s="9"/>
      <c r="J359" s="9"/>
      <c r="K359" s="9"/>
      <c r="L359" s="9">
        <v>1</v>
      </c>
      <c r="M359" s="9"/>
      <c r="N359" s="9"/>
    </row>
    <row r="360" spans="1:14" ht="45" x14ac:dyDescent="0.25">
      <c r="A360" s="8" t="s">
        <v>348</v>
      </c>
      <c r="B360" s="9">
        <v>1</v>
      </c>
      <c r="C360" s="9">
        <v>1</v>
      </c>
      <c r="D360" s="9">
        <v>1</v>
      </c>
      <c r="E360" s="9"/>
      <c r="F360" s="9"/>
      <c r="G360" s="9"/>
      <c r="H360" s="9"/>
      <c r="I360" s="9"/>
      <c r="J360" s="9"/>
      <c r="K360" s="9"/>
      <c r="L360" s="9">
        <v>1</v>
      </c>
      <c r="M360" s="9"/>
      <c r="N360" s="9"/>
    </row>
    <row r="361" spans="1:14" x14ac:dyDescent="0.25">
      <c r="A361" s="8" t="s">
        <v>804</v>
      </c>
      <c r="B361" s="9">
        <v>1</v>
      </c>
      <c r="C361" s="9">
        <v>1</v>
      </c>
      <c r="D361" s="9">
        <v>1</v>
      </c>
      <c r="E361" s="9"/>
      <c r="F361" s="9"/>
      <c r="G361" s="9"/>
      <c r="H361" s="9"/>
      <c r="I361" s="9"/>
      <c r="J361" s="9"/>
      <c r="K361" s="9"/>
      <c r="L361" s="9">
        <v>1</v>
      </c>
      <c r="M361" s="9"/>
      <c r="N361" s="9"/>
    </row>
    <row r="362" spans="1:14" x14ac:dyDescent="0.25">
      <c r="A362" s="8" t="s">
        <v>924</v>
      </c>
      <c r="B362" s="9">
        <v>1</v>
      </c>
      <c r="C362" s="9">
        <v>1</v>
      </c>
      <c r="D362" s="9"/>
      <c r="E362" s="9"/>
      <c r="F362" s="9"/>
      <c r="G362" s="9"/>
      <c r="H362" s="9"/>
      <c r="I362" s="9"/>
      <c r="J362" s="9"/>
      <c r="K362" s="9"/>
      <c r="L362" s="9"/>
      <c r="M362" s="9"/>
      <c r="N362" s="9">
        <v>1</v>
      </c>
    </row>
    <row r="363" spans="1:14" ht="45" x14ac:dyDescent="0.25">
      <c r="A363" s="8" t="s">
        <v>351</v>
      </c>
      <c r="B363" s="9">
        <v>1</v>
      </c>
      <c r="C363" s="9">
        <v>1</v>
      </c>
      <c r="D363" s="9"/>
      <c r="E363" s="9"/>
      <c r="F363" s="9"/>
      <c r="G363" s="9"/>
      <c r="H363" s="9"/>
      <c r="I363" s="9"/>
      <c r="J363" s="9"/>
      <c r="K363" s="9"/>
      <c r="L363" s="9"/>
      <c r="M363" s="9"/>
      <c r="N363" s="9">
        <v>1</v>
      </c>
    </row>
    <row r="364" spans="1:14" x14ac:dyDescent="0.25">
      <c r="A364" s="8" t="s">
        <v>804</v>
      </c>
      <c r="B364" s="9">
        <v>1</v>
      </c>
      <c r="C364" s="9">
        <v>1</v>
      </c>
      <c r="D364" s="9"/>
      <c r="E364" s="9"/>
      <c r="F364" s="9"/>
      <c r="G364" s="9"/>
      <c r="H364" s="9"/>
      <c r="I364" s="9"/>
      <c r="J364" s="9"/>
      <c r="K364" s="9"/>
      <c r="L364" s="9"/>
      <c r="M364" s="9"/>
      <c r="N364" s="9">
        <v>1</v>
      </c>
    </row>
    <row r="365" spans="1:14" x14ac:dyDescent="0.25">
      <c r="A365" s="8" t="s">
        <v>925</v>
      </c>
      <c r="B365" s="9">
        <v>1</v>
      </c>
      <c r="C365" s="9">
        <v>1</v>
      </c>
      <c r="D365" s="9"/>
      <c r="E365" s="9"/>
      <c r="F365" s="9"/>
      <c r="G365" s="9"/>
      <c r="H365" s="9"/>
      <c r="I365" s="9"/>
      <c r="J365" s="9"/>
      <c r="K365" s="9"/>
      <c r="L365" s="9"/>
      <c r="M365" s="9"/>
      <c r="N365" s="9">
        <v>1</v>
      </c>
    </row>
    <row r="366" spans="1:14" ht="45" x14ac:dyDescent="0.25">
      <c r="A366" s="8" t="s">
        <v>354</v>
      </c>
      <c r="B366" s="9">
        <v>1</v>
      </c>
      <c r="C366" s="9">
        <v>1</v>
      </c>
      <c r="D366" s="9"/>
      <c r="E366" s="9"/>
      <c r="F366" s="9"/>
      <c r="G366" s="9"/>
      <c r="H366" s="9"/>
      <c r="I366" s="9"/>
      <c r="J366" s="9"/>
      <c r="K366" s="9"/>
      <c r="L366" s="9"/>
      <c r="M366" s="9"/>
      <c r="N366" s="9">
        <v>1</v>
      </c>
    </row>
    <row r="367" spans="1:14" x14ac:dyDescent="0.25">
      <c r="A367" s="8" t="s">
        <v>804</v>
      </c>
      <c r="B367" s="9">
        <v>1</v>
      </c>
      <c r="C367" s="9">
        <v>1</v>
      </c>
      <c r="D367" s="9"/>
      <c r="E367" s="9"/>
      <c r="F367" s="9"/>
      <c r="G367" s="9"/>
      <c r="H367" s="9"/>
      <c r="I367" s="9"/>
      <c r="J367" s="9"/>
      <c r="K367" s="9"/>
      <c r="L367" s="9"/>
      <c r="M367" s="9"/>
      <c r="N367" s="9">
        <v>1</v>
      </c>
    </row>
    <row r="368" spans="1:14" x14ac:dyDescent="0.25">
      <c r="A368" s="8" t="s">
        <v>926</v>
      </c>
      <c r="B368" s="9">
        <v>1</v>
      </c>
      <c r="C368" s="9">
        <v>1</v>
      </c>
      <c r="D368" s="9"/>
      <c r="E368" s="9"/>
      <c r="F368" s="9"/>
      <c r="G368" s="9"/>
      <c r="H368" s="9"/>
      <c r="I368" s="9"/>
      <c r="J368" s="9"/>
      <c r="K368" s="9"/>
      <c r="L368" s="9"/>
      <c r="M368" s="9"/>
      <c r="N368" s="9">
        <v>1</v>
      </c>
    </row>
    <row r="369" spans="1:14" ht="60" x14ac:dyDescent="0.25">
      <c r="A369" s="8" t="s">
        <v>357</v>
      </c>
      <c r="B369" s="9">
        <v>1</v>
      </c>
      <c r="C369" s="9">
        <v>1</v>
      </c>
      <c r="D369" s="9"/>
      <c r="E369" s="9"/>
      <c r="F369" s="9"/>
      <c r="G369" s="9"/>
      <c r="H369" s="9"/>
      <c r="I369" s="9"/>
      <c r="J369" s="9"/>
      <c r="K369" s="9"/>
      <c r="L369" s="9"/>
      <c r="M369" s="9"/>
      <c r="N369" s="9">
        <v>1</v>
      </c>
    </row>
    <row r="370" spans="1:14" x14ac:dyDescent="0.25">
      <c r="A370" s="8" t="s">
        <v>804</v>
      </c>
      <c r="B370" s="9">
        <v>1</v>
      </c>
      <c r="C370" s="9">
        <v>1</v>
      </c>
      <c r="D370" s="9"/>
      <c r="E370" s="9"/>
      <c r="F370" s="9"/>
      <c r="G370" s="9"/>
      <c r="H370" s="9"/>
      <c r="I370" s="9"/>
      <c r="J370" s="9"/>
      <c r="K370" s="9"/>
      <c r="L370" s="9"/>
      <c r="M370" s="9"/>
      <c r="N370" s="9">
        <v>1</v>
      </c>
    </row>
    <row r="371" spans="1:14" x14ac:dyDescent="0.25">
      <c r="A371" s="8" t="s">
        <v>927</v>
      </c>
      <c r="B371" s="9">
        <v>1</v>
      </c>
      <c r="C371" s="9">
        <v>1</v>
      </c>
      <c r="D371" s="9">
        <v>1</v>
      </c>
      <c r="E371" s="9"/>
      <c r="F371" s="9"/>
      <c r="G371" s="9"/>
      <c r="H371" s="9"/>
      <c r="I371" s="9"/>
      <c r="J371" s="9">
        <v>1</v>
      </c>
      <c r="K371" s="9"/>
      <c r="L371" s="9"/>
      <c r="M371" s="9"/>
      <c r="N371" s="9"/>
    </row>
    <row r="372" spans="1:14" ht="30" x14ac:dyDescent="0.25">
      <c r="A372" s="8" t="s">
        <v>360</v>
      </c>
      <c r="B372" s="9">
        <v>1</v>
      </c>
      <c r="C372" s="9">
        <v>1</v>
      </c>
      <c r="D372" s="9">
        <v>1</v>
      </c>
      <c r="E372" s="9"/>
      <c r="F372" s="9"/>
      <c r="G372" s="9"/>
      <c r="H372" s="9"/>
      <c r="I372" s="9"/>
      <c r="J372" s="9">
        <v>1</v>
      </c>
      <c r="K372" s="9"/>
      <c r="L372" s="9"/>
      <c r="M372" s="9"/>
      <c r="N372" s="9"/>
    </row>
    <row r="373" spans="1:14" x14ac:dyDescent="0.25">
      <c r="A373" s="8" t="s">
        <v>804</v>
      </c>
      <c r="B373" s="9">
        <v>1</v>
      </c>
      <c r="C373" s="9">
        <v>1</v>
      </c>
      <c r="D373" s="9">
        <v>1</v>
      </c>
      <c r="E373" s="9"/>
      <c r="F373" s="9"/>
      <c r="G373" s="9"/>
      <c r="H373" s="9"/>
      <c r="I373" s="9"/>
      <c r="J373" s="9">
        <v>1</v>
      </c>
      <c r="K373" s="9"/>
      <c r="L373" s="9"/>
      <c r="M373" s="9"/>
      <c r="N373" s="9"/>
    </row>
    <row r="374" spans="1:14" x14ac:dyDescent="0.25">
      <c r="A374" s="8" t="s">
        <v>928</v>
      </c>
      <c r="B374" s="9">
        <v>1</v>
      </c>
      <c r="C374" s="9">
        <v>1</v>
      </c>
      <c r="D374" s="9"/>
      <c r="E374" s="9"/>
      <c r="F374" s="9"/>
      <c r="G374" s="9"/>
      <c r="H374" s="9"/>
      <c r="I374" s="9"/>
      <c r="J374" s="9"/>
      <c r="K374" s="9"/>
      <c r="L374" s="9"/>
      <c r="M374" s="9"/>
      <c r="N374" s="9">
        <v>1</v>
      </c>
    </row>
    <row r="375" spans="1:14" ht="30" x14ac:dyDescent="0.25">
      <c r="A375" s="8" t="s">
        <v>366</v>
      </c>
      <c r="B375" s="9">
        <v>1</v>
      </c>
      <c r="C375" s="9">
        <v>1</v>
      </c>
      <c r="D375" s="9"/>
      <c r="E375" s="9"/>
      <c r="F375" s="9"/>
      <c r="G375" s="9"/>
      <c r="H375" s="9"/>
      <c r="I375" s="9"/>
      <c r="J375" s="9"/>
      <c r="K375" s="9"/>
      <c r="L375" s="9"/>
      <c r="M375" s="9"/>
      <c r="N375" s="9">
        <v>1</v>
      </c>
    </row>
    <row r="376" spans="1:14" x14ac:dyDescent="0.25">
      <c r="A376" s="8" t="s">
        <v>804</v>
      </c>
      <c r="B376" s="9">
        <v>1</v>
      </c>
      <c r="C376" s="9">
        <v>1</v>
      </c>
      <c r="D376" s="9"/>
      <c r="E376" s="9"/>
      <c r="F376" s="9"/>
      <c r="G376" s="9"/>
      <c r="H376" s="9"/>
      <c r="I376" s="9"/>
      <c r="J376" s="9"/>
      <c r="K376" s="9"/>
      <c r="L376" s="9"/>
      <c r="M376" s="9"/>
      <c r="N376" s="9">
        <v>1</v>
      </c>
    </row>
    <row r="377" spans="1:14" x14ac:dyDescent="0.25">
      <c r="A377" s="8" t="s">
        <v>929</v>
      </c>
      <c r="B377" s="9">
        <v>1</v>
      </c>
      <c r="C377" s="9">
        <v>1</v>
      </c>
      <c r="D377" s="9"/>
      <c r="E377" s="9"/>
      <c r="F377" s="9"/>
      <c r="G377" s="9"/>
      <c r="H377" s="9"/>
      <c r="I377" s="9"/>
      <c r="J377" s="9"/>
      <c r="K377" s="9"/>
      <c r="L377" s="9"/>
      <c r="M377" s="9"/>
      <c r="N377" s="9">
        <v>1</v>
      </c>
    </row>
    <row r="378" spans="1:14" ht="45" x14ac:dyDescent="0.25">
      <c r="A378" s="8" t="s">
        <v>370</v>
      </c>
      <c r="B378" s="9">
        <v>1</v>
      </c>
      <c r="C378" s="9">
        <v>1</v>
      </c>
      <c r="D378" s="9"/>
      <c r="E378" s="9"/>
      <c r="F378" s="9"/>
      <c r="G378" s="9"/>
      <c r="H378" s="9"/>
      <c r="I378" s="9"/>
      <c r="J378" s="9"/>
      <c r="K378" s="9"/>
      <c r="L378" s="9"/>
      <c r="M378" s="9"/>
      <c r="N378" s="9">
        <v>1</v>
      </c>
    </row>
    <row r="379" spans="1:14" x14ac:dyDescent="0.25">
      <c r="A379" s="8" t="s">
        <v>804</v>
      </c>
      <c r="B379" s="9">
        <v>1</v>
      </c>
      <c r="C379" s="9">
        <v>1</v>
      </c>
      <c r="D379" s="9"/>
      <c r="E379" s="9"/>
      <c r="F379" s="9"/>
      <c r="G379" s="9"/>
      <c r="H379" s="9"/>
      <c r="I379" s="9"/>
      <c r="J379" s="9"/>
      <c r="K379" s="9"/>
      <c r="L379" s="9"/>
      <c r="M379" s="9"/>
      <c r="N379" s="9">
        <v>1</v>
      </c>
    </row>
    <row r="380" spans="1:14" x14ac:dyDescent="0.25">
      <c r="A380" s="8" t="s">
        <v>930</v>
      </c>
      <c r="B380" s="9">
        <v>1</v>
      </c>
      <c r="C380" s="9">
        <v>1</v>
      </c>
      <c r="D380" s="9"/>
      <c r="E380" s="9"/>
      <c r="F380" s="9"/>
      <c r="G380" s="9"/>
      <c r="H380" s="9"/>
      <c r="I380" s="9"/>
      <c r="J380" s="9"/>
      <c r="K380" s="9"/>
      <c r="L380" s="9"/>
      <c r="M380" s="9"/>
      <c r="N380" s="9">
        <v>1</v>
      </c>
    </row>
    <row r="381" spans="1:14" ht="30" x14ac:dyDescent="0.25">
      <c r="A381" s="8" t="s">
        <v>373</v>
      </c>
      <c r="B381" s="9">
        <v>1</v>
      </c>
      <c r="C381" s="9">
        <v>1</v>
      </c>
      <c r="D381" s="9"/>
      <c r="E381" s="9"/>
      <c r="F381" s="9"/>
      <c r="G381" s="9"/>
      <c r="H381" s="9"/>
      <c r="I381" s="9"/>
      <c r="J381" s="9"/>
      <c r="K381" s="9"/>
      <c r="L381" s="9"/>
      <c r="M381" s="9"/>
      <c r="N381" s="9">
        <v>1</v>
      </c>
    </row>
    <row r="382" spans="1:14" x14ac:dyDescent="0.25">
      <c r="A382" s="8" t="s">
        <v>804</v>
      </c>
      <c r="B382" s="9">
        <v>1</v>
      </c>
      <c r="C382" s="9">
        <v>1</v>
      </c>
      <c r="D382" s="9"/>
      <c r="E382" s="9"/>
      <c r="F382" s="9"/>
      <c r="G382" s="9"/>
      <c r="H382" s="9"/>
      <c r="I382" s="9"/>
      <c r="J382" s="9"/>
      <c r="K382" s="9"/>
      <c r="L382" s="9"/>
      <c r="M382" s="9"/>
      <c r="N382" s="9">
        <v>1</v>
      </c>
    </row>
    <row r="383" spans="1:14" x14ac:dyDescent="0.25">
      <c r="A383" s="8" t="s">
        <v>931</v>
      </c>
      <c r="B383" s="9">
        <v>1</v>
      </c>
      <c r="C383" s="9">
        <v>1</v>
      </c>
      <c r="D383" s="9"/>
      <c r="E383" s="9"/>
      <c r="F383" s="9"/>
      <c r="G383" s="9"/>
      <c r="H383" s="9"/>
      <c r="I383" s="9"/>
      <c r="J383" s="9"/>
      <c r="K383" s="9">
        <v>1</v>
      </c>
      <c r="L383" s="9"/>
      <c r="M383" s="9"/>
      <c r="N383" s="9"/>
    </row>
    <row r="384" spans="1:14" ht="30" x14ac:dyDescent="0.25">
      <c r="A384" s="8" t="s">
        <v>374</v>
      </c>
      <c r="B384" s="9">
        <v>1</v>
      </c>
      <c r="C384" s="9">
        <v>1</v>
      </c>
      <c r="D384" s="9"/>
      <c r="E384" s="9"/>
      <c r="F384" s="9"/>
      <c r="G384" s="9"/>
      <c r="H384" s="9"/>
      <c r="I384" s="9"/>
      <c r="J384" s="9"/>
      <c r="K384" s="9">
        <v>1</v>
      </c>
      <c r="L384" s="9"/>
      <c r="M384" s="9"/>
      <c r="N384" s="9"/>
    </row>
    <row r="385" spans="1:14" x14ac:dyDescent="0.25">
      <c r="A385" s="8" t="s">
        <v>804</v>
      </c>
      <c r="B385" s="9">
        <v>1</v>
      </c>
      <c r="C385" s="9">
        <v>1</v>
      </c>
      <c r="D385" s="9"/>
      <c r="E385" s="9"/>
      <c r="F385" s="9"/>
      <c r="G385" s="9"/>
      <c r="H385" s="9"/>
      <c r="I385" s="9"/>
      <c r="J385" s="9"/>
      <c r="K385" s="9">
        <v>1</v>
      </c>
      <c r="L385" s="9"/>
      <c r="M385" s="9"/>
      <c r="N385" s="9"/>
    </row>
    <row r="386" spans="1:14" x14ac:dyDescent="0.25">
      <c r="A386" s="8" t="s">
        <v>932</v>
      </c>
      <c r="B386" s="9">
        <v>1</v>
      </c>
      <c r="C386" s="9">
        <v>1</v>
      </c>
      <c r="D386" s="9"/>
      <c r="E386" s="9"/>
      <c r="F386" s="9"/>
      <c r="G386" s="9"/>
      <c r="H386" s="9"/>
      <c r="I386" s="9"/>
      <c r="J386" s="9"/>
      <c r="K386" s="9"/>
      <c r="L386" s="9"/>
      <c r="M386" s="9"/>
      <c r="N386" s="9">
        <v>1</v>
      </c>
    </row>
    <row r="387" spans="1:14" ht="30" x14ac:dyDescent="0.25">
      <c r="A387" s="8" t="s">
        <v>378</v>
      </c>
      <c r="B387" s="9">
        <v>1</v>
      </c>
      <c r="C387" s="9">
        <v>1</v>
      </c>
      <c r="D387" s="9"/>
      <c r="E387" s="9"/>
      <c r="F387" s="9"/>
      <c r="G387" s="9"/>
      <c r="H387" s="9"/>
      <c r="I387" s="9"/>
      <c r="J387" s="9"/>
      <c r="K387" s="9"/>
      <c r="L387" s="9"/>
      <c r="M387" s="9"/>
      <c r="N387" s="9">
        <v>1</v>
      </c>
    </row>
    <row r="388" spans="1:14" x14ac:dyDescent="0.25">
      <c r="A388" s="8" t="s">
        <v>804</v>
      </c>
      <c r="B388" s="9">
        <v>1</v>
      </c>
      <c r="C388" s="9">
        <v>1</v>
      </c>
      <c r="D388" s="9"/>
      <c r="E388" s="9"/>
      <c r="F388" s="9"/>
      <c r="G388" s="9"/>
      <c r="H388" s="9"/>
      <c r="I388" s="9"/>
      <c r="J388" s="9"/>
      <c r="K388" s="9"/>
      <c r="L388" s="9"/>
      <c r="M388" s="9"/>
      <c r="N388" s="9">
        <v>1</v>
      </c>
    </row>
    <row r="389" spans="1:14" x14ac:dyDescent="0.25">
      <c r="A389" s="8" t="s">
        <v>933</v>
      </c>
      <c r="B389" s="9">
        <v>1</v>
      </c>
      <c r="C389" s="9">
        <v>1</v>
      </c>
      <c r="D389" s="9"/>
      <c r="E389" s="9"/>
      <c r="F389" s="9"/>
      <c r="G389" s="9"/>
      <c r="H389" s="9"/>
      <c r="I389" s="9"/>
      <c r="J389" s="9"/>
      <c r="K389" s="9"/>
      <c r="L389" s="9"/>
      <c r="M389" s="9"/>
      <c r="N389" s="9">
        <v>1</v>
      </c>
    </row>
    <row r="390" spans="1:14" ht="30" x14ac:dyDescent="0.25">
      <c r="A390" s="8" t="s">
        <v>379</v>
      </c>
      <c r="B390" s="9">
        <v>1</v>
      </c>
      <c r="C390" s="9">
        <v>1</v>
      </c>
      <c r="D390" s="9"/>
      <c r="E390" s="9"/>
      <c r="F390" s="9"/>
      <c r="G390" s="9"/>
      <c r="H390" s="9"/>
      <c r="I390" s="9"/>
      <c r="J390" s="9"/>
      <c r="K390" s="9"/>
      <c r="L390" s="9"/>
      <c r="M390" s="9"/>
      <c r="N390" s="9">
        <v>1</v>
      </c>
    </row>
    <row r="391" spans="1:14" x14ac:dyDescent="0.25">
      <c r="A391" s="8" t="s">
        <v>804</v>
      </c>
      <c r="B391" s="9">
        <v>1</v>
      </c>
      <c r="C391" s="9">
        <v>1</v>
      </c>
      <c r="D391" s="9"/>
      <c r="E391" s="9"/>
      <c r="F391" s="9"/>
      <c r="G391" s="9"/>
      <c r="H391" s="9"/>
      <c r="I391" s="9"/>
      <c r="J391" s="9"/>
      <c r="K391" s="9"/>
      <c r="L391" s="9"/>
      <c r="M391" s="9"/>
      <c r="N391" s="9">
        <v>1</v>
      </c>
    </row>
    <row r="392" spans="1:14" x14ac:dyDescent="0.25">
      <c r="A392" s="8" t="s">
        <v>934</v>
      </c>
      <c r="B392" s="9">
        <v>1</v>
      </c>
      <c r="C392" s="9">
        <v>1</v>
      </c>
      <c r="D392" s="9"/>
      <c r="E392" s="9"/>
      <c r="F392" s="9"/>
      <c r="G392" s="9"/>
      <c r="H392" s="9"/>
      <c r="I392" s="9"/>
      <c r="J392" s="9"/>
      <c r="K392" s="9"/>
      <c r="L392" s="9"/>
      <c r="M392" s="9"/>
      <c r="N392" s="9">
        <v>1</v>
      </c>
    </row>
    <row r="393" spans="1:14" ht="30" x14ac:dyDescent="0.25">
      <c r="A393" s="8" t="s">
        <v>382</v>
      </c>
      <c r="B393" s="9">
        <v>1</v>
      </c>
      <c r="C393" s="9">
        <v>1</v>
      </c>
      <c r="D393" s="9"/>
      <c r="E393" s="9"/>
      <c r="F393" s="9"/>
      <c r="G393" s="9"/>
      <c r="H393" s="9"/>
      <c r="I393" s="9"/>
      <c r="J393" s="9"/>
      <c r="K393" s="9"/>
      <c r="L393" s="9"/>
      <c r="M393" s="9"/>
      <c r="N393" s="9">
        <v>1</v>
      </c>
    </row>
    <row r="394" spans="1:14" x14ac:dyDescent="0.25">
      <c r="A394" s="8" t="s">
        <v>804</v>
      </c>
      <c r="B394" s="9">
        <v>1</v>
      </c>
      <c r="C394" s="9">
        <v>1</v>
      </c>
      <c r="D394" s="9"/>
      <c r="E394" s="9"/>
      <c r="F394" s="9"/>
      <c r="G394" s="9"/>
      <c r="H394" s="9"/>
      <c r="I394" s="9"/>
      <c r="J394" s="9"/>
      <c r="K394" s="9"/>
      <c r="L394" s="9"/>
      <c r="M394" s="9"/>
      <c r="N394" s="9">
        <v>1</v>
      </c>
    </row>
    <row r="395" spans="1:14" x14ac:dyDescent="0.25">
      <c r="A395" s="8" t="s">
        <v>935</v>
      </c>
      <c r="B395" s="9">
        <v>1</v>
      </c>
      <c r="C395" s="9">
        <v>1</v>
      </c>
      <c r="D395" s="9"/>
      <c r="E395" s="9"/>
      <c r="F395" s="9"/>
      <c r="G395" s="9"/>
      <c r="H395" s="9"/>
      <c r="I395" s="9"/>
      <c r="J395" s="9"/>
      <c r="K395" s="9"/>
      <c r="L395" s="9"/>
      <c r="M395" s="9">
        <v>1</v>
      </c>
      <c r="N395" s="9"/>
    </row>
    <row r="396" spans="1:14" ht="75" x14ac:dyDescent="0.25">
      <c r="A396" s="8" t="s">
        <v>383</v>
      </c>
      <c r="B396" s="9">
        <v>1</v>
      </c>
      <c r="C396" s="9">
        <v>1</v>
      </c>
      <c r="D396" s="9"/>
      <c r="E396" s="9"/>
      <c r="F396" s="9"/>
      <c r="G396" s="9"/>
      <c r="H396" s="9"/>
      <c r="I396" s="9"/>
      <c r="J396" s="9"/>
      <c r="K396" s="9"/>
      <c r="L396" s="9"/>
      <c r="M396" s="9">
        <v>1</v>
      </c>
      <c r="N396" s="9"/>
    </row>
    <row r="397" spans="1:14" x14ac:dyDescent="0.25">
      <c r="A397" s="8" t="s">
        <v>804</v>
      </c>
      <c r="B397" s="9">
        <v>1</v>
      </c>
      <c r="C397" s="9">
        <v>1</v>
      </c>
      <c r="D397" s="9"/>
      <c r="E397" s="9"/>
      <c r="F397" s="9"/>
      <c r="G397" s="9"/>
      <c r="H397" s="9"/>
      <c r="I397" s="9"/>
      <c r="J397" s="9"/>
      <c r="K397" s="9"/>
      <c r="L397" s="9"/>
      <c r="M397" s="9">
        <v>1</v>
      </c>
      <c r="N397" s="9"/>
    </row>
    <row r="398" spans="1:14" x14ac:dyDescent="0.25">
      <c r="A398" s="8" t="s">
        <v>936</v>
      </c>
      <c r="B398" s="9">
        <v>1</v>
      </c>
      <c r="C398" s="9">
        <v>1</v>
      </c>
      <c r="D398" s="9"/>
      <c r="E398" s="9"/>
      <c r="F398" s="9"/>
      <c r="G398" s="9"/>
      <c r="H398" s="9"/>
      <c r="I398" s="9"/>
      <c r="J398" s="9"/>
      <c r="K398" s="9">
        <v>1</v>
      </c>
      <c r="L398" s="9"/>
      <c r="M398" s="9"/>
      <c r="N398" s="9"/>
    </row>
    <row r="399" spans="1:14" ht="105" x14ac:dyDescent="0.25">
      <c r="A399" s="8" t="s">
        <v>387</v>
      </c>
      <c r="B399" s="9">
        <v>1</v>
      </c>
      <c r="C399" s="9">
        <v>1</v>
      </c>
      <c r="D399" s="9"/>
      <c r="E399" s="9"/>
      <c r="F399" s="9"/>
      <c r="G399" s="9"/>
      <c r="H399" s="9"/>
      <c r="I399" s="9"/>
      <c r="J399" s="9"/>
      <c r="K399" s="9">
        <v>1</v>
      </c>
      <c r="L399" s="9"/>
      <c r="M399" s="9"/>
      <c r="N399" s="9"/>
    </row>
    <row r="400" spans="1:14" x14ac:dyDescent="0.25">
      <c r="A400" s="8" t="s">
        <v>804</v>
      </c>
      <c r="B400" s="9">
        <v>1</v>
      </c>
      <c r="C400" s="9">
        <v>1</v>
      </c>
      <c r="D400" s="9"/>
      <c r="E400" s="9"/>
      <c r="F400" s="9"/>
      <c r="G400" s="9"/>
      <c r="H400" s="9"/>
      <c r="I400" s="9"/>
      <c r="J400" s="9"/>
      <c r="K400" s="9">
        <v>1</v>
      </c>
      <c r="L400" s="9"/>
      <c r="M400" s="9"/>
      <c r="N400" s="9"/>
    </row>
    <row r="401" spans="1:14" x14ac:dyDescent="0.25">
      <c r="A401" s="8" t="s">
        <v>937</v>
      </c>
      <c r="B401" s="9">
        <v>1</v>
      </c>
      <c r="C401" s="9">
        <v>1</v>
      </c>
      <c r="D401" s="9"/>
      <c r="E401" s="9"/>
      <c r="F401" s="9"/>
      <c r="G401" s="9"/>
      <c r="H401" s="9"/>
      <c r="I401" s="9"/>
      <c r="J401" s="9"/>
      <c r="K401" s="9"/>
      <c r="L401" s="9"/>
      <c r="M401" s="9"/>
      <c r="N401" s="9">
        <v>1</v>
      </c>
    </row>
    <row r="402" spans="1:14" ht="30" x14ac:dyDescent="0.25">
      <c r="A402" s="8" t="s">
        <v>391</v>
      </c>
      <c r="B402" s="9">
        <v>1</v>
      </c>
      <c r="C402" s="9">
        <v>1</v>
      </c>
      <c r="D402" s="9"/>
      <c r="E402" s="9"/>
      <c r="F402" s="9"/>
      <c r="G402" s="9"/>
      <c r="H402" s="9"/>
      <c r="I402" s="9"/>
      <c r="J402" s="9"/>
      <c r="K402" s="9"/>
      <c r="L402" s="9"/>
      <c r="M402" s="9"/>
      <c r="N402" s="9">
        <v>1</v>
      </c>
    </row>
    <row r="403" spans="1:14" x14ac:dyDescent="0.25">
      <c r="A403" s="8" t="s">
        <v>804</v>
      </c>
      <c r="B403" s="9">
        <v>1</v>
      </c>
      <c r="C403" s="9">
        <v>1</v>
      </c>
      <c r="D403" s="9"/>
      <c r="E403" s="9"/>
      <c r="F403" s="9"/>
      <c r="G403" s="9"/>
      <c r="H403" s="9"/>
      <c r="I403" s="9"/>
      <c r="J403" s="9"/>
      <c r="K403" s="9"/>
      <c r="L403" s="9"/>
      <c r="M403" s="9"/>
      <c r="N403" s="9">
        <v>1</v>
      </c>
    </row>
    <row r="404" spans="1:14" x14ac:dyDescent="0.25">
      <c r="A404" s="8" t="s">
        <v>938</v>
      </c>
      <c r="B404" s="9">
        <v>1</v>
      </c>
      <c r="C404" s="9">
        <v>1</v>
      </c>
      <c r="D404" s="9"/>
      <c r="E404" s="9"/>
      <c r="F404" s="9"/>
      <c r="G404" s="9"/>
      <c r="H404" s="9"/>
      <c r="I404" s="9"/>
      <c r="J404" s="9"/>
      <c r="K404" s="9"/>
      <c r="L404" s="9">
        <v>1</v>
      </c>
      <c r="M404" s="9"/>
      <c r="N404" s="9"/>
    </row>
    <row r="405" spans="1:14" ht="45" x14ac:dyDescent="0.25">
      <c r="A405" s="8" t="s">
        <v>392</v>
      </c>
      <c r="B405" s="9">
        <v>1</v>
      </c>
      <c r="C405" s="9">
        <v>1</v>
      </c>
      <c r="D405" s="9"/>
      <c r="E405" s="9"/>
      <c r="F405" s="9"/>
      <c r="G405" s="9"/>
      <c r="H405" s="9"/>
      <c r="I405" s="9"/>
      <c r="J405" s="9"/>
      <c r="K405" s="9"/>
      <c r="L405" s="9">
        <v>1</v>
      </c>
      <c r="M405" s="9"/>
      <c r="N405" s="9"/>
    </row>
    <row r="406" spans="1:14" x14ac:dyDescent="0.25">
      <c r="A406" s="8" t="s">
        <v>804</v>
      </c>
      <c r="B406" s="9">
        <v>1</v>
      </c>
      <c r="C406" s="9">
        <v>1</v>
      </c>
      <c r="D406" s="9"/>
      <c r="E406" s="9"/>
      <c r="F406" s="9"/>
      <c r="G406" s="9"/>
      <c r="H406" s="9"/>
      <c r="I406" s="9"/>
      <c r="J406" s="9"/>
      <c r="K406" s="9"/>
      <c r="L406" s="9">
        <v>1</v>
      </c>
      <c r="M406" s="9"/>
      <c r="N406" s="9"/>
    </row>
    <row r="407" spans="1:14" x14ac:dyDescent="0.25">
      <c r="A407" s="8" t="s">
        <v>939</v>
      </c>
      <c r="B407" s="9">
        <v>1</v>
      </c>
      <c r="C407" s="9">
        <v>1</v>
      </c>
      <c r="D407" s="9"/>
      <c r="E407" s="9"/>
      <c r="F407" s="9"/>
      <c r="G407" s="9"/>
      <c r="H407" s="9"/>
      <c r="I407" s="9"/>
      <c r="J407" s="9"/>
      <c r="K407" s="9"/>
      <c r="L407" s="9"/>
      <c r="M407" s="9"/>
      <c r="N407" s="9">
        <v>1</v>
      </c>
    </row>
    <row r="408" spans="1:14" ht="30" x14ac:dyDescent="0.25">
      <c r="A408" s="8" t="s">
        <v>393</v>
      </c>
      <c r="B408" s="9">
        <v>1</v>
      </c>
      <c r="C408" s="9">
        <v>1</v>
      </c>
      <c r="D408" s="9"/>
      <c r="E408" s="9"/>
      <c r="F408" s="9"/>
      <c r="G408" s="9"/>
      <c r="H408" s="9"/>
      <c r="I408" s="9"/>
      <c r="J408" s="9"/>
      <c r="K408" s="9"/>
      <c r="L408" s="9"/>
      <c r="M408" s="9"/>
      <c r="N408" s="9">
        <v>1</v>
      </c>
    </row>
    <row r="409" spans="1:14" x14ac:dyDescent="0.25">
      <c r="A409" s="8" t="s">
        <v>804</v>
      </c>
      <c r="B409" s="9">
        <v>1</v>
      </c>
      <c r="C409" s="9">
        <v>1</v>
      </c>
      <c r="D409" s="9"/>
      <c r="E409" s="9"/>
      <c r="F409" s="9"/>
      <c r="G409" s="9"/>
      <c r="H409" s="9"/>
      <c r="I409" s="9"/>
      <c r="J409" s="9"/>
      <c r="K409" s="9"/>
      <c r="L409" s="9"/>
      <c r="M409" s="9"/>
      <c r="N409" s="9">
        <v>1</v>
      </c>
    </row>
    <row r="410" spans="1:14" x14ac:dyDescent="0.25">
      <c r="A410" s="8" t="s">
        <v>940</v>
      </c>
      <c r="B410" s="9">
        <v>1</v>
      </c>
      <c r="C410" s="9">
        <v>1</v>
      </c>
      <c r="D410" s="9"/>
      <c r="E410" s="9"/>
      <c r="F410" s="9"/>
      <c r="G410" s="9"/>
      <c r="H410" s="9"/>
      <c r="I410" s="9"/>
      <c r="J410" s="9"/>
      <c r="K410" s="9"/>
      <c r="L410" s="9"/>
      <c r="M410" s="9"/>
      <c r="N410" s="9">
        <v>1</v>
      </c>
    </row>
    <row r="411" spans="1:14" ht="30" x14ac:dyDescent="0.25">
      <c r="A411" s="8" t="s">
        <v>394</v>
      </c>
      <c r="B411" s="9">
        <v>1</v>
      </c>
      <c r="C411" s="9">
        <v>1</v>
      </c>
      <c r="D411" s="9"/>
      <c r="E411" s="9"/>
      <c r="F411" s="9"/>
      <c r="G411" s="9"/>
      <c r="H411" s="9"/>
      <c r="I411" s="9"/>
      <c r="J411" s="9"/>
      <c r="K411" s="9"/>
      <c r="L411" s="9"/>
      <c r="M411" s="9"/>
      <c r="N411" s="9">
        <v>1</v>
      </c>
    </row>
    <row r="412" spans="1:14" x14ac:dyDescent="0.25">
      <c r="A412" s="8" t="s">
        <v>804</v>
      </c>
      <c r="B412" s="9">
        <v>1</v>
      </c>
      <c r="C412" s="9">
        <v>1</v>
      </c>
      <c r="D412" s="9"/>
      <c r="E412" s="9"/>
      <c r="F412" s="9"/>
      <c r="G412" s="9"/>
      <c r="H412" s="9"/>
      <c r="I412" s="9"/>
      <c r="J412" s="9"/>
      <c r="K412" s="9"/>
      <c r="L412" s="9"/>
      <c r="M412" s="9"/>
      <c r="N412" s="9">
        <v>1</v>
      </c>
    </row>
    <row r="413" spans="1:14" x14ac:dyDescent="0.25">
      <c r="A413" s="8" t="s">
        <v>941</v>
      </c>
      <c r="B413" s="9">
        <v>1</v>
      </c>
      <c r="C413" s="9">
        <v>1</v>
      </c>
      <c r="D413" s="9"/>
      <c r="E413" s="9"/>
      <c r="F413" s="9"/>
      <c r="G413" s="9"/>
      <c r="H413" s="9"/>
      <c r="I413" s="9"/>
      <c r="J413" s="9"/>
      <c r="K413" s="9"/>
      <c r="L413" s="9"/>
      <c r="M413" s="9">
        <v>1</v>
      </c>
      <c r="N413" s="9"/>
    </row>
    <row r="414" spans="1:14" ht="75" x14ac:dyDescent="0.25">
      <c r="A414" s="8" t="s">
        <v>395</v>
      </c>
      <c r="B414" s="9">
        <v>1</v>
      </c>
      <c r="C414" s="9">
        <v>1</v>
      </c>
      <c r="D414" s="9"/>
      <c r="E414" s="9"/>
      <c r="F414" s="9"/>
      <c r="G414" s="9"/>
      <c r="H414" s="9"/>
      <c r="I414" s="9"/>
      <c r="J414" s="9"/>
      <c r="K414" s="9"/>
      <c r="L414" s="9"/>
      <c r="M414" s="9">
        <v>1</v>
      </c>
      <c r="N414" s="9"/>
    </row>
    <row r="415" spans="1:14" x14ac:dyDescent="0.25">
      <c r="A415" s="8" t="s">
        <v>804</v>
      </c>
      <c r="B415" s="9">
        <v>1</v>
      </c>
      <c r="C415" s="9">
        <v>1</v>
      </c>
      <c r="D415" s="9"/>
      <c r="E415" s="9"/>
      <c r="F415" s="9"/>
      <c r="G415" s="9"/>
      <c r="H415" s="9"/>
      <c r="I415" s="9"/>
      <c r="J415" s="9"/>
      <c r="K415" s="9"/>
      <c r="L415" s="9"/>
      <c r="M415" s="9">
        <v>1</v>
      </c>
      <c r="N415" s="9"/>
    </row>
    <row r="416" spans="1:14" x14ac:dyDescent="0.25">
      <c r="A416" s="8" t="s">
        <v>942</v>
      </c>
      <c r="B416" s="9">
        <v>1</v>
      </c>
      <c r="C416" s="9">
        <v>1</v>
      </c>
      <c r="D416" s="9"/>
      <c r="E416" s="9"/>
      <c r="F416" s="9"/>
      <c r="G416" s="9"/>
      <c r="H416" s="9"/>
      <c r="I416" s="9"/>
      <c r="J416" s="9"/>
      <c r="K416" s="9"/>
      <c r="L416" s="9"/>
      <c r="M416" s="9"/>
      <c r="N416" s="9">
        <v>1</v>
      </c>
    </row>
    <row r="417" spans="1:14" ht="60" x14ac:dyDescent="0.25">
      <c r="A417" s="8" t="s">
        <v>396</v>
      </c>
      <c r="B417" s="9">
        <v>1</v>
      </c>
      <c r="C417" s="9">
        <v>1</v>
      </c>
      <c r="D417" s="9"/>
      <c r="E417" s="9"/>
      <c r="F417" s="9"/>
      <c r="G417" s="9"/>
      <c r="H417" s="9"/>
      <c r="I417" s="9"/>
      <c r="J417" s="9"/>
      <c r="K417" s="9"/>
      <c r="L417" s="9"/>
      <c r="M417" s="9"/>
      <c r="N417" s="9">
        <v>1</v>
      </c>
    </row>
    <row r="418" spans="1:14" x14ac:dyDescent="0.25">
      <c r="A418" s="8" t="s">
        <v>804</v>
      </c>
      <c r="B418" s="9">
        <v>1</v>
      </c>
      <c r="C418" s="9">
        <v>1</v>
      </c>
      <c r="D418" s="9"/>
      <c r="E418" s="9"/>
      <c r="F418" s="9"/>
      <c r="G418" s="9"/>
      <c r="H418" s="9"/>
      <c r="I418" s="9"/>
      <c r="J418" s="9"/>
      <c r="K418" s="9"/>
      <c r="L418" s="9"/>
      <c r="M418" s="9"/>
      <c r="N418" s="9">
        <v>1</v>
      </c>
    </row>
    <row r="419" spans="1:14" x14ac:dyDescent="0.25">
      <c r="A419" s="8" t="s">
        <v>943</v>
      </c>
      <c r="B419" s="9">
        <v>1</v>
      </c>
      <c r="C419" s="9">
        <v>1</v>
      </c>
      <c r="D419" s="9"/>
      <c r="E419" s="9"/>
      <c r="F419" s="9"/>
      <c r="G419" s="9"/>
      <c r="H419" s="9"/>
      <c r="I419" s="9"/>
      <c r="J419" s="9"/>
      <c r="K419" s="9"/>
      <c r="L419" s="9"/>
      <c r="M419" s="9">
        <v>1</v>
      </c>
      <c r="N419" s="9"/>
    </row>
    <row r="420" spans="1:14" ht="60" x14ac:dyDescent="0.25">
      <c r="A420" s="8" t="s">
        <v>397</v>
      </c>
      <c r="B420" s="9">
        <v>1</v>
      </c>
      <c r="C420" s="9">
        <v>1</v>
      </c>
      <c r="D420" s="9"/>
      <c r="E420" s="9"/>
      <c r="F420" s="9"/>
      <c r="G420" s="9"/>
      <c r="H420" s="9"/>
      <c r="I420" s="9"/>
      <c r="J420" s="9"/>
      <c r="K420" s="9"/>
      <c r="L420" s="9"/>
      <c r="M420" s="9">
        <v>1</v>
      </c>
      <c r="N420" s="9"/>
    </row>
    <row r="421" spans="1:14" x14ac:dyDescent="0.25">
      <c r="A421" s="8" t="s">
        <v>804</v>
      </c>
      <c r="B421" s="9">
        <v>1</v>
      </c>
      <c r="C421" s="9">
        <v>1</v>
      </c>
      <c r="D421" s="9"/>
      <c r="E421" s="9"/>
      <c r="F421" s="9"/>
      <c r="G421" s="9"/>
      <c r="H421" s="9"/>
      <c r="I421" s="9"/>
      <c r="J421" s="9"/>
      <c r="K421" s="9"/>
      <c r="L421" s="9"/>
      <c r="M421" s="9">
        <v>1</v>
      </c>
      <c r="N421" s="9"/>
    </row>
    <row r="422" spans="1:14" x14ac:dyDescent="0.25">
      <c r="A422" s="8" t="s">
        <v>944</v>
      </c>
      <c r="B422" s="9">
        <v>1</v>
      </c>
      <c r="C422" s="9">
        <v>1</v>
      </c>
      <c r="D422" s="9"/>
      <c r="E422" s="9"/>
      <c r="F422" s="9"/>
      <c r="G422" s="9"/>
      <c r="H422" s="9"/>
      <c r="I422" s="9"/>
      <c r="J422" s="9"/>
      <c r="K422" s="9"/>
      <c r="L422" s="9"/>
      <c r="M422" s="9">
        <v>1</v>
      </c>
      <c r="N422" s="9"/>
    </row>
    <row r="423" spans="1:14" ht="75" x14ac:dyDescent="0.25">
      <c r="A423" s="8" t="s">
        <v>398</v>
      </c>
      <c r="B423" s="9">
        <v>1</v>
      </c>
      <c r="C423" s="9">
        <v>1</v>
      </c>
      <c r="D423" s="9"/>
      <c r="E423" s="9"/>
      <c r="F423" s="9"/>
      <c r="G423" s="9"/>
      <c r="H423" s="9"/>
      <c r="I423" s="9"/>
      <c r="J423" s="9"/>
      <c r="K423" s="9"/>
      <c r="L423" s="9"/>
      <c r="M423" s="9">
        <v>1</v>
      </c>
      <c r="N423" s="9"/>
    </row>
    <row r="424" spans="1:14" x14ac:dyDescent="0.25">
      <c r="A424" s="8" t="s">
        <v>804</v>
      </c>
      <c r="B424" s="9">
        <v>1</v>
      </c>
      <c r="C424" s="9">
        <v>1</v>
      </c>
      <c r="D424" s="9"/>
      <c r="E424" s="9"/>
      <c r="F424" s="9"/>
      <c r="G424" s="9"/>
      <c r="H424" s="9"/>
      <c r="I424" s="9"/>
      <c r="J424" s="9"/>
      <c r="K424" s="9"/>
      <c r="L424" s="9"/>
      <c r="M424" s="9">
        <v>1</v>
      </c>
      <c r="N424" s="9"/>
    </row>
    <row r="425" spans="1:14" x14ac:dyDescent="0.25">
      <c r="A425" s="8" t="s">
        <v>945</v>
      </c>
      <c r="B425" s="9">
        <v>1</v>
      </c>
      <c r="C425" s="9">
        <v>1</v>
      </c>
      <c r="D425" s="9"/>
      <c r="E425" s="9"/>
      <c r="F425" s="9"/>
      <c r="G425" s="9"/>
      <c r="H425" s="9"/>
      <c r="I425" s="9"/>
      <c r="J425" s="9"/>
      <c r="K425" s="9"/>
      <c r="L425" s="9"/>
      <c r="M425" s="9">
        <v>1</v>
      </c>
      <c r="N425" s="9"/>
    </row>
    <row r="426" spans="1:14" ht="45" x14ac:dyDescent="0.25">
      <c r="A426" s="8" t="s">
        <v>399</v>
      </c>
      <c r="B426" s="9">
        <v>1</v>
      </c>
      <c r="C426" s="9">
        <v>1</v>
      </c>
      <c r="D426" s="9"/>
      <c r="E426" s="9"/>
      <c r="F426" s="9"/>
      <c r="G426" s="9"/>
      <c r="H426" s="9"/>
      <c r="I426" s="9"/>
      <c r="J426" s="9"/>
      <c r="K426" s="9"/>
      <c r="L426" s="9"/>
      <c r="M426" s="9">
        <v>1</v>
      </c>
      <c r="N426" s="9"/>
    </row>
    <row r="427" spans="1:14" x14ac:dyDescent="0.25">
      <c r="A427" s="8" t="s">
        <v>804</v>
      </c>
      <c r="B427" s="9">
        <v>1</v>
      </c>
      <c r="C427" s="9">
        <v>1</v>
      </c>
      <c r="D427" s="9"/>
      <c r="E427" s="9"/>
      <c r="F427" s="9"/>
      <c r="G427" s="9"/>
      <c r="H427" s="9"/>
      <c r="I427" s="9"/>
      <c r="J427" s="9"/>
      <c r="K427" s="9"/>
      <c r="L427" s="9"/>
      <c r="M427" s="9">
        <v>1</v>
      </c>
      <c r="N427" s="9"/>
    </row>
    <row r="428" spans="1:14" x14ac:dyDescent="0.25">
      <c r="A428" s="8" t="s">
        <v>946</v>
      </c>
      <c r="B428" s="9">
        <v>1</v>
      </c>
      <c r="C428" s="9">
        <v>1</v>
      </c>
      <c r="D428" s="9">
        <v>1</v>
      </c>
      <c r="E428" s="9">
        <v>1</v>
      </c>
      <c r="F428" s="9">
        <v>1</v>
      </c>
      <c r="G428" s="9"/>
      <c r="H428" s="9"/>
      <c r="I428" s="9"/>
      <c r="J428" s="9">
        <v>1</v>
      </c>
      <c r="K428" s="9"/>
      <c r="L428" s="9"/>
      <c r="M428" s="9"/>
      <c r="N428" s="9"/>
    </row>
    <row r="429" spans="1:14" ht="120" x14ac:dyDescent="0.25">
      <c r="A429" s="8" t="s">
        <v>400</v>
      </c>
      <c r="B429" s="9">
        <v>1</v>
      </c>
      <c r="C429" s="9">
        <v>1</v>
      </c>
      <c r="D429" s="9">
        <v>1</v>
      </c>
      <c r="E429" s="9">
        <v>1</v>
      </c>
      <c r="F429" s="9">
        <v>1</v>
      </c>
      <c r="G429" s="9"/>
      <c r="H429" s="9"/>
      <c r="I429" s="9"/>
      <c r="J429" s="9">
        <v>1</v>
      </c>
      <c r="K429" s="9"/>
      <c r="L429" s="9"/>
      <c r="M429" s="9"/>
      <c r="N429" s="9"/>
    </row>
    <row r="430" spans="1:14" x14ac:dyDescent="0.25">
      <c r="A430" s="8" t="s">
        <v>804</v>
      </c>
      <c r="B430" s="9">
        <v>1</v>
      </c>
      <c r="C430" s="9">
        <v>1</v>
      </c>
      <c r="D430" s="9">
        <v>1</v>
      </c>
      <c r="E430" s="9">
        <v>1</v>
      </c>
      <c r="F430" s="9">
        <v>1</v>
      </c>
      <c r="G430" s="9"/>
      <c r="H430" s="9"/>
      <c r="I430" s="9"/>
      <c r="J430" s="9">
        <v>1</v>
      </c>
      <c r="K430" s="9"/>
      <c r="L430" s="9"/>
      <c r="M430" s="9"/>
      <c r="N430" s="9"/>
    </row>
    <row r="431" spans="1:14" x14ac:dyDescent="0.25">
      <c r="A431" s="8" t="s">
        <v>947</v>
      </c>
      <c r="B431" s="9">
        <v>1</v>
      </c>
      <c r="C431" s="9">
        <v>1</v>
      </c>
      <c r="D431" s="9">
        <v>1</v>
      </c>
      <c r="E431" s="9"/>
      <c r="F431" s="9"/>
      <c r="G431" s="9"/>
      <c r="H431" s="9"/>
      <c r="I431" s="9"/>
      <c r="J431" s="9"/>
      <c r="K431" s="9"/>
      <c r="L431" s="9">
        <v>1</v>
      </c>
      <c r="M431" s="9"/>
      <c r="N431" s="9"/>
    </row>
    <row r="432" spans="1:14" ht="105" x14ac:dyDescent="0.25">
      <c r="A432" s="8" t="s">
        <v>401</v>
      </c>
      <c r="B432" s="9">
        <v>1</v>
      </c>
      <c r="C432" s="9">
        <v>1</v>
      </c>
      <c r="D432" s="9">
        <v>1</v>
      </c>
      <c r="E432" s="9"/>
      <c r="F432" s="9"/>
      <c r="G432" s="9"/>
      <c r="H432" s="9"/>
      <c r="I432" s="9"/>
      <c r="J432" s="9"/>
      <c r="K432" s="9"/>
      <c r="L432" s="9">
        <v>1</v>
      </c>
      <c r="M432" s="9"/>
      <c r="N432" s="9"/>
    </row>
    <row r="433" spans="1:14" x14ac:dyDescent="0.25">
      <c r="A433" s="8" t="s">
        <v>804</v>
      </c>
      <c r="B433" s="9">
        <v>1</v>
      </c>
      <c r="C433" s="9">
        <v>1</v>
      </c>
      <c r="D433" s="9">
        <v>1</v>
      </c>
      <c r="E433" s="9"/>
      <c r="F433" s="9"/>
      <c r="G433" s="9"/>
      <c r="H433" s="9"/>
      <c r="I433" s="9"/>
      <c r="J433" s="9"/>
      <c r="K433" s="9"/>
      <c r="L433" s="9">
        <v>1</v>
      </c>
      <c r="M433" s="9"/>
      <c r="N433" s="9"/>
    </row>
    <row r="434" spans="1:14" x14ac:dyDescent="0.25">
      <c r="A434" s="8" t="s">
        <v>948</v>
      </c>
      <c r="B434" s="9">
        <v>1</v>
      </c>
      <c r="C434" s="9">
        <v>1</v>
      </c>
      <c r="D434" s="9"/>
      <c r="E434" s="9">
        <v>1</v>
      </c>
      <c r="F434" s="9">
        <v>1</v>
      </c>
      <c r="G434" s="9"/>
      <c r="H434" s="9"/>
      <c r="I434" s="9"/>
      <c r="J434" s="9">
        <v>1</v>
      </c>
      <c r="K434" s="9"/>
      <c r="L434" s="9"/>
      <c r="M434" s="9"/>
      <c r="N434" s="9"/>
    </row>
    <row r="435" spans="1:14" ht="30" x14ac:dyDescent="0.25">
      <c r="A435" s="8" t="s">
        <v>402</v>
      </c>
      <c r="B435" s="9">
        <v>1</v>
      </c>
      <c r="C435" s="9">
        <v>1</v>
      </c>
      <c r="D435" s="9"/>
      <c r="E435" s="9">
        <v>1</v>
      </c>
      <c r="F435" s="9">
        <v>1</v>
      </c>
      <c r="G435" s="9"/>
      <c r="H435" s="9"/>
      <c r="I435" s="9"/>
      <c r="J435" s="9">
        <v>1</v>
      </c>
      <c r="K435" s="9"/>
      <c r="L435" s="9"/>
      <c r="M435" s="9"/>
      <c r="N435" s="9"/>
    </row>
    <row r="436" spans="1:14" x14ac:dyDescent="0.25">
      <c r="A436" s="8" t="s">
        <v>804</v>
      </c>
      <c r="B436" s="9">
        <v>1</v>
      </c>
      <c r="C436" s="9">
        <v>1</v>
      </c>
      <c r="D436" s="9"/>
      <c r="E436" s="9">
        <v>1</v>
      </c>
      <c r="F436" s="9">
        <v>1</v>
      </c>
      <c r="G436" s="9"/>
      <c r="H436" s="9"/>
      <c r="I436" s="9"/>
      <c r="J436" s="9">
        <v>1</v>
      </c>
      <c r="K436" s="9"/>
      <c r="L436" s="9"/>
      <c r="M436" s="9"/>
      <c r="N436" s="9"/>
    </row>
    <row r="437" spans="1:14" x14ac:dyDescent="0.25">
      <c r="A437" s="8" t="s">
        <v>949</v>
      </c>
      <c r="B437" s="9">
        <v>1</v>
      </c>
      <c r="C437" s="9">
        <v>1</v>
      </c>
      <c r="D437" s="9"/>
      <c r="E437" s="9">
        <v>1</v>
      </c>
      <c r="F437" s="9">
        <v>1</v>
      </c>
      <c r="G437" s="9"/>
      <c r="H437" s="9"/>
      <c r="I437" s="9"/>
      <c r="J437" s="9">
        <v>1</v>
      </c>
      <c r="K437" s="9"/>
      <c r="L437" s="9"/>
      <c r="M437" s="9"/>
      <c r="N437" s="9"/>
    </row>
    <row r="438" spans="1:14" ht="75" x14ac:dyDescent="0.25">
      <c r="A438" s="8" t="s">
        <v>403</v>
      </c>
      <c r="B438" s="9">
        <v>1</v>
      </c>
      <c r="C438" s="9">
        <v>1</v>
      </c>
      <c r="D438" s="9"/>
      <c r="E438" s="9">
        <v>1</v>
      </c>
      <c r="F438" s="9">
        <v>1</v>
      </c>
      <c r="G438" s="9"/>
      <c r="H438" s="9"/>
      <c r="I438" s="9"/>
      <c r="J438" s="9">
        <v>1</v>
      </c>
      <c r="K438" s="9"/>
      <c r="L438" s="9"/>
      <c r="M438" s="9"/>
      <c r="N438" s="9"/>
    </row>
    <row r="439" spans="1:14" x14ac:dyDescent="0.25">
      <c r="A439" s="8" t="s">
        <v>804</v>
      </c>
      <c r="B439" s="9">
        <v>1</v>
      </c>
      <c r="C439" s="9">
        <v>1</v>
      </c>
      <c r="D439" s="9"/>
      <c r="E439" s="9">
        <v>1</v>
      </c>
      <c r="F439" s="9">
        <v>1</v>
      </c>
      <c r="G439" s="9"/>
      <c r="H439" s="9"/>
      <c r="I439" s="9"/>
      <c r="J439" s="9">
        <v>1</v>
      </c>
      <c r="K439" s="9"/>
      <c r="L439" s="9"/>
      <c r="M439" s="9"/>
      <c r="N439" s="9"/>
    </row>
    <row r="440" spans="1:14" x14ac:dyDescent="0.25">
      <c r="A440" s="8" t="s">
        <v>950</v>
      </c>
      <c r="B440" s="9">
        <v>1</v>
      </c>
      <c r="C440" s="9">
        <v>1</v>
      </c>
      <c r="D440" s="9">
        <v>1</v>
      </c>
      <c r="E440" s="9"/>
      <c r="F440" s="9"/>
      <c r="G440" s="9"/>
      <c r="H440" s="9"/>
      <c r="I440" s="9"/>
      <c r="J440" s="9">
        <v>1</v>
      </c>
      <c r="K440" s="9"/>
      <c r="L440" s="9"/>
      <c r="M440" s="9"/>
      <c r="N440" s="9"/>
    </row>
    <row r="441" spans="1:14" ht="60" x14ac:dyDescent="0.25">
      <c r="A441" s="8" t="s">
        <v>404</v>
      </c>
      <c r="B441" s="9">
        <v>1</v>
      </c>
      <c r="C441" s="9">
        <v>1</v>
      </c>
      <c r="D441" s="9">
        <v>1</v>
      </c>
      <c r="E441" s="9"/>
      <c r="F441" s="9"/>
      <c r="G441" s="9"/>
      <c r="H441" s="9"/>
      <c r="I441" s="9"/>
      <c r="J441" s="9">
        <v>1</v>
      </c>
      <c r="K441" s="9"/>
      <c r="L441" s="9"/>
      <c r="M441" s="9"/>
      <c r="N441" s="9"/>
    </row>
    <row r="442" spans="1:14" x14ac:dyDescent="0.25">
      <c r="A442" s="8" t="s">
        <v>804</v>
      </c>
      <c r="B442" s="9">
        <v>1</v>
      </c>
      <c r="C442" s="9">
        <v>1</v>
      </c>
      <c r="D442" s="9">
        <v>1</v>
      </c>
      <c r="E442" s="9"/>
      <c r="F442" s="9"/>
      <c r="G442" s="9"/>
      <c r="H442" s="9"/>
      <c r="I442" s="9"/>
      <c r="J442" s="9">
        <v>1</v>
      </c>
      <c r="K442" s="9"/>
      <c r="L442" s="9"/>
      <c r="M442" s="9"/>
      <c r="N442" s="9"/>
    </row>
    <row r="443" spans="1:14" x14ac:dyDescent="0.25">
      <c r="A443" s="8" t="s">
        <v>951</v>
      </c>
      <c r="B443" s="9">
        <v>1</v>
      </c>
      <c r="C443" s="9">
        <v>1</v>
      </c>
      <c r="D443" s="9"/>
      <c r="E443" s="9"/>
      <c r="F443" s="9"/>
      <c r="G443" s="9"/>
      <c r="H443" s="9"/>
      <c r="I443" s="9"/>
      <c r="J443" s="9"/>
      <c r="K443" s="9"/>
      <c r="L443" s="9"/>
      <c r="M443" s="9"/>
      <c r="N443" s="9">
        <v>1</v>
      </c>
    </row>
    <row r="444" spans="1:14" ht="45" x14ac:dyDescent="0.25">
      <c r="A444" s="8" t="s">
        <v>405</v>
      </c>
      <c r="B444" s="9">
        <v>1</v>
      </c>
      <c r="C444" s="9">
        <v>1</v>
      </c>
      <c r="D444" s="9"/>
      <c r="E444" s="9"/>
      <c r="F444" s="9"/>
      <c r="G444" s="9"/>
      <c r="H444" s="9"/>
      <c r="I444" s="9"/>
      <c r="J444" s="9"/>
      <c r="K444" s="9"/>
      <c r="L444" s="9"/>
      <c r="M444" s="9"/>
      <c r="N444" s="9">
        <v>1</v>
      </c>
    </row>
    <row r="445" spans="1:14" x14ac:dyDescent="0.25">
      <c r="A445" s="8" t="s">
        <v>804</v>
      </c>
      <c r="B445" s="9">
        <v>1</v>
      </c>
      <c r="C445" s="9">
        <v>1</v>
      </c>
      <c r="D445" s="9"/>
      <c r="E445" s="9"/>
      <c r="F445" s="9"/>
      <c r="G445" s="9"/>
      <c r="H445" s="9"/>
      <c r="I445" s="9"/>
      <c r="J445" s="9"/>
      <c r="K445" s="9"/>
      <c r="L445" s="9"/>
      <c r="M445" s="9"/>
      <c r="N445" s="9">
        <v>1</v>
      </c>
    </row>
    <row r="446" spans="1:14" x14ac:dyDescent="0.25">
      <c r="A446" s="8" t="s">
        <v>952</v>
      </c>
      <c r="B446" s="9">
        <v>1</v>
      </c>
      <c r="C446" s="9">
        <v>1</v>
      </c>
      <c r="D446" s="9"/>
      <c r="E446" s="9"/>
      <c r="F446" s="9"/>
      <c r="G446" s="9"/>
      <c r="H446" s="9"/>
      <c r="I446" s="9"/>
      <c r="J446" s="9"/>
      <c r="K446" s="9"/>
      <c r="L446" s="9"/>
      <c r="M446" s="9"/>
      <c r="N446" s="9">
        <v>1</v>
      </c>
    </row>
    <row r="447" spans="1:14" ht="45" x14ac:dyDescent="0.25">
      <c r="A447" s="8" t="s">
        <v>406</v>
      </c>
      <c r="B447" s="9">
        <v>1</v>
      </c>
      <c r="C447" s="9">
        <v>1</v>
      </c>
      <c r="D447" s="9"/>
      <c r="E447" s="9"/>
      <c r="F447" s="9"/>
      <c r="G447" s="9"/>
      <c r="H447" s="9"/>
      <c r="I447" s="9"/>
      <c r="J447" s="9"/>
      <c r="K447" s="9"/>
      <c r="L447" s="9"/>
      <c r="M447" s="9"/>
      <c r="N447" s="9">
        <v>1</v>
      </c>
    </row>
    <row r="448" spans="1:14" x14ac:dyDescent="0.25">
      <c r="A448" s="8" t="s">
        <v>804</v>
      </c>
      <c r="B448" s="9">
        <v>1</v>
      </c>
      <c r="C448" s="9">
        <v>1</v>
      </c>
      <c r="D448" s="9"/>
      <c r="E448" s="9"/>
      <c r="F448" s="9"/>
      <c r="G448" s="9"/>
      <c r="H448" s="9"/>
      <c r="I448" s="9"/>
      <c r="J448" s="9"/>
      <c r="K448" s="9"/>
      <c r="L448" s="9"/>
      <c r="M448" s="9"/>
      <c r="N448" s="9">
        <v>1</v>
      </c>
    </row>
    <row r="449" spans="1:14" x14ac:dyDescent="0.25">
      <c r="A449" s="8" t="s">
        <v>953</v>
      </c>
      <c r="B449" s="9">
        <v>1</v>
      </c>
      <c r="C449" s="9">
        <v>1</v>
      </c>
      <c r="D449" s="9"/>
      <c r="E449" s="9"/>
      <c r="F449" s="9"/>
      <c r="G449" s="9"/>
      <c r="H449" s="9"/>
      <c r="I449" s="9"/>
      <c r="J449" s="9"/>
      <c r="K449" s="9"/>
      <c r="L449" s="9"/>
      <c r="M449" s="9"/>
      <c r="N449" s="9">
        <v>1</v>
      </c>
    </row>
    <row r="450" spans="1:14" ht="60" x14ac:dyDescent="0.25">
      <c r="A450" s="8" t="s">
        <v>407</v>
      </c>
      <c r="B450" s="9">
        <v>1</v>
      </c>
      <c r="C450" s="9">
        <v>1</v>
      </c>
      <c r="D450" s="9"/>
      <c r="E450" s="9"/>
      <c r="F450" s="9"/>
      <c r="G450" s="9"/>
      <c r="H450" s="9"/>
      <c r="I450" s="9"/>
      <c r="J450" s="9"/>
      <c r="K450" s="9"/>
      <c r="L450" s="9"/>
      <c r="M450" s="9"/>
      <c r="N450" s="9">
        <v>1</v>
      </c>
    </row>
    <row r="451" spans="1:14" x14ac:dyDescent="0.25">
      <c r="A451" s="8" t="s">
        <v>804</v>
      </c>
      <c r="B451" s="9">
        <v>1</v>
      </c>
      <c r="C451" s="9">
        <v>1</v>
      </c>
      <c r="D451" s="9"/>
      <c r="E451" s="9"/>
      <c r="F451" s="9"/>
      <c r="G451" s="9"/>
      <c r="H451" s="9"/>
      <c r="I451" s="9"/>
      <c r="J451" s="9"/>
      <c r="K451" s="9"/>
      <c r="L451" s="9"/>
      <c r="M451" s="9"/>
      <c r="N451" s="9">
        <v>1</v>
      </c>
    </row>
    <row r="452" spans="1:14" x14ac:dyDescent="0.25">
      <c r="A452" s="8" t="s">
        <v>993</v>
      </c>
      <c r="B452" s="9">
        <v>1</v>
      </c>
      <c r="C452" s="9">
        <v>1</v>
      </c>
      <c r="D452" s="9">
        <v>1</v>
      </c>
      <c r="E452" s="9">
        <v>1</v>
      </c>
      <c r="F452" s="9">
        <v>1</v>
      </c>
      <c r="G452" s="9"/>
      <c r="H452" s="9"/>
      <c r="I452" s="9"/>
      <c r="J452" s="9">
        <v>1</v>
      </c>
      <c r="K452" s="9"/>
      <c r="L452" s="9"/>
      <c r="M452" s="9"/>
      <c r="N452" s="9"/>
    </row>
    <row r="453" spans="1:14" ht="30" x14ac:dyDescent="0.25">
      <c r="A453" s="8" t="s">
        <v>511</v>
      </c>
      <c r="B453" s="9">
        <v>1</v>
      </c>
      <c r="C453" s="9">
        <v>1</v>
      </c>
      <c r="D453" s="9">
        <v>1</v>
      </c>
      <c r="E453" s="9">
        <v>1</v>
      </c>
      <c r="F453" s="9">
        <v>1</v>
      </c>
      <c r="G453" s="9"/>
      <c r="H453" s="9"/>
      <c r="I453" s="9"/>
      <c r="J453" s="9">
        <v>1</v>
      </c>
      <c r="K453" s="9"/>
      <c r="L453" s="9"/>
      <c r="M453" s="9"/>
      <c r="N453" s="9"/>
    </row>
    <row r="454" spans="1:14" x14ac:dyDescent="0.25">
      <c r="A454" s="8" t="s">
        <v>804</v>
      </c>
      <c r="B454" s="9">
        <v>1</v>
      </c>
      <c r="C454" s="9">
        <v>1</v>
      </c>
      <c r="D454" s="9">
        <v>1</v>
      </c>
      <c r="E454" s="9">
        <v>1</v>
      </c>
      <c r="F454" s="9">
        <v>1</v>
      </c>
      <c r="G454" s="9"/>
      <c r="H454" s="9"/>
      <c r="I454" s="9"/>
      <c r="J454" s="9">
        <v>1</v>
      </c>
      <c r="K454" s="9"/>
      <c r="L454" s="9"/>
      <c r="M454" s="9"/>
      <c r="N454" s="9"/>
    </row>
    <row r="455" spans="1:14" x14ac:dyDescent="0.25">
      <c r="A455" s="8" t="s">
        <v>994</v>
      </c>
      <c r="B455" s="9">
        <v>1</v>
      </c>
      <c r="C455" s="9">
        <v>1</v>
      </c>
      <c r="D455" s="9">
        <v>1</v>
      </c>
      <c r="E455" s="9">
        <v>1</v>
      </c>
      <c r="F455" s="9">
        <v>1</v>
      </c>
      <c r="G455" s="9"/>
      <c r="H455" s="9"/>
      <c r="I455" s="9"/>
      <c r="J455" s="9">
        <v>1</v>
      </c>
      <c r="K455" s="9"/>
      <c r="L455" s="9"/>
      <c r="M455" s="9"/>
      <c r="N455" s="9"/>
    </row>
    <row r="456" spans="1:14" ht="30" x14ac:dyDescent="0.25">
      <c r="A456" s="8" t="s">
        <v>516</v>
      </c>
      <c r="B456" s="9">
        <v>1</v>
      </c>
      <c r="C456" s="9">
        <v>1</v>
      </c>
      <c r="D456" s="9">
        <v>1</v>
      </c>
      <c r="E456" s="9">
        <v>1</v>
      </c>
      <c r="F456" s="9">
        <v>1</v>
      </c>
      <c r="G456" s="9"/>
      <c r="H456" s="9"/>
      <c r="I456" s="9"/>
      <c r="J456" s="9">
        <v>1</v>
      </c>
      <c r="K456" s="9"/>
      <c r="L456" s="9"/>
      <c r="M456" s="9"/>
      <c r="N456" s="9"/>
    </row>
    <row r="457" spans="1:14" x14ac:dyDescent="0.25">
      <c r="A457" s="8" t="s">
        <v>804</v>
      </c>
      <c r="B457" s="9">
        <v>1</v>
      </c>
      <c r="C457" s="9">
        <v>1</v>
      </c>
      <c r="D457" s="9">
        <v>1</v>
      </c>
      <c r="E457" s="9">
        <v>1</v>
      </c>
      <c r="F457" s="9">
        <v>1</v>
      </c>
      <c r="G457" s="9"/>
      <c r="H457" s="9"/>
      <c r="I457" s="9"/>
      <c r="J457" s="9">
        <v>1</v>
      </c>
      <c r="K457" s="9"/>
      <c r="L457" s="9"/>
      <c r="M457" s="9"/>
      <c r="N457" s="9"/>
    </row>
    <row r="458" spans="1:14" x14ac:dyDescent="0.25">
      <c r="A458" s="8" t="s">
        <v>995</v>
      </c>
      <c r="B458" s="9">
        <v>1</v>
      </c>
      <c r="C458" s="9">
        <v>1</v>
      </c>
      <c r="D458" s="9">
        <v>1</v>
      </c>
      <c r="E458" s="9"/>
      <c r="F458" s="9"/>
      <c r="G458" s="9"/>
      <c r="H458" s="9"/>
      <c r="I458" s="9"/>
      <c r="J458" s="9"/>
      <c r="K458" s="9"/>
      <c r="L458" s="9">
        <v>1</v>
      </c>
      <c r="M458" s="9"/>
      <c r="N458" s="9"/>
    </row>
    <row r="459" spans="1:14" ht="30" x14ac:dyDescent="0.25">
      <c r="A459" s="8" t="s">
        <v>517</v>
      </c>
      <c r="B459" s="9">
        <v>1</v>
      </c>
      <c r="C459" s="9">
        <v>1</v>
      </c>
      <c r="D459" s="9">
        <v>1</v>
      </c>
      <c r="E459" s="9"/>
      <c r="F459" s="9"/>
      <c r="G459" s="9"/>
      <c r="H459" s="9"/>
      <c r="I459" s="9"/>
      <c r="J459" s="9"/>
      <c r="K459" s="9"/>
      <c r="L459" s="9">
        <v>1</v>
      </c>
      <c r="M459" s="9"/>
      <c r="N459" s="9"/>
    </row>
    <row r="460" spans="1:14" x14ac:dyDescent="0.25">
      <c r="A460" s="8" t="s">
        <v>804</v>
      </c>
      <c r="B460" s="9">
        <v>1</v>
      </c>
      <c r="C460" s="9">
        <v>1</v>
      </c>
      <c r="D460" s="9">
        <v>1</v>
      </c>
      <c r="E460" s="9"/>
      <c r="F460" s="9"/>
      <c r="G460" s="9"/>
      <c r="H460" s="9"/>
      <c r="I460" s="9"/>
      <c r="J460" s="9"/>
      <c r="K460" s="9"/>
      <c r="L460" s="9">
        <v>1</v>
      </c>
      <c r="M460" s="9"/>
      <c r="N460" s="9"/>
    </row>
    <row r="461" spans="1:14" x14ac:dyDescent="0.25">
      <c r="A461" s="8" t="s">
        <v>996</v>
      </c>
      <c r="B461" s="9">
        <v>1</v>
      </c>
      <c r="C461" s="9">
        <v>1</v>
      </c>
      <c r="D461" s="9">
        <v>1</v>
      </c>
      <c r="E461" s="9"/>
      <c r="F461" s="9"/>
      <c r="G461" s="9"/>
      <c r="H461" s="9"/>
      <c r="I461" s="9"/>
      <c r="J461" s="9"/>
      <c r="K461" s="9"/>
      <c r="L461" s="9">
        <v>1</v>
      </c>
      <c r="M461" s="9"/>
      <c r="N461" s="9"/>
    </row>
    <row r="462" spans="1:14" ht="60" x14ac:dyDescent="0.25">
      <c r="A462" s="8" t="s">
        <v>518</v>
      </c>
      <c r="B462" s="9">
        <v>1</v>
      </c>
      <c r="C462" s="9">
        <v>1</v>
      </c>
      <c r="D462" s="9">
        <v>1</v>
      </c>
      <c r="E462" s="9"/>
      <c r="F462" s="9"/>
      <c r="G462" s="9"/>
      <c r="H462" s="9"/>
      <c r="I462" s="9"/>
      <c r="J462" s="9"/>
      <c r="K462" s="9"/>
      <c r="L462" s="9">
        <v>1</v>
      </c>
      <c r="M462" s="9"/>
      <c r="N462" s="9"/>
    </row>
    <row r="463" spans="1:14" x14ac:dyDescent="0.25">
      <c r="A463" s="8" t="s">
        <v>804</v>
      </c>
      <c r="B463" s="9">
        <v>1</v>
      </c>
      <c r="C463" s="9">
        <v>1</v>
      </c>
      <c r="D463" s="9">
        <v>1</v>
      </c>
      <c r="E463" s="9"/>
      <c r="F463" s="9"/>
      <c r="G463" s="9"/>
      <c r="H463" s="9"/>
      <c r="I463" s="9"/>
      <c r="J463" s="9"/>
      <c r="K463" s="9"/>
      <c r="L463" s="9">
        <v>1</v>
      </c>
      <c r="M463" s="9"/>
      <c r="N463" s="9"/>
    </row>
    <row r="464" spans="1:14" x14ac:dyDescent="0.25">
      <c r="A464" s="8" t="s">
        <v>954</v>
      </c>
      <c r="B464" s="9">
        <v>1</v>
      </c>
      <c r="C464" s="9">
        <v>1</v>
      </c>
      <c r="D464" s="9"/>
      <c r="E464" s="9"/>
      <c r="F464" s="9"/>
      <c r="G464" s="9"/>
      <c r="H464" s="9"/>
      <c r="I464" s="9"/>
      <c r="J464" s="9"/>
      <c r="K464" s="9"/>
      <c r="L464" s="9"/>
      <c r="M464" s="9"/>
      <c r="N464" s="9">
        <v>1</v>
      </c>
    </row>
    <row r="465" spans="1:14" ht="75" x14ac:dyDescent="0.25">
      <c r="A465" s="8" t="s">
        <v>409</v>
      </c>
      <c r="B465" s="9">
        <v>1</v>
      </c>
      <c r="C465" s="9">
        <v>1</v>
      </c>
      <c r="D465" s="9"/>
      <c r="E465" s="9"/>
      <c r="F465" s="9"/>
      <c r="G465" s="9"/>
      <c r="H465" s="9"/>
      <c r="I465" s="9"/>
      <c r="J465" s="9"/>
      <c r="K465" s="9"/>
      <c r="L465" s="9"/>
      <c r="M465" s="9"/>
      <c r="N465" s="9">
        <v>1</v>
      </c>
    </row>
    <row r="466" spans="1:14" x14ac:dyDescent="0.25">
      <c r="A466" s="8" t="s">
        <v>804</v>
      </c>
      <c r="B466" s="9">
        <v>1</v>
      </c>
      <c r="C466" s="9">
        <v>1</v>
      </c>
      <c r="D466" s="9"/>
      <c r="E466" s="9"/>
      <c r="F466" s="9"/>
      <c r="G466" s="9"/>
      <c r="H466" s="9"/>
      <c r="I466" s="9"/>
      <c r="J466" s="9"/>
      <c r="K466" s="9"/>
      <c r="L466" s="9"/>
      <c r="M466" s="9"/>
      <c r="N466" s="9">
        <v>1</v>
      </c>
    </row>
    <row r="467" spans="1:14" x14ac:dyDescent="0.25">
      <c r="A467" s="8" t="s">
        <v>955</v>
      </c>
      <c r="B467" s="9">
        <v>1</v>
      </c>
      <c r="C467" s="9">
        <v>1</v>
      </c>
      <c r="D467" s="9"/>
      <c r="E467" s="9"/>
      <c r="F467" s="9"/>
      <c r="G467" s="9"/>
      <c r="H467" s="9"/>
      <c r="I467" s="9"/>
      <c r="J467" s="9"/>
      <c r="K467" s="9"/>
      <c r="L467" s="9"/>
      <c r="M467" s="9">
        <v>1</v>
      </c>
      <c r="N467" s="9"/>
    </row>
    <row r="468" spans="1:14" ht="75" x14ac:dyDescent="0.25">
      <c r="A468" s="8" t="s">
        <v>410</v>
      </c>
      <c r="B468" s="9">
        <v>1</v>
      </c>
      <c r="C468" s="9">
        <v>1</v>
      </c>
      <c r="D468" s="9"/>
      <c r="E468" s="9"/>
      <c r="F468" s="9"/>
      <c r="G468" s="9"/>
      <c r="H468" s="9"/>
      <c r="I468" s="9"/>
      <c r="J468" s="9"/>
      <c r="K468" s="9"/>
      <c r="L468" s="9"/>
      <c r="M468" s="9">
        <v>1</v>
      </c>
      <c r="N468" s="9"/>
    </row>
    <row r="469" spans="1:14" x14ac:dyDescent="0.25">
      <c r="A469" s="8" t="s">
        <v>804</v>
      </c>
      <c r="B469" s="9">
        <v>1</v>
      </c>
      <c r="C469" s="9">
        <v>1</v>
      </c>
      <c r="D469" s="9"/>
      <c r="E469" s="9"/>
      <c r="F469" s="9"/>
      <c r="G469" s="9"/>
      <c r="H469" s="9"/>
      <c r="I469" s="9"/>
      <c r="J469" s="9"/>
      <c r="K469" s="9"/>
      <c r="L469" s="9"/>
      <c r="M469" s="9">
        <v>1</v>
      </c>
      <c r="N469" s="9"/>
    </row>
    <row r="470" spans="1:14" x14ac:dyDescent="0.25">
      <c r="A470" s="8" t="s">
        <v>997</v>
      </c>
      <c r="B470" s="9">
        <v>1</v>
      </c>
      <c r="C470" s="9">
        <v>1</v>
      </c>
      <c r="D470" s="9">
        <v>1</v>
      </c>
      <c r="E470" s="9">
        <v>1</v>
      </c>
      <c r="F470" s="9">
        <v>1</v>
      </c>
      <c r="G470" s="9"/>
      <c r="H470" s="9"/>
      <c r="I470" s="9"/>
      <c r="J470" s="9">
        <v>1</v>
      </c>
      <c r="K470" s="9"/>
      <c r="L470" s="9"/>
      <c r="M470" s="9"/>
      <c r="N470" s="9"/>
    </row>
    <row r="471" spans="1:14" ht="45" x14ac:dyDescent="0.25">
      <c r="A471" s="8" t="s">
        <v>522</v>
      </c>
      <c r="B471" s="9">
        <v>1</v>
      </c>
      <c r="C471" s="9">
        <v>1</v>
      </c>
      <c r="D471" s="9">
        <v>1</v>
      </c>
      <c r="E471" s="9">
        <v>1</v>
      </c>
      <c r="F471" s="9">
        <v>1</v>
      </c>
      <c r="G471" s="9"/>
      <c r="H471" s="9"/>
      <c r="I471" s="9"/>
      <c r="J471" s="9">
        <v>1</v>
      </c>
      <c r="K471" s="9"/>
      <c r="L471" s="9"/>
      <c r="M471" s="9"/>
      <c r="N471" s="9"/>
    </row>
    <row r="472" spans="1:14" x14ac:dyDescent="0.25">
      <c r="A472" s="8" t="s">
        <v>804</v>
      </c>
      <c r="B472" s="9">
        <v>1</v>
      </c>
      <c r="C472" s="9">
        <v>1</v>
      </c>
      <c r="D472" s="9">
        <v>1</v>
      </c>
      <c r="E472" s="9">
        <v>1</v>
      </c>
      <c r="F472" s="9">
        <v>1</v>
      </c>
      <c r="G472" s="9"/>
      <c r="H472" s="9"/>
      <c r="I472" s="9"/>
      <c r="J472" s="9">
        <v>1</v>
      </c>
      <c r="K472" s="9"/>
      <c r="L472" s="9"/>
      <c r="M472" s="9"/>
      <c r="N472" s="9"/>
    </row>
    <row r="473" spans="1:14" x14ac:dyDescent="0.25">
      <c r="A473" s="8" t="s">
        <v>998</v>
      </c>
      <c r="B473" s="9">
        <v>1</v>
      </c>
      <c r="C473" s="9">
        <v>1</v>
      </c>
      <c r="D473" s="9">
        <v>1</v>
      </c>
      <c r="E473" s="9"/>
      <c r="F473" s="9"/>
      <c r="G473" s="9"/>
      <c r="H473" s="9"/>
      <c r="I473" s="9"/>
      <c r="J473" s="9"/>
      <c r="K473" s="9"/>
      <c r="L473" s="9">
        <v>1</v>
      </c>
      <c r="M473" s="9"/>
      <c r="N473" s="9"/>
    </row>
    <row r="474" spans="1:14" ht="30" x14ac:dyDescent="0.25">
      <c r="A474" s="8" t="s">
        <v>523</v>
      </c>
      <c r="B474" s="9">
        <v>1</v>
      </c>
      <c r="C474" s="9">
        <v>1</v>
      </c>
      <c r="D474" s="9">
        <v>1</v>
      </c>
      <c r="E474" s="9"/>
      <c r="F474" s="9"/>
      <c r="G474" s="9"/>
      <c r="H474" s="9"/>
      <c r="I474" s="9"/>
      <c r="J474" s="9"/>
      <c r="K474" s="9"/>
      <c r="L474" s="9">
        <v>1</v>
      </c>
      <c r="M474" s="9"/>
      <c r="N474" s="9"/>
    </row>
    <row r="475" spans="1:14" x14ac:dyDescent="0.25">
      <c r="A475" s="8" t="s">
        <v>804</v>
      </c>
      <c r="B475" s="9">
        <v>1</v>
      </c>
      <c r="C475" s="9">
        <v>1</v>
      </c>
      <c r="D475" s="9">
        <v>1</v>
      </c>
      <c r="E475" s="9"/>
      <c r="F475" s="9"/>
      <c r="G475" s="9"/>
      <c r="H475" s="9"/>
      <c r="I475" s="9"/>
      <c r="J475" s="9"/>
      <c r="K475" s="9"/>
      <c r="L475" s="9">
        <v>1</v>
      </c>
      <c r="M475" s="9"/>
      <c r="N475" s="9"/>
    </row>
    <row r="476" spans="1:14" x14ac:dyDescent="0.25">
      <c r="A476" s="8" t="s">
        <v>999</v>
      </c>
      <c r="B476" s="9">
        <v>1</v>
      </c>
      <c r="C476" s="9">
        <v>1</v>
      </c>
      <c r="D476" s="9">
        <v>1</v>
      </c>
      <c r="E476" s="9"/>
      <c r="F476" s="9"/>
      <c r="G476" s="9"/>
      <c r="H476" s="9"/>
      <c r="I476" s="9"/>
      <c r="J476" s="9"/>
      <c r="K476" s="9"/>
      <c r="L476" s="9">
        <v>1</v>
      </c>
      <c r="M476" s="9"/>
      <c r="N476" s="9"/>
    </row>
    <row r="477" spans="1:14" ht="30" x14ac:dyDescent="0.25">
      <c r="A477" s="8" t="s">
        <v>526</v>
      </c>
      <c r="B477" s="9">
        <v>1</v>
      </c>
      <c r="C477" s="9">
        <v>1</v>
      </c>
      <c r="D477" s="9">
        <v>1</v>
      </c>
      <c r="E477" s="9"/>
      <c r="F477" s="9"/>
      <c r="G477" s="9"/>
      <c r="H477" s="9"/>
      <c r="I477" s="9"/>
      <c r="J477" s="9"/>
      <c r="K477" s="9"/>
      <c r="L477" s="9">
        <v>1</v>
      </c>
      <c r="M477" s="9"/>
      <c r="N477" s="9"/>
    </row>
    <row r="478" spans="1:14" x14ac:dyDescent="0.25">
      <c r="A478" s="8" t="s">
        <v>804</v>
      </c>
      <c r="B478" s="9">
        <v>1</v>
      </c>
      <c r="C478" s="9">
        <v>1</v>
      </c>
      <c r="D478" s="9">
        <v>1</v>
      </c>
      <c r="E478" s="9"/>
      <c r="F478" s="9"/>
      <c r="G478" s="9"/>
      <c r="H478" s="9"/>
      <c r="I478" s="9"/>
      <c r="J478" s="9"/>
      <c r="K478" s="9"/>
      <c r="L478" s="9">
        <v>1</v>
      </c>
      <c r="M478" s="9"/>
      <c r="N478" s="9"/>
    </row>
    <row r="479" spans="1:14" x14ac:dyDescent="0.25">
      <c r="A479" s="8" t="s">
        <v>956</v>
      </c>
      <c r="B479" s="9">
        <v>1</v>
      </c>
      <c r="C479" s="9">
        <v>1</v>
      </c>
      <c r="D479" s="9">
        <v>1</v>
      </c>
      <c r="E479" s="9">
        <v>1</v>
      </c>
      <c r="F479" s="9">
        <v>1</v>
      </c>
      <c r="G479" s="9"/>
      <c r="H479" s="9"/>
      <c r="I479" s="9"/>
      <c r="J479" s="9">
        <v>1</v>
      </c>
      <c r="K479" s="9"/>
      <c r="L479" s="9"/>
      <c r="M479" s="9"/>
      <c r="N479" s="9"/>
    </row>
    <row r="480" spans="1:14" ht="45" x14ac:dyDescent="0.25">
      <c r="A480" s="8" t="s">
        <v>414</v>
      </c>
      <c r="B480" s="9">
        <v>1</v>
      </c>
      <c r="C480" s="9">
        <v>1</v>
      </c>
      <c r="D480" s="9">
        <v>1</v>
      </c>
      <c r="E480" s="9">
        <v>1</v>
      </c>
      <c r="F480" s="9">
        <v>1</v>
      </c>
      <c r="G480" s="9"/>
      <c r="H480" s="9"/>
      <c r="I480" s="9"/>
      <c r="J480" s="9">
        <v>1</v>
      </c>
      <c r="K480" s="9"/>
      <c r="L480" s="9"/>
      <c r="M480" s="9"/>
      <c r="N480" s="9"/>
    </row>
    <row r="481" spans="1:14" x14ac:dyDescent="0.25">
      <c r="A481" s="8" t="s">
        <v>804</v>
      </c>
      <c r="B481" s="9">
        <v>1</v>
      </c>
      <c r="C481" s="9">
        <v>1</v>
      </c>
      <c r="D481" s="9">
        <v>1</v>
      </c>
      <c r="E481" s="9">
        <v>1</v>
      </c>
      <c r="F481" s="9">
        <v>1</v>
      </c>
      <c r="G481" s="9"/>
      <c r="H481" s="9"/>
      <c r="I481" s="9"/>
      <c r="J481" s="9">
        <v>1</v>
      </c>
      <c r="K481" s="9"/>
      <c r="L481" s="9"/>
      <c r="M481" s="9"/>
      <c r="N481" s="9"/>
    </row>
    <row r="482" spans="1:14" x14ac:dyDescent="0.25">
      <c r="A482" s="8" t="s">
        <v>957</v>
      </c>
      <c r="B482" s="9">
        <v>1</v>
      </c>
      <c r="C482" s="9">
        <v>1</v>
      </c>
      <c r="D482" s="9">
        <v>1</v>
      </c>
      <c r="E482" s="9">
        <v>1</v>
      </c>
      <c r="F482" s="9">
        <v>1</v>
      </c>
      <c r="G482" s="9"/>
      <c r="H482" s="9"/>
      <c r="I482" s="9"/>
      <c r="J482" s="9">
        <v>1</v>
      </c>
      <c r="K482" s="9"/>
      <c r="L482" s="9"/>
      <c r="M482" s="9"/>
      <c r="N482" s="9"/>
    </row>
    <row r="483" spans="1:14" ht="30" x14ac:dyDescent="0.25">
      <c r="A483" s="8" t="s">
        <v>419</v>
      </c>
      <c r="B483" s="9">
        <v>1</v>
      </c>
      <c r="C483" s="9">
        <v>1</v>
      </c>
      <c r="D483" s="9">
        <v>1</v>
      </c>
      <c r="E483" s="9">
        <v>1</v>
      </c>
      <c r="F483" s="9">
        <v>1</v>
      </c>
      <c r="G483" s="9"/>
      <c r="H483" s="9"/>
      <c r="I483" s="9"/>
      <c r="J483" s="9">
        <v>1</v>
      </c>
      <c r="K483" s="9"/>
      <c r="L483" s="9"/>
      <c r="M483" s="9"/>
      <c r="N483" s="9"/>
    </row>
    <row r="484" spans="1:14" x14ac:dyDescent="0.25">
      <c r="A484" s="8" t="s">
        <v>804</v>
      </c>
      <c r="B484" s="9">
        <v>1</v>
      </c>
      <c r="C484" s="9">
        <v>1</v>
      </c>
      <c r="D484" s="9">
        <v>1</v>
      </c>
      <c r="E484" s="9">
        <v>1</v>
      </c>
      <c r="F484" s="9">
        <v>1</v>
      </c>
      <c r="G484" s="9"/>
      <c r="H484" s="9"/>
      <c r="I484" s="9"/>
      <c r="J484" s="9">
        <v>1</v>
      </c>
      <c r="K484" s="9"/>
      <c r="L484" s="9"/>
      <c r="M484" s="9"/>
      <c r="N484" s="9"/>
    </row>
    <row r="485" spans="1:14" x14ac:dyDescent="0.25">
      <c r="A485" s="8" t="s">
        <v>958</v>
      </c>
      <c r="B485" s="9">
        <v>1</v>
      </c>
      <c r="C485" s="9">
        <v>1</v>
      </c>
      <c r="D485" s="9"/>
      <c r="E485" s="9"/>
      <c r="F485" s="9"/>
      <c r="G485" s="9"/>
      <c r="H485" s="9"/>
      <c r="I485" s="9"/>
      <c r="J485" s="9"/>
      <c r="K485" s="9">
        <v>1</v>
      </c>
      <c r="L485" s="9"/>
      <c r="M485" s="9"/>
      <c r="N485" s="9"/>
    </row>
    <row r="486" spans="1:14" ht="30" x14ac:dyDescent="0.25">
      <c r="A486" s="8" t="s">
        <v>420</v>
      </c>
      <c r="B486" s="9">
        <v>1</v>
      </c>
      <c r="C486" s="9">
        <v>1</v>
      </c>
      <c r="D486" s="9"/>
      <c r="E486" s="9"/>
      <c r="F486" s="9"/>
      <c r="G486" s="9"/>
      <c r="H486" s="9"/>
      <c r="I486" s="9"/>
      <c r="J486" s="9"/>
      <c r="K486" s="9">
        <v>1</v>
      </c>
      <c r="L486" s="9"/>
      <c r="M486" s="9"/>
      <c r="N486" s="9"/>
    </row>
    <row r="487" spans="1:14" x14ac:dyDescent="0.25">
      <c r="A487" s="8" t="s">
        <v>804</v>
      </c>
      <c r="B487" s="9">
        <v>1</v>
      </c>
      <c r="C487" s="9">
        <v>1</v>
      </c>
      <c r="D487" s="9"/>
      <c r="E487" s="9"/>
      <c r="F487" s="9"/>
      <c r="G487" s="9"/>
      <c r="H487" s="9"/>
      <c r="I487" s="9"/>
      <c r="J487" s="9"/>
      <c r="K487" s="9">
        <v>1</v>
      </c>
      <c r="L487" s="9"/>
      <c r="M487" s="9"/>
      <c r="N487" s="9"/>
    </row>
    <row r="488" spans="1:14" x14ac:dyDescent="0.25">
      <c r="A488" s="8" t="s">
        <v>959</v>
      </c>
      <c r="B488" s="9">
        <v>1</v>
      </c>
      <c r="C488" s="9">
        <v>1</v>
      </c>
      <c r="D488" s="9">
        <v>1</v>
      </c>
      <c r="E488" s="9">
        <v>1</v>
      </c>
      <c r="F488" s="9">
        <v>1</v>
      </c>
      <c r="G488" s="9"/>
      <c r="H488" s="9"/>
      <c r="I488" s="9"/>
      <c r="J488" s="9">
        <v>1</v>
      </c>
      <c r="K488" s="9"/>
      <c r="L488" s="9"/>
      <c r="M488" s="9"/>
      <c r="N488" s="9"/>
    </row>
    <row r="489" spans="1:14" ht="30" x14ac:dyDescent="0.25">
      <c r="A489" s="8" t="s">
        <v>423</v>
      </c>
      <c r="B489" s="9">
        <v>1</v>
      </c>
      <c r="C489" s="9">
        <v>1</v>
      </c>
      <c r="D489" s="9">
        <v>1</v>
      </c>
      <c r="E489" s="9">
        <v>1</v>
      </c>
      <c r="F489" s="9">
        <v>1</v>
      </c>
      <c r="G489" s="9"/>
      <c r="H489" s="9"/>
      <c r="I489" s="9"/>
      <c r="J489" s="9">
        <v>1</v>
      </c>
      <c r="K489" s="9"/>
      <c r="L489" s="9"/>
      <c r="M489" s="9"/>
      <c r="N489" s="9"/>
    </row>
    <row r="490" spans="1:14" x14ac:dyDescent="0.25">
      <c r="A490" s="8" t="s">
        <v>804</v>
      </c>
      <c r="B490" s="9">
        <v>1</v>
      </c>
      <c r="C490" s="9">
        <v>1</v>
      </c>
      <c r="D490" s="9">
        <v>1</v>
      </c>
      <c r="E490" s="9">
        <v>1</v>
      </c>
      <c r="F490" s="9">
        <v>1</v>
      </c>
      <c r="G490" s="9"/>
      <c r="H490" s="9"/>
      <c r="I490" s="9"/>
      <c r="J490" s="9">
        <v>1</v>
      </c>
      <c r="K490" s="9"/>
      <c r="L490" s="9"/>
      <c r="M490" s="9"/>
      <c r="N490" s="9"/>
    </row>
    <row r="491" spans="1:14" x14ac:dyDescent="0.25">
      <c r="A491" s="8" t="s">
        <v>960</v>
      </c>
      <c r="B491" s="9">
        <v>1</v>
      </c>
      <c r="C491" s="9">
        <v>1</v>
      </c>
      <c r="D491" s="9"/>
      <c r="E491" s="9">
        <v>1</v>
      </c>
      <c r="F491" s="9">
        <v>1</v>
      </c>
      <c r="G491" s="9"/>
      <c r="H491" s="9"/>
      <c r="I491" s="9"/>
      <c r="J491" s="9"/>
      <c r="K491" s="9">
        <v>1</v>
      </c>
      <c r="L491" s="9"/>
      <c r="M491" s="9"/>
      <c r="N491" s="9"/>
    </row>
    <row r="492" spans="1:14" ht="30" x14ac:dyDescent="0.25">
      <c r="A492" s="8" t="s">
        <v>428</v>
      </c>
      <c r="B492" s="9">
        <v>1</v>
      </c>
      <c r="C492" s="9">
        <v>1</v>
      </c>
      <c r="D492" s="9"/>
      <c r="E492" s="9">
        <v>1</v>
      </c>
      <c r="F492" s="9">
        <v>1</v>
      </c>
      <c r="G492" s="9"/>
      <c r="H492" s="9"/>
      <c r="I492" s="9"/>
      <c r="J492" s="9"/>
      <c r="K492" s="9">
        <v>1</v>
      </c>
      <c r="L492" s="9"/>
      <c r="M492" s="9"/>
      <c r="N492" s="9"/>
    </row>
    <row r="493" spans="1:14" x14ac:dyDescent="0.25">
      <c r="A493" s="8" t="s">
        <v>804</v>
      </c>
      <c r="B493" s="9">
        <v>1</v>
      </c>
      <c r="C493" s="9">
        <v>1</v>
      </c>
      <c r="D493" s="9"/>
      <c r="E493" s="9">
        <v>1</v>
      </c>
      <c r="F493" s="9">
        <v>1</v>
      </c>
      <c r="G493" s="9"/>
      <c r="H493" s="9"/>
      <c r="I493" s="9"/>
      <c r="J493" s="9"/>
      <c r="K493" s="9">
        <v>1</v>
      </c>
      <c r="L493" s="9"/>
      <c r="M493" s="9"/>
      <c r="N493" s="9"/>
    </row>
    <row r="494" spans="1:14" x14ac:dyDescent="0.25">
      <c r="A494" s="8" t="s">
        <v>961</v>
      </c>
      <c r="B494" s="9">
        <v>1</v>
      </c>
      <c r="C494" s="9">
        <v>1</v>
      </c>
      <c r="D494" s="9"/>
      <c r="E494" s="9">
        <v>1</v>
      </c>
      <c r="F494" s="9">
        <v>1</v>
      </c>
      <c r="G494" s="9"/>
      <c r="H494" s="9"/>
      <c r="I494" s="9"/>
      <c r="J494" s="9"/>
      <c r="K494" s="9">
        <v>1</v>
      </c>
      <c r="L494" s="9"/>
      <c r="M494" s="9"/>
      <c r="N494" s="9"/>
    </row>
    <row r="495" spans="1:14" x14ac:dyDescent="0.25">
      <c r="A495" s="8" t="s">
        <v>431</v>
      </c>
      <c r="B495" s="9">
        <v>1</v>
      </c>
      <c r="C495" s="9">
        <v>1</v>
      </c>
      <c r="D495" s="9"/>
      <c r="E495" s="9">
        <v>1</v>
      </c>
      <c r="F495" s="9">
        <v>1</v>
      </c>
      <c r="G495" s="9"/>
      <c r="H495" s="9"/>
      <c r="I495" s="9"/>
      <c r="J495" s="9"/>
      <c r="K495" s="9">
        <v>1</v>
      </c>
      <c r="L495" s="9"/>
      <c r="M495" s="9"/>
      <c r="N495" s="9"/>
    </row>
    <row r="496" spans="1:14" x14ac:dyDescent="0.25">
      <c r="A496" s="8" t="s">
        <v>804</v>
      </c>
      <c r="B496" s="9">
        <v>1</v>
      </c>
      <c r="C496" s="9">
        <v>1</v>
      </c>
      <c r="D496" s="9"/>
      <c r="E496" s="9">
        <v>1</v>
      </c>
      <c r="F496" s="9">
        <v>1</v>
      </c>
      <c r="G496" s="9"/>
      <c r="H496" s="9"/>
      <c r="I496" s="9"/>
      <c r="J496" s="9"/>
      <c r="K496" s="9">
        <v>1</v>
      </c>
      <c r="L496" s="9"/>
      <c r="M496" s="9"/>
      <c r="N496" s="9"/>
    </row>
    <row r="497" spans="1:14" x14ac:dyDescent="0.25">
      <c r="A497" s="8" t="s">
        <v>962</v>
      </c>
      <c r="B497" s="9">
        <v>1</v>
      </c>
      <c r="C497" s="9">
        <v>1</v>
      </c>
      <c r="D497" s="9"/>
      <c r="E497" s="9"/>
      <c r="F497" s="9"/>
      <c r="G497" s="9"/>
      <c r="H497" s="9"/>
      <c r="I497" s="9"/>
      <c r="J497" s="9"/>
      <c r="K497" s="9"/>
      <c r="L497" s="9"/>
      <c r="M497" s="9"/>
      <c r="N497" s="9">
        <v>1</v>
      </c>
    </row>
    <row r="498" spans="1:14" ht="30" x14ac:dyDescent="0.25">
      <c r="A498" s="8" t="s">
        <v>434</v>
      </c>
      <c r="B498" s="9">
        <v>1</v>
      </c>
      <c r="C498" s="9">
        <v>1</v>
      </c>
      <c r="D498" s="9"/>
      <c r="E498" s="9"/>
      <c r="F498" s="9"/>
      <c r="G498" s="9"/>
      <c r="H498" s="9"/>
      <c r="I498" s="9"/>
      <c r="J498" s="9"/>
      <c r="K498" s="9"/>
      <c r="L498" s="9"/>
      <c r="M498" s="9"/>
      <c r="N498" s="9">
        <v>1</v>
      </c>
    </row>
    <row r="499" spans="1:14" x14ac:dyDescent="0.25">
      <c r="A499" s="8" t="s">
        <v>804</v>
      </c>
      <c r="B499" s="9">
        <v>1</v>
      </c>
      <c r="C499" s="9">
        <v>1</v>
      </c>
      <c r="D499" s="9"/>
      <c r="E499" s="9"/>
      <c r="F499" s="9"/>
      <c r="G499" s="9"/>
      <c r="H499" s="9"/>
      <c r="I499" s="9"/>
      <c r="J499" s="9"/>
      <c r="K499" s="9"/>
      <c r="L499" s="9"/>
      <c r="M499" s="9"/>
      <c r="N499" s="9">
        <v>1</v>
      </c>
    </row>
    <row r="500" spans="1:14" x14ac:dyDescent="0.25">
      <c r="A500" s="8" t="s">
        <v>963</v>
      </c>
      <c r="B500" s="9">
        <v>1</v>
      </c>
      <c r="C500" s="9">
        <v>1</v>
      </c>
      <c r="D500" s="9">
        <v>1</v>
      </c>
      <c r="E500" s="9"/>
      <c r="F500" s="9"/>
      <c r="G500" s="9"/>
      <c r="H500" s="9"/>
      <c r="I500" s="9"/>
      <c r="J500" s="9"/>
      <c r="K500" s="9"/>
      <c r="L500" s="9">
        <v>1</v>
      </c>
      <c r="M500" s="9"/>
      <c r="N500" s="9"/>
    </row>
    <row r="501" spans="1:14" ht="30" x14ac:dyDescent="0.25">
      <c r="A501" s="8" t="s">
        <v>438</v>
      </c>
      <c r="B501" s="9">
        <v>1</v>
      </c>
      <c r="C501" s="9">
        <v>1</v>
      </c>
      <c r="D501" s="9">
        <v>1</v>
      </c>
      <c r="E501" s="9"/>
      <c r="F501" s="9"/>
      <c r="G501" s="9"/>
      <c r="H501" s="9"/>
      <c r="I501" s="9"/>
      <c r="J501" s="9"/>
      <c r="K501" s="9"/>
      <c r="L501" s="9">
        <v>1</v>
      </c>
      <c r="M501" s="9"/>
      <c r="N501" s="9"/>
    </row>
    <row r="502" spans="1:14" x14ac:dyDescent="0.25">
      <c r="A502" s="8" t="s">
        <v>804</v>
      </c>
      <c r="B502" s="9">
        <v>1</v>
      </c>
      <c r="C502" s="9">
        <v>1</v>
      </c>
      <c r="D502" s="9">
        <v>1</v>
      </c>
      <c r="E502" s="9"/>
      <c r="F502" s="9"/>
      <c r="G502" s="9"/>
      <c r="H502" s="9"/>
      <c r="I502" s="9"/>
      <c r="J502" s="9"/>
      <c r="K502" s="9"/>
      <c r="L502" s="9">
        <v>1</v>
      </c>
      <c r="M502" s="9"/>
      <c r="N502" s="9"/>
    </row>
    <row r="503" spans="1:14" x14ac:dyDescent="0.25">
      <c r="A503" s="8" t="s">
        <v>964</v>
      </c>
      <c r="B503" s="9">
        <v>1</v>
      </c>
      <c r="C503" s="9">
        <v>1</v>
      </c>
      <c r="D503" s="9">
        <v>1</v>
      </c>
      <c r="E503" s="9"/>
      <c r="F503" s="9"/>
      <c r="G503" s="9"/>
      <c r="H503" s="9"/>
      <c r="I503" s="9"/>
      <c r="J503" s="9"/>
      <c r="K503" s="9"/>
      <c r="L503" s="9">
        <v>1</v>
      </c>
      <c r="M503" s="9"/>
      <c r="N503" s="9"/>
    </row>
    <row r="504" spans="1:14" ht="60" x14ac:dyDescent="0.25">
      <c r="A504" s="8" t="s">
        <v>445</v>
      </c>
      <c r="B504" s="9">
        <v>1</v>
      </c>
      <c r="C504" s="9">
        <v>1</v>
      </c>
      <c r="D504" s="9">
        <v>1</v>
      </c>
      <c r="E504" s="9"/>
      <c r="F504" s="9"/>
      <c r="G504" s="9"/>
      <c r="H504" s="9"/>
      <c r="I504" s="9"/>
      <c r="J504" s="9"/>
      <c r="K504" s="9"/>
      <c r="L504" s="9">
        <v>1</v>
      </c>
      <c r="M504" s="9"/>
      <c r="N504" s="9"/>
    </row>
    <row r="505" spans="1:14" x14ac:dyDescent="0.25">
      <c r="A505" s="8" t="s">
        <v>804</v>
      </c>
      <c r="B505" s="9">
        <v>1</v>
      </c>
      <c r="C505" s="9">
        <v>1</v>
      </c>
      <c r="D505" s="9">
        <v>1</v>
      </c>
      <c r="E505" s="9"/>
      <c r="F505" s="9"/>
      <c r="G505" s="9"/>
      <c r="H505" s="9"/>
      <c r="I505" s="9"/>
      <c r="J505" s="9"/>
      <c r="K505" s="9"/>
      <c r="L505" s="9">
        <v>1</v>
      </c>
      <c r="M505" s="9"/>
      <c r="N505" s="9"/>
    </row>
    <row r="506" spans="1:14" x14ac:dyDescent="0.25">
      <c r="A506" s="8" t="s">
        <v>965</v>
      </c>
      <c r="B506" s="9">
        <v>1</v>
      </c>
      <c r="C506" s="9">
        <v>1</v>
      </c>
      <c r="D506" s="9">
        <v>1</v>
      </c>
      <c r="E506" s="9"/>
      <c r="F506" s="9"/>
      <c r="G506" s="9"/>
      <c r="H506" s="9"/>
      <c r="I506" s="9"/>
      <c r="J506" s="9"/>
      <c r="K506" s="9"/>
      <c r="L506" s="9">
        <v>1</v>
      </c>
      <c r="M506" s="9"/>
      <c r="N506" s="9"/>
    </row>
    <row r="507" spans="1:14" ht="30" x14ac:dyDescent="0.25">
      <c r="A507" s="8" t="s">
        <v>446</v>
      </c>
      <c r="B507" s="9">
        <v>1</v>
      </c>
      <c r="C507" s="9">
        <v>1</v>
      </c>
      <c r="D507" s="9">
        <v>1</v>
      </c>
      <c r="E507" s="9"/>
      <c r="F507" s="9"/>
      <c r="G507" s="9"/>
      <c r="H507" s="9"/>
      <c r="I507" s="9"/>
      <c r="J507" s="9"/>
      <c r="K507" s="9"/>
      <c r="L507" s="9">
        <v>1</v>
      </c>
      <c r="M507" s="9"/>
      <c r="N507" s="9"/>
    </row>
    <row r="508" spans="1:14" x14ac:dyDescent="0.25">
      <c r="A508" s="8" t="s">
        <v>804</v>
      </c>
      <c r="B508" s="9">
        <v>1</v>
      </c>
      <c r="C508" s="9">
        <v>1</v>
      </c>
      <c r="D508" s="9">
        <v>1</v>
      </c>
      <c r="E508" s="9"/>
      <c r="F508" s="9"/>
      <c r="G508" s="9"/>
      <c r="H508" s="9"/>
      <c r="I508" s="9"/>
      <c r="J508" s="9"/>
      <c r="K508" s="9"/>
      <c r="L508" s="9">
        <v>1</v>
      </c>
      <c r="M508" s="9"/>
      <c r="N508" s="9"/>
    </row>
    <row r="509" spans="1:14" x14ac:dyDescent="0.25">
      <c r="A509" s="8" t="s">
        <v>966</v>
      </c>
      <c r="B509" s="9">
        <v>1</v>
      </c>
      <c r="C509" s="9">
        <v>1</v>
      </c>
      <c r="D509" s="9"/>
      <c r="E509" s="9"/>
      <c r="F509" s="9"/>
      <c r="G509" s="9"/>
      <c r="H509" s="9"/>
      <c r="I509" s="9"/>
      <c r="J509" s="9"/>
      <c r="K509" s="9"/>
      <c r="L509" s="9">
        <v>1</v>
      </c>
      <c r="M509" s="9"/>
      <c r="N509" s="9"/>
    </row>
    <row r="510" spans="1:14" ht="30" x14ac:dyDescent="0.25">
      <c r="A510" s="8" t="s">
        <v>449</v>
      </c>
      <c r="B510" s="9">
        <v>1</v>
      </c>
      <c r="C510" s="9">
        <v>1</v>
      </c>
      <c r="D510" s="9"/>
      <c r="E510" s="9"/>
      <c r="F510" s="9"/>
      <c r="G510" s="9"/>
      <c r="H510" s="9"/>
      <c r="I510" s="9"/>
      <c r="J510" s="9"/>
      <c r="K510" s="9"/>
      <c r="L510" s="9">
        <v>1</v>
      </c>
      <c r="M510" s="9"/>
      <c r="N510" s="9"/>
    </row>
    <row r="511" spans="1:14" x14ac:dyDescent="0.25">
      <c r="A511" s="8" t="s">
        <v>804</v>
      </c>
      <c r="B511" s="9">
        <v>1</v>
      </c>
      <c r="C511" s="9">
        <v>1</v>
      </c>
      <c r="D511" s="9"/>
      <c r="E511" s="9"/>
      <c r="F511" s="9"/>
      <c r="G511" s="9"/>
      <c r="H511" s="9"/>
      <c r="I511" s="9"/>
      <c r="J511" s="9"/>
      <c r="K511" s="9"/>
      <c r="L511" s="9">
        <v>1</v>
      </c>
      <c r="M511" s="9"/>
      <c r="N511" s="9"/>
    </row>
    <row r="512" spans="1:14" x14ac:dyDescent="0.25">
      <c r="A512" s="8" t="s">
        <v>967</v>
      </c>
      <c r="B512" s="9">
        <v>1</v>
      </c>
      <c r="C512" s="9">
        <v>1</v>
      </c>
      <c r="D512" s="9">
        <v>1</v>
      </c>
      <c r="E512" s="9"/>
      <c r="F512" s="9"/>
      <c r="G512" s="9"/>
      <c r="H512" s="9"/>
      <c r="I512" s="9"/>
      <c r="J512" s="9">
        <v>1</v>
      </c>
      <c r="K512" s="9"/>
      <c r="L512" s="9"/>
      <c r="M512" s="9"/>
      <c r="N512" s="9"/>
    </row>
    <row r="513" spans="1:14" ht="45" x14ac:dyDescent="0.25">
      <c r="A513" s="8" t="s">
        <v>450</v>
      </c>
      <c r="B513" s="9">
        <v>1</v>
      </c>
      <c r="C513" s="9">
        <v>1</v>
      </c>
      <c r="D513" s="9">
        <v>1</v>
      </c>
      <c r="E513" s="9"/>
      <c r="F513" s="9"/>
      <c r="G513" s="9"/>
      <c r="H513" s="9"/>
      <c r="I513" s="9"/>
      <c r="J513" s="9">
        <v>1</v>
      </c>
      <c r="K513" s="9"/>
      <c r="L513" s="9"/>
      <c r="M513" s="9"/>
      <c r="N513" s="9"/>
    </row>
    <row r="514" spans="1:14" x14ac:dyDescent="0.25">
      <c r="A514" s="8" t="s">
        <v>804</v>
      </c>
      <c r="B514" s="9">
        <v>1</v>
      </c>
      <c r="C514" s="9">
        <v>1</v>
      </c>
      <c r="D514" s="9">
        <v>1</v>
      </c>
      <c r="E514" s="9"/>
      <c r="F514" s="9"/>
      <c r="G514" s="9"/>
      <c r="H514" s="9"/>
      <c r="I514" s="9"/>
      <c r="J514" s="9">
        <v>1</v>
      </c>
      <c r="K514" s="9"/>
      <c r="L514" s="9"/>
      <c r="M514" s="9"/>
      <c r="N514" s="9"/>
    </row>
    <row r="515" spans="1:14" x14ac:dyDescent="0.25">
      <c r="A515" s="8" t="s">
        <v>968</v>
      </c>
      <c r="B515" s="9">
        <v>1</v>
      </c>
      <c r="C515" s="9">
        <v>1</v>
      </c>
      <c r="D515" s="9">
        <v>1</v>
      </c>
      <c r="E515" s="9"/>
      <c r="F515" s="9"/>
      <c r="G515" s="9"/>
      <c r="H515" s="9"/>
      <c r="I515" s="9"/>
      <c r="J515" s="9"/>
      <c r="K515" s="9"/>
      <c r="L515" s="9">
        <v>1</v>
      </c>
      <c r="M515" s="9"/>
      <c r="N515" s="9"/>
    </row>
    <row r="516" spans="1:14" ht="75" x14ac:dyDescent="0.25">
      <c r="A516" s="8" t="s">
        <v>452</v>
      </c>
      <c r="B516" s="9">
        <v>1</v>
      </c>
      <c r="C516" s="9">
        <v>1</v>
      </c>
      <c r="D516" s="9">
        <v>1</v>
      </c>
      <c r="E516" s="9"/>
      <c r="F516" s="9"/>
      <c r="G516" s="9"/>
      <c r="H516" s="9"/>
      <c r="I516" s="9"/>
      <c r="J516" s="9"/>
      <c r="K516" s="9"/>
      <c r="L516" s="9">
        <v>1</v>
      </c>
      <c r="M516" s="9"/>
      <c r="N516" s="9"/>
    </row>
    <row r="517" spans="1:14" x14ac:dyDescent="0.25">
      <c r="A517" s="8" t="s">
        <v>804</v>
      </c>
      <c r="B517" s="9">
        <v>1</v>
      </c>
      <c r="C517" s="9">
        <v>1</v>
      </c>
      <c r="D517" s="9">
        <v>1</v>
      </c>
      <c r="E517" s="9"/>
      <c r="F517" s="9"/>
      <c r="G517" s="9"/>
      <c r="H517" s="9"/>
      <c r="I517" s="9"/>
      <c r="J517" s="9"/>
      <c r="K517" s="9"/>
      <c r="L517" s="9">
        <v>1</v>
      </c>
      <c r="M517" s="9"/>
      <c r="N517" s="9"/>
    </row>
    <row r="518" spans="1:14" x14ac:dyDescent="0.25">
      <c r="A518" s="8" t="s">
        <v>969</v>
      </c>
      <c r="B518" s="9">
        <v>1</v>
      </c>
      <c r="C518" s="9">
        <v>1</v>
      </c>
      <c r="D518" s="9">
        <v>1</v>
      </c>
      <c r="E518" s="9"/>
      <c r="F518" s="9"/>
      <c r="G518" s="9"/>
      <c r="H518" s="9"/>
      <c r="I518" s="9"/>
      <c r="J518" s="9"/>
      <c r="K518" s="9"/>
      <c r="L518" s="9">
        <v>1</v>
      </c>
      <c r="M518" s="9"/>
      <c r="N518" s="9"/>
    </row>
    <row r="519" spans="1:14" ht="45" x14ac:dyDescent="0.25">
      <c r="A519" s="8" t="s">
        <v>454</v>
      </c>
      <c r="B519" s="9">
        <v>1</v>
      </c>
      <c r="C519" s="9">
        <v>1</v>
      </c>
      <c r="D519" s="9">
        <v>1</v>
      </c>
      <c r="E519" s="9"/>
      <c r="F519" s="9"/>
      <c r="G519" s="9"/>
      <c r="H519" s="9"/>
      <c r="I519" s="9"/>
      <c r="J519" s="9"/>
      <c r="K519" s="9"/>
      <c r="L519" s="9">
        <v>1</v>
      </c>
      <c r="M519" s="9"/>
      <c r="N519" s="9"/>
    </row>
    <row r="520" spans="1:14" x14ac:dyDescent="0.25">
      <c r="A520" s="8" t="s">
        <v>804</v>
      </c>
      <c r="B520" s="9">
        <v>1</v>
      </c>
      <c r="C520" s="9">
        <v>1</v>
      </c>
      <c r="D520" s="9">
        <v>1</v>
      </c>
      <c r="E520" s="9"/>
      <c r="F520" s="9"/>
      <c r="G520" s="9"/>
      <c r="H520" s="9"/>
      <c r="I520" s="9"/>
      <c r="J520" s="9"/>
      <c r="K520" s="9"/>
      <c r="L520" s="9">
        <v>1</v>
      </c>
      <c r="M520" s="9"/>
      <c r="N520" s="9"/>
    </row>
    <row r="521" spans="1:14" x14ac:dyDescent="0.25">
      <c r="A521" s="8" t="s">
        <v>970</v>
      </c>
      <c r="B521" s="9">
        <v>1</v>
      </c>
      <c r="C521" s="9">
        <v>1</v>
      </c>
      <c r="D521" s="9"/>
      <c r="E521" s="9"/>
      <c r="F521" s="9"/>
      <c r="G521" s="9"/>
      <c r="H521" s="9"/>
      <c r="I521" s="9"/>
      <c r="J521" s="9"/>
      <c r="K521" s="9"/>
      <c r="L521" s="9"/>
      <c r="M521" s="9">
        <v>1</v>
      </c>
      <c r="N521" s="9"/>
    </row>
    <row r="522" spans="1:14" ht="45" x14ac:dyDescent="0.25">
      <c r="A522" s="8" t="s">
        <v>457</v>
      </c>
      <c r="B522" s="9">
        <v>1</v>
      </c>
      <c r="C522" s="9">
        <v>1</v>
      </c>
      <c r="D522" s="9"/>
      <c r="E522" s="9"/>
      <c r="F522" s="9"/>
      <c r="G522" s="9"/>
      <c r="H522" s="9"/>
      <c r="I522" s="9"/>
      <c r="J522" s="9"/>
      <c r="K522" s="9"/>
      <c r="L522" s="9"/>
      <c r="M522" s="9">
        <v>1</v>
      </c>
      <c r="N522" s="9"/>
    </row>
    <row r="523" spans="1:14" x14ac:dyDescent="0.25">
      <c r="A523" s="8" t="s">
        <v>804</v>
      </c>
      <c r="B523" s="9">
        <v>1</v>
      </c>
      <c r="C523" s="9">
        <v>1</v>
      </c>
      <c r="D523" s="9"/>
      <c r="E523" s="9"/>
      <c r="F523" s="9"/>
      <c r="G523" s="9"/>
      <c r="H523" s="9"/>
      <c r="I523" s="9"/>
      <c r="J523" s="9"/>
      <c r="K523" s="9"/>
      <c r="L523" s="9"/>
      <c r="M523" s="9">
        <v>1</v>
      </c>
      <c r="N523" s="9"/>
    </row>
    <row r="524" spans="1:14" x14ac:dyDescent="0.25">
      <c r="A524" s="8" t="s">
        <v>971</v>
      </c>
      <c r="B524" s="9">
        <v>1</v>
      </c>
      <c r="C524" s="9">
        <v>1</v>
      </c>
      <c r="D524" s="9">
        <v>1</v>
      </c>
      <c r="E524" s="9">
        <v>1</v>
      </c>
      <c r="F524" s="9"/>
      <c r="G524" s="9">
        <v>1</v>
      </c>
      <c r="H524" s="9"/>
      <c r="I524" s="9"/>
      <c r="J524" s="9"/>
      <c r="K524" s="9"/>
      <c r="L524" s="9">
        <v>1</v>
      </c>
      <c r="M524" s="9"/>
      <c r="N524" s="9"/>
    </row>
    <row r="525" spans="1:14" ht="120" x14ac:dyDescent="0.25">
      <c r="A525" s="8" t="s">
        <v>458</v>
      </c>
      <c r="B525" s="9">
        <v>1</v>
      </c>
      <c r="C525" s="9">
        <v>1</v>
      </c>
      <c r="D525" s="9">
        <v>1</v>
      </c>
      <c r="E525" s="9">
        <v>1</v>
      </c>
      <c r="F525" s="9"/>
      <c r="G525" s="9">
        <v>1</v>
      </c>
      <c r="H525" s="9"/>
      <c r="I525" s="9"/>
      <c r="J525" s="9"/>
      <c r="K525" s="9"/>
      <c r="L525" s="9">
        <v>1</v>
      </c>
      <c r="M525" s="9"/>
      <c r="N525" s="9"/>
    </row>
    <row r="526" spans="1:14" x14ac:dyDescent="0.25">
      <c r="A526" s="8" t="s">
        <v>804</v>
      </c>
      <c r="B526" s="9">
        <v>1</v>
      </c>
      <c r="C526" s="9">
        <v>1</v>
      </c>
      <c r="D526" s="9">
        <v>1</v>
      </c>
      <c r="E526" s="9">
        <v>1</v>
      </c>
      <c r="F526" s="9"/>
      <c r="G526" s="9">
        <v>1</v>
      </c>
      <c r="H526" s="9"/>
      <c r="I526" s="9"/>
      <c r="J526" s="9"/>
      <c r="K526" s="9"/>
      <c r="L526" s="9">
        <v>1</v>
      </c>
      <c r="M526" s="9"/>
      <c r="N526" s="9"/>
    </row>
    <row r="527" spans="1:14" x14ac:dyDescent="0.25">
      <c r="A527" s="8" t="s">
        <v>972</v>
      </c>
      <c r="B527" s="9">
        <v>1</v>
      </c>
      <c r="C527" s="9">
        <v>1</v>
      </c>
      <c r="D527" s="9">
        <v>1</v>
      </c>
      <c r="E527" s="9"/>
      <c r="F527" s="9"/>
      <c r="G527" s="9"/>
      <c r="H527" s="9"/>
      <c r="I527" s="9"/>
      <c r="J527" s="9"/>
      <c r="K527" s="9"/>
      <c r="L527" s="9">
        <v>1</v>
      </c>
      <c r="M527" s="9"/>
      <c r="N527" s="9"/>
    </row>
    <row r="528" spans="1:14" ht="30" x14ac:dyDescent="0.25">
      <c r="A528" s="8" t="s">
        <v>461</v>
      </c>
      <c r="B528" s="9">
        <v>1</v>
      </c>
      <c r="C528" s="9">
        <v>1</v>
      </c>
      <c r="D528" s="9">
        <v>1</v>
      </c>
      <c r="E528" s="9"/>
      <c r="F528" s="9"/>
      <c r="G528" s="9"/>
      <c r="H528" s="9"/>
      <c r="I528" s="9"/>
      <c r="J528" s="9"/>
      <c r="K528" s="9"/>
      <c r="L528" s="9">
        <v>1</v>
      </c>
      <c r="M528" s="9"/>
      <c r="N528" s="9"/>
    </row>
    <row r="529" spans="1:14" x14ac:dyDescent="0.25">
      <c r="A529" s="8" t="s">
        <v>804</v>
      </c>
      <c r="B529" s="9">
        <v>1</v>
      </c>
      <c r="C529" s="9">
        <v>1</v>
      </c>
      <c r="D529" s="9">
        <v>1</v>
      </c>
      <c r="E529" s="9"/>
      <c r="F529" s="9"/>
      <c r="G529" s="9"/>
      <c r="H529" s="9"/>
      <c r="I529" s="9"/>
      <c r="J529" s="9"/>
      <c r="K529" s="9"/>
      <c r="L529" s="9">
        <v>1</v>
      </c>
      <c r="M529" s="9"/>
      <c r="N529" s="9"/>
    </row>
    <row r="530" spans="1:14" x14ac:dyDescent="0.25">
      <c r="A530" s="8" t="s">
        <v>973</v>
      </c>
      <c r="B530" s="9">
        <v>1</v>
      </c>
      <c r="C530" s="9">
        <v>1</v>
      </c>
      <c r="D530" s="9"/>
      <c r="E530" s="9"/>
      <c r="F530" s="9"/>
      <c r="G530" s="9"/>
      <c r="H530" s="9"/>
      <c r="I530" s="9"/>
      <c r="J530" s="9"/>
      <c r="K530" s="9"/>
      <c r="L530" s="9"/>
      <c r="M530" s="9"/>
      <c r="N530" s="9">
        <v>1</v>
      </c>
    </row>
    <row r="531" spans="1:14" ht="60" x14ac:dyDescent="0.25">
      <c r="A531" s="8" t="s">
        <v>463</v>
      </c>
      <c r="B531" s="9">
        <v>1</v>
      </c>
      <c r="C531" s="9">
        <v>1</v>
      </c>
      <c r="D531" s="9"/>
      <c r="E531" s="9"/>
      <c r="F531" s="9"/>
      <c r="G531" s="9"/>
      <c r="H531" s="9"/>
      <c r="I531" s="9"/>
      <c r="J531" s="9"/>
      <c r="K531" s="9"/>
      <c r="L531" s="9"/>
      <c r="M531" s="9"/>
      <c r="N531" s="9">
        <v>1</v>
      </c>
    </row>
    <row r="532" spans="1:14" x14ac:dyDescent="0.25">
      <c r="A532" s="8" t="s">
        <v>804</v>
      </c>
      <c r="B532" s="9">
        <v>1</v>
      </c>
      <c r="C532" s="9">
        <v>1</v>
      </c>
      <c r="D532" s="9"/>
      <c r="E532" s="9"/>
      <c r="F532" s="9"/>
      <c r="G532" s="9"/>
      <c r="H532" s="9"/>
      <c r="I532" s="9"/>
      <c r="J532" s="9"/>
      <c r="K532" s="9"/>
      <c r="L532" s="9"/>
      <c r="M532" s="9"/>
      <c r="N532" s="9">
        <v>1</v>
      </c>
    </row>
    <row r="533" spans="1:14" x14ac:dyDescent="0.25">
      <c r="A533" s="8" t="s">
        <v>974</v>
      </c>
      <c r="B533" s="9">
        <v>1</v>
      </c>
      <c r="C533" s="9">
        <v>1</v>
      </c>
      <c r="D533" s="9">
        <v>1</v>
      </c>
      <c r="E533" s="9"/>
      <c r="F533" s="9"/>
      <c r="G533" s="9"/>
      <c r="H533" s="9"/>
      <c r="I533" s="9"/>
      <c r="J533" s="9"/>
      <c r="K533" s="9"/>
      <c r="L533" s="9">
        <v>1</v>
      </c>
      <c r="M533" s="9"/>
      <c r="N533" s="9"/>
    </row>
    <row r="534" spans="1:14" ht="90" x14ac:dyDescent="0.25">
      <c r="A534" s="8" t="s">
        <v>466</v>
      </c>
      <c r="B534" s="9">
        <v>1</v>
      </c>
      <c r="C534" s="9">
        <v>1</v>
      </c>
      <c r="D534" s="9">
        <v>1</v>
      </c>
      <c r="E534" s="9"/>
      <c r="F534" s="9"/>
      <c r="G534" s="9"/>
      <c r="H534" s="9"/>
      <c r="I534" s="9"/>
      <c r="J534" s="9"/>
      <c r="K534" s="9"/>
      <c r="L534" s="9">
        <v>1</v>
      </c>
      <c r="M534" s="9"/>
      <c r="N534" s="9"/>
    </row>
    <row r="535" spans="1:14" x14ac:dyDescent="0.25">
      <c r="A535" s="8" t="s">
        <v>804</v>
      </c>
      <c r="B535" s="9">
        <v>1</v>
      </c>
      <c r="C535" s="9">
        <v>1</v>
      </c>
      <c r="D535" s="9">
        <v>1</v>
      </c>
      <c r="E535" s="9"/>
      <c r="F535" s="9"/>
      <c r="G535" s="9"/>
      <c r="H535" s="9"/>
      <c r="I535" s="9"/>
      <c r="J535" s="9"/>
      <c r="K535" s="9"/>
      <c r="L535" s="9">
        <v>1</v>
      </c>
      <c r="M535" s="9"/>
      <c r="N535" s="9"/>
    </row>
    <row r="536" spans="1:14" x14ac:dyDescent="0.25">
      <c r="A536" s="8" t="s">
        <v>975</v>
      </c>
      <c r="B536" s="9">
        <v>1</v>
      </c>
      <c r="C536" s="9">
        <v>1</v>
      </c>
      <c r="D536" s="9"/>
      <c r="E536" s="9"/>
      <c r="F536" s="9"/>
      <c r="G536" s="9"/>
      <c r="H536" s="9"/>
      <c r="I536" s="9"/>
      <c r="J536" s="9"/>
      <c r="K536" s="9"/>
      <c r="L536" s="9"/>
      <c r="M536" s="9">
        <v>1</v>
      </c>
      <c r="N536" s="9"/>
    </row>
    <row r="537" spans="1:14" ht="45" x14ac:dyDescent="0.25">
      <c r="A537" s="8" t="s">
        <v>467</v>
      </c>
      <c r="B537" s="9">
        <v>1</v>
      </c>
      <c r="C537" s="9">
        <v>1</v>
      </c>
      <c r="D537" s="9"/>
      <c r="E537" s="9"/>
      <c r="F537" s="9"/>
      <c r="G537" s="9"/>
      <c r="H537" s="9"/>
      <c r="I537" s="9"/>
      <c r="J537" s="9"/>
      <c r="K537" s="9"/>
      <c r="L537" s="9"/>
      <c r="M537" s="9">
        <v>1</v>
      </c>
      <c r="N537" s="9"/>
    </row>
    <row r="538" spans="1:14" x14ac:dyDescent="0.25">
      <c r="A538" s="8" t="s">
        <v>804</v>
      </c>
      <c r="B538" s="9">
        <v>1</v>
      </c>
      <c r="C538" s="9">
        <v>1</v>
      </c>
      <c r="D538" s="9"/>
      <c r="E538" s="9"/>
      <c r="F538" s="9"/>
      <c r="G538" s="9"/>
      <c r="H538" s="9"/>
      <c r="I538" s="9"/>
      <c r="J538" s="9"/>
      <c r="K538" s="9"/>
      <c r="L538" s="9"/>
      <c r="M538" s="9">
        <v>1</v>
      </c>
      <c r="N538" s="9"/>
    </row>
    <row r="539" spans="1:14" x14ac:dyDescent="0.25">
      <c r="A539" s="8" t="s">
        <v>976</v>
      </c>
      <c r="B539" s="9">
        <v>1</v>
      </c>
      <c r="C539" s="9">
        <v>1</v>
      </c>
      <c r="D539" s="9">
        <v>1</v>
      </c>
      <c r="E539" s="9"/>
      <c r="F539" s="9"/>
      <c r="G539" s="9"/>
      <c r="H539" s="9"/>
      <c r="I539" s="9"/>
      <c r="J539" s="9"/>
      <c r="K539" s="9"/>
      <c r="L539" s="9">
        <v>1</v>
      </c>
      <c r="M539" s="9"/>
      <c r="N539" s="9"/>
    </row>
    <row r="540" spans="1:14" ht="60" x14ac:dyDescent="0.25">
      <c r="A540" s="8" t="s">
        <v>469</v>
      </c>
      <c r="B540" s="9">
        <v>1</v>
      </c>
      <c r="C540" s="9">
        <v>1</v>
      </c>
      <c r="D540" s="9">
        <v>1</v>
      </c>
      <c r="E540" s="9"/>
      <c r="F540" s="9"/>
      <c r="G540" s="9"/>
      <c r="H540" s="9"/>
      <c r="I540" s="9"/>
      <c r="J540" s="9"/>
      <c r="K540" s="9"/>
      <c r="L540" s="9">
        <v>1</v>
      </c>
      <c r="M540" s="9"/>
      <c r="N540" s="9"/>
    </row>
    <row r="541" spans="1:14" x14ac:dyDescent="0.25">
      <c r="A541" s="8" t="s">
        <v>804</v>
      </c>
      <c r="B541" s="9">
        <v>1</v>
      </c>
      <c r="C541" s="9">
        <v>1</v>
      </c>
      <c r="D541" s="9">
        <v>1</v>
      </c>
      <c r="E541" s="9"/>
      <c r="F541" s="9"/>
      <c r="G541" s="9"/>
      <c r="H541" s="9"/>
      <c r="I541" s="9"/>
      <c r="J541" s="9"/>
      <c r="K541" s="9"/>
      <c r="L541" s="9">
        <v>1</v>
      </c>
      <c r="M541" s="9"/>
      <c r="N541" s="9"/>
    </row>
    <row r="542" spans="1:14" x14ac:dyDescent="0.25">
      <c r="A542" s="8" t="s">
        <v>977</v>
      </c>
      <c r="B542" s="9">
        <v>1</v>
      </c>
      <c r="C542" s="9">
        <v>1</v>
      </c>
      <c r="D542" s="9">
        <v>1</v>
      </c>
      <c r="E542" s="9"/>
      <c r="F542" s="9"/>
      <c r="G542" s="9"/>
      <c r="H542" s="9"/>
      <c r="I542" s="9"/>
      <c r="J542" s="9"/>
      <c r="K542" s="9"/>
      <c r="L542" s="9">
        <v>1</v>
      </c>
      <c r="M542" s="9"/>
      <c r="N542" s="9"/>
    </row>
    <row r="543" spans="1:14" ht="30" x14ac:dyDescent="0.25">
      <c r="A543" s="8" t="s">
        <v>471</v>
      </c>
      <c r="B543" s="9">
        <v>1</v>
      </c>
      <c r="C543" s="9">
        <v>1</v>
      </c>
      <c r="D543" s="9">
        <v>1</v>
      </c>
      <c r="E543" s="9"/>
      <c r="F543" s="9"/>
      <c r="G543" s="9"/>
      <c r="H543" s="9"/>
      <c r="I543" s="9"/>
      <c r="J543" s="9"/>
      <c r="K543" s="9"/>
      <c r="L543" s="9">
        <v>1</v>
      </c>
      <c r="M543" s="9"/>
      <c r="N543" s="9"/>
    </row>
    <row r="544" spans="1:14" x14ac:dyDescent="0.25">
      <c r="A544" s="8" t="s">
        <v>804</v>
      </c>
      <c r="B544" s="9">
        <v>1</v>
      </c>
      <c r="C544" s="9">
        <v>1</v>
      </c>
      <c r="D544" s="9">
        <v>1</v>
      </c>
      <c r="E544" s="9"/>
      <c r="F544" s="9"/>
      <c r="G544" s="9"/>
      <c r="H544" s="9"/>
      <c r="I544" s="9"/>
      <c r="J544" s="9"/>
      <c r="K544" s="9"/>
      <c r="L544" s="9">
        <v>1</v>
      </c>
      <c r="M544" s="9"/>
      <c r="N544" s="9"/>
    </row>
    <row r="545" spans="1:14" x14ac:dyDescent="0.25">
      <c r="A545" s="8" t="s">
        <v>978</v>
      </c>
      <c r="B545" s="9">
        <v>1</v>
      </c>
      <c r="C545" s="9">
        <v>1</v>
      </c>
      <c r="D545" s="9">
        <v>1</v>
      </c>
      <c r="E545" s="9"/>
      <c r="F545" s="9"/>
      <c r="G545" s="9"/>
      <c r="H545" s="9"/>
      <c r="I545" s="9"/>
      <c r="J545" s="9">
        <v>1</v>
      </c>
      <c r="K545" s="9"/>
      <c r="L545" s="9"/>
      <c r="M545" s="9"/>
      <c r="N545" s="9"/>
    </row>
    <row r="546" spans="1:14" ht="60" x14ac:dyDescent="0.25">
      <c r="A546" s="8" t="s">
        <v>474</v>
      </c>
      <c r="B546" s="9">
        <v>1</v>
      </c>
      <c r="C546" s="9">
        <v>1</v>
      </c>
      <c r="D546" s="9">
        <v>1</v>
      </c>
      <c r="E546" s="9"/>
      <c r="F546" s="9"/>
      <c r="G546" s="9"/>
      <c r="H546" s="9"/>
      <c r="I546" s="9"/>
      <c r="J546" s="9">
        <v>1</v>
      </c>
      <c r="K546" s="9"/>
      <c r="L546" s="9"/>
      <c r="M546" s="9"/>
      <c r="N546" s="9"/>
    </row>
    <row r="547" spans="1:14" x14ac:dyDescent="0.25">
      <c r="A547" s="8" t="s">
        <v>804</v>
      </c>
      <c r="B547" s="9">
        <v>1</v>
      </c>
      <c r="C547" s="9">
        <v>1</v>
      </c>
      <c r="D547" s="9">
        <v>1</v>
      </c>
      <c r="E547" s="9"/>
      <c r="F547" s="9"/>
      <c r="G547" s="9"/>
      <c r="H547" s="9"/>
      <c r="I547" s="9"/>
      <c r="J547" s="9">
        <v>1</v>
      </c>
      <c r="K547" s="9"/>
      <c r="L547" s="9"/>
      <c r="M547" s="9"/>
      <c r="N547" s="9"/>
    </row>
    <row r="548" spans="1:14" x14ac:dyDescent="0.25">
      <c r="A548" s="8" t="s">
        <v>979</v>
      </c>
      <c r="B548" s="9">
        <v>1</v>
      </c>
      <c r="C548" s="9">
        <v>1</v>
      </c>
      <c r="D548" s="9">
        <v>1</v>
      </c>
      <c r="E548" s="9"/>
      <c r="F548" s="9"/>
      <c r="G548" s="9"/>
      <c r="H548" s="9"/>
      <c r="I548" s="9"/>
      <c r="J548" s="9"/>
      <c r="K548" s="9"/>
      <c r="L548" s="9">
        <v>1</v>
      </c>
      <c r="M548" s="9"/>
      <c r="N548" s="9"/>
    </row>
    <row r="549" spans="1:14" ht="45" x14ac:dyDescent="0.25">
      <c r="A549" s="8" t="s">
        <v>476</v>
      </c>
      <c r="B549" s="9">
        <v>1</v>
      </c>
      <c r="C549" s="9">
        <v>1</v>
      </c>
      <c r="D549" s="9">
        <v>1</v>
      </c>
      <c r="E549" s="9"/>
      <c r="F549" s="9"/>
      <c r="G549" s="9"/>
      <c r="H549" s="9"/>
      <c r="I549" s="9"/>
      <c r="J549" s="9"/>
      <c r="K549" s="9"/>
      <c r="L549" s="9">
        <v>1</v>
      </c>
      <c r="M549" s="9"/>
      <c r="N549" s="9"/>
    </row>
    <row r="550" spans="1:14" x14ac:dyDescent="0.25">
      <c r="A550" s="8" t="s">
        <v>804</v>
      </c>
      <c r="B550" s="9">
        <v>1</v>
      </c>
      <c r="C550" s="9">
        <v>1</v>
      </c>
      <c r="D550" s="9">
        <v>1</v>
      </c>
      <c r="E550" s="9"/>
      <c r="F550" s="9"/>
      <c r="G550" s="9"/>
      <c r="H550" s="9"/>
      <c r="I550" s="9"/>
      <c r="J550" s="9"/>
      <c r="K550" s="9"/>
      <c r="L550" s="9">
        <v>1</v>
      </c>
      <c r="M550" s="9"/>
      <c r="N550" s="9"/>
    </row>
    <row r="551" spans="1:14" x14ac:dyDescent="0.25">
      <c r="A551" s="8" t="s">
        <v>980</v>
      </c>
      <c r="B551" s="9">
        <v>1</v>
      </c>
      <c r="C551" s="9">
        <v>1</v>
      </c>
      <c r="D551" s="9"/>
      <c r="E551" s="9"/>
      <c r="F551" s="9"/>
      <c r="G551" s="9"/>
      <c r="H551" s="9"/>
      <c r="I551" s="9"/>
      <c r="J551" s="9"/>
      <c r="K551" s="9"/>
      <c r="L551" s="9"/>
      <c r="M551" s="9"/>
      <c r="N551" s="9">
        <v>1</v>
      </c>
    </row>
    <row r="552" spans="1:14" ht="75" x14ac:dyDescent="0.25">
      <c r="A552" s="8" t="s">
        <v>478</v>
      </c>
      <c r="B552" s="9">
        <v>1</v>
      </c>
      <c r="C552" s="9">
        <v>1</v>
      </c>
      <c r="D552" s="9"/>
      <c r="E552" s="9"/>
      <c r="F552" s="9"/>
      <c r="G552" s="9"/>
      <c r="H552" s="9"/>
      <c r="I552" s="9"/>
      <c r="J552" s="9"/>
      <c r="K552" s="9"/>
      <c r="L552" s="9"/>
      <c r="M552" s="9"/>
      <c r="N552" s="9">
        <v>1</v>
      </c>
    </row>
    <row r="553" spans="1:14" x14ac:dyDescent="0.25">
      <c r="A553" s="8" t="s">
        <v>804</v>
      </c>
      <c r="B553" s="9">
        <v>1</v>
      </c>
      <c r="C553" s="9">
        <v>1</v>
      </c>
      <c r="D553" s="9"/>
      <c r="E553" s="9"/>
      <c r="F553" s="9"/>
      <c r="G553" s="9"/>
      <c r="H553" s="9"/>
      <c r="I553" s="9"/>
      <c r="J553" s="9"/>
      <c r="K553" s="9"/>
      <c r="L553" s="9"/>
      <c r="M553" s="9"/>
      <c r="N553" s="9">
        <v>1</v>
      </c>
    </row>
    <row r="554" spans="1:14" x14ac:dyDescent="0.25">
      <c r="A554" s="8" t="s">
        <v>981</v>
      </c>
      <c r="B554" s="9">
        <v>1</v>
      </c>
      <c r="C554" s="9">
        <v>1</v>
      </c>
      <c r="D554" s="9"/>
      <c r="E554" s="9"/>
      <c r="F554" s="9"/>
      <c r="G554" s="9"/>
      <c r="H554" s="9"/>
      <c r="I554" s="9"/>
      <c r="J554" s="9"/>
      <c r="K554" s="9"/>
      <c r="L554" s="9"/>
      <c r="M554" s="9"/>
      <c r="N554" s="9">
        <v>1</v>
      </c>
    </row>
    <row r="555" spans="1:14" ht="45" x14ac:dyDescent="0.25">
      <c r="A555" s="8" t="s">
        <v>479</v>
      </c>
      <c r="B555" s="9">
        <v>1</v>
      </c>
      <c r="C555" s="9">
        <v>1</v>
      </c>
      <c r="D555" s="9"/>
      <c r="E555" s="9"/>
      <c r="F555" s="9"/>
      <c r="G555" s="9"/>
      <c r="H555" s="9"/>
      <c r="I555" s="9"/>
      <c r="J555" s="9"/>
      <c r="K555" s="9"/>
      <c r="L555" s="9"/>
      <c r="M555" s="9"/>
      <c r="N555" s="9">
        <v>1</v>
      </c>
    </row>
    <row r="556" spans="1:14" x14ac:dyDescent="0.25">
      <c r="A556" s="8" t="s">
        <v>804</v>
      </c>
      <c r="B556" s="9">
        <v>1</v>
      </c>
      <c r="C556" s="9">
        <v>1</v>
      </c>
      <c r="D556" s="9"/>
      <c r="E556" s="9"/>
      <c r="F556" s="9"/>
      <c r="G556" s="9"/>
      <c r="H556" s="9"/>
      <c r="I556" s="9"/>
      <c r="J556" s="9"/>
      <c r="K556" s="9"/>
      <c r="L556" s="9"/>
      <c r="M556" s="9"/>
      <c r="N556" s="9">
        <v>1</v>
      </c>
    </row>
    <row r="557" spans="1:14" x14ac:dyDescent="0.25">
      <c r="A557" s="8" t="s">
        <v>982</v>
      </c>
      <c r="B557" s="9">
        <v>1</v>
      </c>
      <c r="C557" s="9">
        <v>1</v>
      </c>
      <c r="D557" s="9">
        <v>1</v>
      </c>
      <c r="E557" s="9"/>
      <c r="F557" s="9"/>
      <c r="G557" s="9"/>
      <c r="H557" s="9"/>
      <c r="I557" s="9"/>
      <c r="J557" s="9"/>
      <c r="K557" s="9"/>
      <c r="L557" s="9">
        <v>1</v>
      </c>
      <c r="M557" s="9"/>
      <c r="N557" s="9"/>
    </row>
    <row r="558" spans="1:14" ht="60" x14ac:dyDescent="0.25">
      <c r="A558" s="8" t="s">
        <v>482</v>
      </c>
      <c r="B558" s="9">
        <v>1</v>
      </c>
      <c r="C558" s="9">
        <v>1</v>
      </c>
      <c r="D558" s="9">
        <v>1</v>
      </c>
      <c r="E558" s="9"/>
      <c r="F558" s="9"/>
      <c r="G558" s="9"/>
      <c r="H558" s="9"/>
      <c r="I558" s="9"/>
      <c r="J558" s="9"/>
      <c r="K558" s="9"/>
      <c r="L558" s="9">
        <v>1</v>
      </c>
      <c r="M558" s="9"/>
      <c r="N558" s="9"/>
    </row>
    <row r="559" spans="1:14" x14ac:dyDescent="0.25">
      <c r="A559" s="8" t="s">
        <v>804</v>
      </c>
      <c r="B559" s="9">
        <v>1</v>
      </c>
      <c r="C559" s="9">
        <v>1</v>
      </c>
      <c r="D559" s="9">
        <v>1</v>
      </c>
      <c r="E559" s="9"/>
      <c r="F559" s="9"/>
      <c r="G559" s="9"/>
      <c r="H559" s="9"/>
      <c r="I559" s="9"/>
      <c r="J559" s="9"/>
      <c r="K559" s="9"/>
      <c r="L559" s="9">
        <v>1</v>
      </c>
      <c r="M559" s="9"/>
      <c r="N559" s="9"/>
    </row>
    <row r="560" spans="1:14" x14ac:dyDescent="0.25">
      <c r="A560" s="8" t="s">
        <v>983</v>
      </c>
      <c r="B560" s="9">
        <v>1</v>
      </c>
      <c r="C560" s="9">
        <v>1</v>
      </c>
      <c r="D560" s="9"/>
      <c r="E560" s="9"/>
      <c r="F560" s="9"/>
      <c r="G560" s="9"/>
      <c r="H560" s="9"/>
      <c r="I560" s="9"/>
      <c r="J560" s="9"/>
      <c r="K560" s="9"/>
      <c r="L560" s="9"/>
      <c r="M560" s="9"/>
      <c r="N560" s="9">
        <v>1</v>
      </c>
    </row>
    <row r="561" spans="1:14" ht="60" x14ac:dyDescent="0.25">
      <c r="A561" s="8" t="s">
        <v>485</v>
      </c>
      <c r="B561" s="9">
        <v>1</v>
      </c>
      <c r="C561" s="9">
        <v>1</v>
      </c>
      <c r="D561" s="9"/>
      <c r="E561" s="9"/>
      <c r="F561" s="9"/>
      <c r="G561" s="9"/>
      <c r="H561" s="9"/>
      <c r="I561" s="9"/>
      <c r="J561" s="9"/>
      <c r="K561" s="9"/>
      <c r="L561" s="9"/>
      <c r="M561" s="9"/>
      <c r="N561" s="9">
        <v>1</v>
      </c>
    </row>
    <row r="562" spans="1:14" x14ac:dyDescent="0.25">
      <c r="A562" s="8" t="s">
        <v>804</v>
      </c>
      <c r="B562" s="9">
        <v>1</v>
      </c>
      <c r="C562" s="9">
        <v>1</v>
      </c>
      <c r="D562" s="9"/>
      <c r="E562" s="9"/>
      <c r="F562" s="9"/>
      <c r="G562" s="9"/>
      <c r="H562" s="9"/>
      <c r="I562" s="9"/>
      <c r="J562" s="9"/>
      <c r="K562" s="9"/>
      <c r="L562" s="9"/>
      <c r="M562" s="9"/>
      <c r="N562" s="9">
        <v>1</v>
      </c>
    </row>
    <row r="563" spans="1:14" x14ac:dyDescent="0.25">
      <c r="A563" s="8" t="s">
        <v>984</v>
      </c>
      <c r="B563" s="9">
        <v>1</v>
      </c>
      <c r="C563" s="9">
        <v>1</v>
      </c>
      <c r="D563" s="9"/>
      <c r="E563" s="9"/>
      <c r="F563" s="9"/>
      <c r="G563" s="9"/>
      <c r="H563" s="9"/>
      <c r="I563" s="9"/>
      <c r="J563" s="9"/>
      <c r="K563" s="9"/>
      <c r="L563" s="9">
        <v>1</v>
      </c>
      <c r="M563" s="9"/>
      <c r="N563" s="9"/>
    </row>
    <row r="564" spans="1:14" ht="30" x14ac:dyDescent="0.25">
      <c r="A564" s="8" t="s">
        <v>489</v>
      </c>
      <c r="B564" s="9">
        <v>1</v>
      </c>
      <c r="C564" s="9">
        <v>1</v>
      </c>
      <c r="D564" s="9"/>
      <c r="E564" s="9"/>
      <c r="F564" s="9"/>
      <c r="G564" s="9"/>
      <c r="H564" s="9"/>
      <c r="I564" s="9"/>
      <c r="J564" s="9"/>
      <c r="K564" s="9"/>
      <c r="L564" s="9">
        <v>1</v>
      </c>
      <c r="M564" s="9"/>
      <c r="N564" s="9"/>
    </row>
    <row r="565" spans="1:14" x14ac:dyDescent="0.25">
      <c r="A565" s="8" t="s">
        <v>804</v>
      </c>
      <c r="B565" s="9">
        <v>1</v>
      </c>
      <c r="C565" s="9">
        <v>1</v>
      </c>
      <c r="D565" s="9"/>
      <c r="E565" s="9"/>
      <c r="F565" s="9"/>
      <c r="G565" s="9"/>
      <c r="H565" s="9"/>
      <c r="I565" s="9"/>
      <c r="J565" s="9"/>
      <c r="K565" s="9"/>
      <c r="L565" s="9">
        <v>1</v>
      </c>
      <c r="M565" s="9"/>
      <c r="N565" s="9"/>
    </row>
    <row r="566" spans="1:14" x14ac:dyDescent="0.25">
      <c r="A566" s="8" t="s">
        <v>985</v>
      </c>
      <c r="B566" s="9">
        <v>1</v>
      </c>
      <c r="C566" s="9">
        <v>1</v>
      </c>
      <c r="D566" s="9"/>
      <c r="E566" s="9"/>
      <c r="F566" s="9"/>
      <c r="G566" s="9"/>
      <c r="H566" s="9"/>
      <c r="I566" s="9"/>
      <c r="J566" s="9"/>
      <c r="K566" s="9"/>
      <c r="L566" s="9">
        <v>1</v>
      </c>
      <c r="M566" s="9"/>
      <c r="N566" s="9"/>
    </row>
    <row r="567" spans="1:14" ht="30" x14ac:dyDescent="0.25">
      <c r="A567" s="8" t="s">
        <v>493</v>
      </c>
      <c r="B567" s="9">
        <v>1</v>
      </c>
      <c r="C567" s="9">
        <v>1</v>
      </c>
      <c r="D567" s="9"/>
      <c r="E567" s="9"/>
      <c r="F567" s="9"/>
      <c r="G567" s="9"/>
      <c r="H567" s="9"/>
      <c r="I567" s="9"/>
      <c r="J567" s="9"/>
      <c r="K567" s="9"/>
      <c r="L567" s="9">
        <v>1</v>
      </c>
      <c r="M567" s="9"/>
      <c r="N567" s="9"/>
    </row>
    <row r="568" spans="1:14" x14ac:dyDescent="0.25">
      <c r="A568" s="8" t="s">
        <v>804</v>
      </c>
      <c r="B568" s="9">
        <v>1</v>
      </c>
      <c r="C568" s="9">
        <v>1</v>
      </c>
      <c r="D568" s="9"/>
      <c r="E568" s="9"/>
      <c r="F568" s="9"/>
      <c r="G568" s="9"/>
      <c r="H568" s="9"/>
      <c r="I568" s="9"/>
      <c r="J568" s="9"/>
      <c r="K568" s="9"/>
      <c r="L568" s="9">
        <v>1</v>
      </c>
      <c r="M568" s="9"/>
      <c r="N568" s="9"/>
    </row>
    <row r="569" spans="1:14" x14ac:dyDescent="0.25">
      <c r="A569" s="8" t="s">
        <v>986</v>
      </c>
      <c r="B569" s="9">
        <v>1</v>
      </c>
      <c r="C569" s="9">
        <v>1</v>
      </c>
      <c r="D569" s="9">
        <v>1</v>
      </c>
      <c r="E569" s="9"/>
      <c r="F569" s="9"/>
      <c r="G569" s="9"/>
      <c r="H569" s="9"/>
      <c r="I569" s="9"/>
      <c r="J569" s="9"/>
      <c r="K569" s="9"/>
      <c r="L569" s="9"/>
      <c r="M569" s="9"/>
      <c r="N569" s="9">
        <v>1</v>
      </c>
    </row>
    <row r="570" spans="1:14" ht="30" x14ac:dyDescent="0.25">
      <c r="A570" s="8" t="s">
        <v>494</v>
      </c>
      <c r="B570" s="9">
        <v>1</v>
      </c>
      <c r="C570" s="9">
        <v>1</v>
      </c>
      <c r="D570" s="9">
        <v>1</v>
      </c>
      <c r="E570" s="9"/>
      <c r="F570" s="9"/>
      <c r="G570" s="9"/>
      <c r="H570" s="9"/>
      <c r="I570" s="9"/>
      <c r="J570" s="9"/>
      <c r="K570" s="9"/>
      <c r="L570" s="9"/>
      <c r="M570" s="9"/>
      <c r="N570" s="9">
        <v>1</v>
      </c>
    </row>
    <row r="571" spans="1:14" x14ac:dyDescent="0.25">
      <c r="A571" s="8" t="s">
        <v>804</v>
      </c>
      <c r="B571" s="9">
        <v>1</v>
      </c>
      <c r="C571" s="9">
        <v>1</v>
      </c>
      <c r="D571" s="9">
        <v>1</v>
      </c>
      <c r="E571" s="9"/>
      <c r="F571" s="9"/>
      <c r="G571" s="9"/>
      <c r="H571" s="9"/>
      <c r="I571" s="9"/>
      <c r="J571" s="9"/>
      <c r="K571" s="9"/>
      <c r="L571" s="9"/>
      <c r="M571" s="9"/>
      <c r="N571" s="9">
        <v>1</v>
      </c>
    </row>
    <row r="572" spans="1:14" x14ac:dyDescent="0.25">
      <c r="A572" s="8" t="s">
        <v>987</v>
      </c>
      <c r="B572" s="9">
        <v>1</v>
      </c>
      <c r="C572" s="9">
        <v>1</v>
      </c>
      <c r="D572" s="9">
        <v>1</v>
      </c>
      <c r="E572" s="9"/>
      <c r="F572" s="9"/>
      <c r="G572" s="9"/>
      <c r="H572" s="9"/>
      <c r="I572" s="9"/>
      <c r="J572" s="9">
        <v>1</v>
      </c>
      <c r="K572" s="9"/>
      <c r="L572" s="9"/>
      <c r="M572" s="9"/>
      <c r="N572" s="9"/>
    </row>
    <row r="573" spans="1:14" ht="30" x14ac:dyDescent="0.25">
      <c r="A573" s="8" t="s">
        <v>498</v>
      </c>
      <c r="B573" s="9">
        <v>1</v>
      </c>
      <c r="C573" s="9">
        <v>1</v>
      </c>
      <c r="D573" s="9">
        <v>1</v>
      </c>
      <c r="E573" s="9"/>
      <c r="F573" s="9"/>
      <c r="G573" s="9"/>
      <c r="H573" s="9"/>
      <c r="I573" s="9"/>
      <c r="J573" s="9">
        <v>1</v>
      </c>
      <c r="K573" s="9"/>
      <c r="L573" s="9"/>
      <c r="M573" s="9"/>
      <c r="N573" s="9"/>
    </row>
    <row r="574" spans="1:14" x14ac:dyDescent="0.25">
      <c r="A574" s="8" t="s">
        <v>804</v>
      </c>
      <c r="B574" s="9">
        <v>1</v>
      </c>
      <c r="C574" s="9">
        <v>1</v>
      </c>
      <c r="D574" s="9">
        <v>1</v>
      </c>
      <c r="E574" s="9"/>
      <c r="F574" s="9"/>
      <c r="G574" s="9"/>
      <c r="H574" s="9"/>
      <c r="I574" s="9"/>
      <c r="J574" s="9">
        <v>1</v>
      </c>
      <c r="K574" s="9"/>
      <c r="L574" s="9"/>
      <c r="M574" s="9"/>
      <c r="N574" s="9"/>
    </row>
    <row r="575" spans="1:14" x14ac:dyDescent="0.25">
      <c r="A575" s="8" t="s">
        <v>988</v>
      </c>
      <c r="B575" s="9">
        <v>1</v>
      </c>
      <c r="C575" s="9">
        <v>1</v>
      </c>
      <c r="D575" s="9">
        <v>1</v>
      </c>
      <c r="E575" s="9">
        <v>1</v>
      </c>
      <c r="F575" s="9">
        <v>1</v>
      </c>
      <c r="G575" s="9"/>
      <c r="H575" s="9"/>
      <c r="I575" s="9"/>
      <c r="J575" s="9">
        <v>1</v>
      </c>
      <c r="K575" s="9"/>
      <c r="L575" s="9"/>
      <c r="M575" s="9"/>
      <c r="N575" s="9"/>
    </row>
    <row r="576" spans="1:14" ht="30" x14ac:dyDescent="0.25">
      <c r="A576" s="8" t="s">
        <v>500</v>
      </c>
      <c r="B576" s="9">
        <v>1</v>
      </c>
      <c r="C576" s="9">
        <v>1</v>
      </c>
      <c r="D576" s="9">
        <v>1</v>
      </c>
      <c r="E576" s="9">
        <v>1</v>
      </c>
      <c r="F576" s="9">
        <v>1</v>
      </c>
      <c r="G576" s="9"/>
      <c r="H576" s="9"/>
      <c r="I576" s="9"/>
      <c r="J576" s="9">
        <v>1</v>
      </c>
      <c r="K576" s="9"/>
      <c r="L576" s="9"/>
      <c r="M576" s="9"/>
      <c r="N576" s="9"/>
    </row>
    <row r="577" spans="1:14" x14ac:dyDescent="0.25">
      <c r="A577" s="8" t="s">
        <v>804</v>
      </c>
      <c r="B577" s="9">
        <v>1</v>
      </c>
      <c r="C577" s="9">
        <v>1</v>
      </c>
      <c r="D577" s="9">
        <v>1</v>
      </c>
      <c r="E577" s="9">
        <v>1</v>
      </c>
      <c r="F577" s="9">
        <v>1</v>
      </c>
      <c r="G577" s="9"/>
      <c r="H577" s="9"/>
      <c r="I577" s="9"/>
      <c r="J577" s="9">
        <v>1</v>
      </c>
      <c r="K577" s="9"/>
      <c r="L577" s="9"/>
      <c r="M577" s="9"/>
      <c r="N577" s="9"/>
    </row>
    <row r="578" spans="1:14" x14ac:dyDescent="0.25">
      <c r="A578" s="8" t="s">
        <v>989</v>
      </c>
      <c r="B578" s="9">
        <v>1</v>
      </c>
      <c r="C578" s="9">
        <v>1</v>
      </c>
      <c r="D578" s="9"/>
      <c r="E578" s="9"/>
      <c r="F578" s="9"/>
      <c r="G578" s="9"/>
      <c r="H578" s="9"/>
      <c r="I578" s="9"/>
      <c r="J578" s="9"/>
      <c r="K578" s="9"/>
      <c r="L578" s="9"/>
      <c r="M578" s="9"/>
      <c r="N578" s="9">
        <v>1</v>
      </c>
    </row>
    <row r="579" spans="1:14" x14ac:dyDescent="0.25">
      <c r="A579" s="8" t="s">
        <v>501</v>
      </c>
      <c r="B579" s="9">
        <v>1</v>
      </c>
      <c r="C579" s="9">
        <v>1</v>
      </c>
      <c r="D579" s="9"/>
      <c r="E579" s="9"/>
      <c r="F579" s="9"/>
      <c r="G579" s="9"/>
      <c r="H579" s="9"/>
      <c r="I579" s="9"/>
      <c r="J579" s="9"/>
      <c r="K579" s="9"/>
      <c r="L579" s="9"/>
      <c r="M579" s="9"/>
      <c r="N579" s="9">
        <v>1</v>
      </c>
    </row>
    <row r="580" spans="1:14" x14ac:dyDescent="0.25">
      <c r="A580" s="8" t="s">
        <v>804</v>
      </c>
      <c r="B580" s="9">
        <v>1</v>
      </c>
      <c r="C580" s="9">
        <v>1</v>
      </c>
      <c r="D580" s="9"/>
      <c r="E580" s="9"/>
      <c r="F580" s="9"/>
      <c r="G580" s="9"/>
      <c r="H580" s="9"/>
      <c r="I580" s="9"/>
      <c r="J580" s="9"/>
      <c r="K580" s="9"/>
      <c r="L580" s="9"/>
      <c r="M580" s="9"/>
      <c r="N580" s="9">
        <v>1</v>
      </c>
    </row>
    <row r="581" spans="1:14" x14ac:dyDescent="0.25">
      <c r="A581" s="8" t="s">
        <v>990</v>
      </c>
      <c r="B581" s="9">
        <v>1</v>
      </c>
      <c r="C581" s="9">
        <v>1</v>
      </c>
      <c r="D581" s="9"/>
      <c r="E581" s="9"/>
      <c r="F581" s="9"/>
      <c r="G581" s="9"/>
      <c r="H581" s="9"/>
      <c r="I581" s="9"/>
      <c r="J581" s="9"/>
      <c r="K581" s="9"/>
      <c r="L581" s="9"/>
      <c r="M581" s="9"/>
      <c r="N581" s="9">
        <v>1</v>
      </c>
    </row>
    <row r="582" spans="1:14" ht="30" x14ac:dyDescent="0.25">
      <c r="A582" s="8" t="s">
        <v>502</v>
      </c>
      <c r="B582" s="9">
        <v>1</v>
      </c>
      <c r="C582" s="9">
        <v>1</v>
      </c>
      <c r="D582" s="9"/>
      <c r="E582" s="9"/>
      <c r="F582" s="9"/>
      <c r="G582" s="9"/>
      <c r="H582" s="9"/>
      <c r="I582" s="9"/>
      <c r="J582" s="9"/>
      <c r="K582" s="9"/>
      <c r="L582" s="9"/>
      <c r="M582" s="9"/>
      <c r="N582" s="9">
        <v>1</v>
      </c>
    </row>
    <row r="583" spans="1:14" x14ac:dyDescent="0.25">
      <c r="A583" s="8" t="s">
        <v>804</v>
      </c>
      <c r="B583" s="9">
        <v>1</v>
      </c>
      <c r="C583" s="9">
        <v>1</v>
      </c>
      <c r="D583" s="9"/>
      <c r="E583" s="9"/>
      <c r="F583" s="9"/>
      <c r="G583" s="9"/>
      <c r="H583" s="9"/>
      <c r="I583" s="9"/>
      <c r="J583" s="9"/>
      <c r="K583" s="9"/>
      <c r="L583" s="9"/>
      <c r="M583" s="9"/>
      <c r="N583" s="9">
        <v>1</v>
      </c>
    </row>
    <row r="584" spans="1:14" x14ac:dyDescent="0.25">
      <c r="A584" s="8" t="s">
        <v>991</v>
      </c>
      <c r="B584" s="9">
        <v>1</v>
      </c>
      <c r="C584" s="9">
        <v>1</v>
      </c>
      <c r="D584" s="9">
        <v>1</v>
      </c>
      <c r="E584" s="9"/>
      <c r="F584" s="9"/>
      <c r="G584" s="9"/>
      <c r="H584" s="9"/>
      <c r="I584" s="9"/>
      <c r="J584" s="9">
        <v>1</v>
      </c>
      <c r="K584" s="9"/>
      <c r="L584" s="9"/>
      <c r="M584" s="9"/>
      <c r="N584" s="9"/>
    </row>
    <row r="585" spans="1:14" ht="45" x14ac:dyDescent="0.25">
      <c r="A585" s="8" t="s">
        <v>505</v>
      </c>
      <c r="B585" s="9">
        <v>1</v>
      </c>
      <c r="C585" s="9">
        <v>1</v>
      </c>
      <c r="D585" s="9">
        <v>1</v>
      </c>
      <c r="E585" s="9"/>
      <c r="F585" s="9"/>
      <c r="G585" s="9"/>
      <c r="H585" s="9"/>
      <c r="I585" s="9"/>
      <c r="J585" s="9">
        <v>1</v>
      </c>
      <c r="K585" s="9"/>
      <c r="L585" s="9"/>
      <c r="M585" s="9"/>
      <c r="N585" s="9"/>
    </row>
    <row r="586" spans="1:14" x14ac:dyDescent="0.25">
      <c r="A586" s="8" t="s">
        <v>804</v>
      </c>
      <c r="B586" s="9">
        <v>1</v>
      </c>
      <c r="C586" s="9">
        <v>1</v>
      </c>
      <c r="D586" s="9">
        <v>1</v>
      </c>
      <c r="E586" s="9"/>
      <c r="F586" s="9"/>
      <c r="G586" s="9"/>
      <c r="H586" s="9"/>
      <c r="I586" s="9"/>
      <c r="J586" s="9">
        <v>1</v>
      </c>
      <c r="K586" s="9"/>
      <c r="L586" s="9"/>
      <c r="M586" s="9"/>
      <c r="N586" s="9"/>
    </row>
    <row r="587" spans="1:14" x14ac:dyDescent="0.25">
      <c r="A587" s="8" t="s">
        <v>992</v>
      </c>
      <c r="B587" s="9">
        <v>1</v>
      </c>
      <c r="C587" s="9">
        <v>1</v>
      </c>
      <c r="D587" s="9">
        <v>1</v>
      </c>
      <c r="E587" s="9"/>
      <c r="F587" s="9"/>
      <c r="G587" s="9"/>
      <c r="H587" s="9"/>
      <c r="I587" s="9"/>
      <c r="J587" s="9">
        <v>1</v>
      </c>
      <c r="K587" s="9"/>
      <c r="L587" s="9"/>
      <c r="M587" s="9"/>
      <c r="N587" s="9"/>
    </row>
    <row r="588" spans="1:14" ht="45" x14ac:dyDescent="0.25">
      <c r="A588" s="8" t="s">
        <v>508</v>
      </c>
      <c r="B588" s="9">
        <v>1</v>
      </c>
      <c r="C588" s="9">
        <v>1</v>
      </c>
      <c r="D588" s="9">
        <v>1</v>
      </c>
      <c r="E588" s="9"/>
      <c r="F588" s="9"/>
      <c r="G588" s="9"/>
      <c r="H588" s="9"/>
      <c r="I588" s="9"/>
      <c r="J588" s="9">
        <v>1</v>
      </c>
      <c r="K588" s="9"/>
      <c r="L588" s="9"/>
      <c r="M588" s="9"/>
      <c r="N588" s="9"/>
    </row>
    <row r="589" spans="1:14" x14ac:dyDescent="0.25">
      <c r="A589" s="8" t="s">
        <v>804</v>
      </c>
      <c r="B589" s="9">
        <v>1</v>
      </c>
      <c r="C589" s="9">
        <v>1</v>
      </c>
      <c r="D589" s="9">
        <v>1</v>
      </c>
      <c r="E589" s="9"/>
      <c r="F589" s="9"/>
      <c r="G589" s="9"/>
      <c r="H589" s="9"/>
      <c r="I589" s="9"/>
      <c r="J589" s="9">
        <v>1</v>
      </c>
      <c r="K589" s="9"/>
      <c r="L589" s="9"/>
      <c r="M589" s="9"/>
      <c r="N589" s="9"/>
    </row>
    <row r="590" spans="1:14" x14ac:dyDescent="0.25">
      <c r="A590" s="8" t="s">
        <v>1000</v>
      </c>
      <c r="B590" s="9">
        <v>1</v>
      </c>
      <c r="C590" s="9">
        <v>1</v>
      </c>
      <c r="D590" s="9"/>
      <c r="E590" s="9"/>
      <c r="F590" s="9"/>
      <c r="G590" s="9"/>
      <c r="H590" s="9"/>
      <c r="I590" s="9"/>
      <c r="J590" s="9"/>
      <c r="K590" s="9"/>
      <c r="L590" s="9">
        <v>1</v>
      </c>
      <c r="M590" s="9"/>
      <c r="N590" s="9"/>
    </row>
    <row r="591" spans="1:14" ht="45" x14ac:dyDescent="0.25">
      <c r="A591" s="8" t="s">
        <v>528</v>
      </c>
      <c r="B591" s="9">
        <v>1</v>
      </c>
      <c r="C591" s="9">
        <v>1</v>
      </c>
      <c r="D591" s="9"/>
      <c r="E591" s="9"/>
      <c r="F591" s="9"/>
      <c r="G591" s="9"/>
      <c r="H591" s="9"/>
      <c r="I591" s="9"/>
      <c r="J591" s="9"/>
      <c r="K591" s="9"/>
      <c r="L591" s="9">
        <v>1</v>
      </c>
      <c r="M591" s="9"/>
      <c r="N591" s="9"/>
    </row>
    <row r="592" spans="1:14" x14ac:dyDescent="0.25">
      <c r="A592" s="8" t="s">
        <v>804</v>
      </c>
      <c r="B592" s="9">
        <v>1</v>
      </c>
      <c r="C592" s="9">
        <v>1</v>
      </c>
      <c r="D592" s="9"/>
      <c r="E592" s="9"/>
      <c r="F592" s="9"/>
      <c r="G592" s="9"/>
      <c r="H592" s="9"/>
      <c r="I592" s="9"/>
      <c r="J592" s="9"/>
      <c r="K592" s="9"/>
      <c r="L592" s="9">
        <v>1</v>
      </c>
      <c r="M592" s="9"/>
      <c r="N592" s="9"/>
    </row>
    <row r="593" spans="1:14" x14ac:dyDescent="0.25">
      <c r="A593" s="8" t="s">
        <v>1001</v>
      </c>
      <c r="B593" s="9">
        <v>1</v>
      </c>
      <c r="C593" s="9">
        <v>1</v>
      </c>
      <c r="D593" s="9"/>
      <c r="E593" s="9"/>
      <c r="F593" s="9"/>
      <c r="G593" s="9"/>
      <c r="H593" s="9"/>
      <c r="I593" s="9"/>
      <c r="J593" s="9"/>
      <c r="K593" s="9"/>
      <c r="L593" s="9"/>
      <c r="M593" s="9"/>
      <c r="N593" s="9">
        <v>1</v>
      </c>
    </row>
    <row r="594" spans="1:14" ht="60" x14ac:dyDescent="0.25">
      <c r="A594" s="8" t="s">
        <v>530</v>
      </c>
      <c r="B594" s="9">
        <v>1</v>
      </c>
      <c r="C594" s="9">
        <v>1</v>
      </c>
      <c r="D594" s="9"/>
      <c r="E594" s="9"/>
      <c r="F594" s="9"/>
      <c r="G594" s="9"/>
      <c r="H594" s="9"/>
      <c r="I594" s="9"/>
      <c r="J594" s="9"/>
      <c r="K594" s="9"/>
      <c r="L594" s="9"/>
      <c r="M594" s="9"/>
      <c r="N594" s="9">
        <v>1</v>
      </c>
    </row>
    <row r="595" spans="1:14" x14ac:dyDescent="0.25">
      <c r="A595" s="8" t="s">
        <v>804</v>
      </c>
      <c r="B595" s="9">
        <v>1</v>
      </c>
      <c r="C595" s="9">
        <v>1</v>
      </c>
      <c r="D595" s="9"/>
      <c r="E595" s="9"/>
      <c r="F595" s="9"/>
      <c r="G595" s="9"/>
      <c r="H595" s="9"/>
      <c r="I595" s="9"/>
      <c r="J595" s="9"/>
      <c r="K595" s="9"/>
      <c r="L595" s="9"/>
      <c r="M595" s="9"/>
      <c r="N595" s="9">
        <v>1</v>
      </c>
    </row>
    <row r="596" spans="1:14" x14ac:dyDescent="0.25">
      <c r="A596" s="8" t="s">
        <v>1002</v>
      </c>
      <c r="B596" s="9">
        <v>1</v>
      </c>
      <c r="C596" s="9">
        <v>1</v>
      </c>
      <c r="D596" s="9"/>
      <c r="E596" s="9"/>
      <c r="F596" s="9"/>
      <c r="G596" s="9"/>
      <c r="H596" s="9"/>
      <c r="I596" s="9"/>
      <c r="J596" s="9"/>
      <c r="K596" s="9"/>
      <c r="L596" s="9"/>
      <c r="M596" s="9"/>
      <c r="N596" s="9">
        <v>1</v>
      </c>
    </row>
    <row r="597" spans="1:14" x14ac:dyDescent="0.25">
      <c r="A597" s="8" t="s">
        <v>531</v>
      </c>
      <c r="B597" s="9">
        <v>1</v>
      </c>
      <c r="C597" s="9">
        <v>1</v>
      </c>
      <c r="D597" s="9"/>
      <c r="E597" s="9"/>
      <c r="F597" s="9"/>
      <c r="G597" s="9"/>
      <c r="H597" s="9"/>
      <c r="I597" s="9"/>
      <c r="J597" s="9"/>
      <c r="K597" s="9"/>
      <c r="L597" s="9"/>
      <c r="M597" s="9"/>
      <c r="N597" s="9">
        <v>1</v>
      </c>
    </row>
    <row r="598" spans="1:14" x14ac:dyDescent="0.25">
      <c r="A598" s="8" t="s">
        <v>804</v>
      </c>
      <c r="B598" s="9">
        <v>1</v>
      </c>
      <c r="C598" s="9">
        <v>1</v>
      </c>
      <c r="D598" s="9"/>
      <c r="E598" s="9"/>
      <c r="F598" s="9"/>
      <c r="G598" s="9"/>
      <c r="H598" s="9"/>
      <c r="I598" s="9"/>
      <c r="J598" s="9"/>
      <c r="K598" s="9"/>
      <c r="L598" s="9"/>
      <c r="M598" s="9"/>
      <c r="N598" s="9">
        <v>1</v>
      </c>
    </row>
    <row r="599" spans="1:14" x14ac:dyDescent="0.25">
      <c r="A599" s="8" t="s">
        <v>1003</v>
      </c>
      <c r="B599" s="9">
        <v>1</v>
      </c>
      <c r="C599" s="9">
        <v>1</v>
      </c>
      <c r="D599" s="9"/>
      <c r="E599" s="9"/>
      <c r="F599" s="9"/>
      <c r="G599" s="9"/>
      <c r="H599" s="9"/>
      <c r="I599" s="9"/>
      <c r="J599" s="9"/>
      <c r="K599" s="9"/>
      <c r="L599" s="9"/>
      <c r="M599" s="9"/>
      <c r="N599" s="9">
        <v>1</v>
      </c>
    </row>
    <row r="600" spans="1:14" x14ac:dyDescent="0.25">
      <c r="A600" s="8" t="s">
        <v>532</v>
      </c>
      <c r="B600" s="9">
        <v>1</v>
      </c>
      <c r="C600" s="9">
        <v>1</v>
      </c>
      <c r="D600" s="9"/>
      <c r="E600" s="9"/>
      <c r="F600" s="9"/>
      <c r="G600" s="9"/>
      <c r="H600" s="9"/>
      <c r="I600" s="9"/>
      <c r="J600" s="9"/>
      <c r="K600" s="9"/>
      <c r="L600" s="9"/>
      <c r="M600" s="9"/>
      <c r="N600" s="9">
        <v>1</v>
      </c>
    </row>
    <row r="601" spans="1:14" x14ac:dyDescent="0.25">
      <c r="A601" s="8" t="s">
        <v>804</v>
      </c>
      <c r="B601" s="9">
        <v>1</v>
      </c>
      <c r="C601" s="9">
        <v>1</v>
      </c>
      <c r="D601" s="9"/>
      <c r="E601" s="9"/>
      <c r="F601" s="9"/>
      <c r="G601" s="9"/>
      <c r="H601" s="9"/>
      <c r="I601" s="9"/>
      <c r="J601" s="9"/>
      <c r="K601" s="9"/>
      <c r="L601" s="9"/>
      <c r="M601" s="9"/>
      <c r="N601" s="9">
        <v>1</v>
      </c>
    </row>
    <row r="602" spans="1:14" x14ac:dyDescent="0.25">
      <c r="A602" s="8" t="s">
        <v>1004</v>
      </c>
      <c r="B602" s="9">
        <v>1</v>
      </c>
      <c r="C602" s="9">
        <v>1</v>
      </c>
      <c r="D602" s="9"/>
      <c r="E602" s="9"/>
      <c r="F602" s="9"/>
      <c r="G602" s="9"/>
      <c r="H602" s="9"/>
      <c r="I602" s="9"/>
      <c r="J602" s="9"/>
      <c r="K602" s="9"/>
      <c r="L602" s="9"/>
      <c r="M602" s="9"/>
      <c r="N602" s="9">
        <v>1</v>
      </c>
    </row>
    <row r="603" spans="1:14" ht="60" x14ac:dyDescent="0.25">
      <c r="A603" s="8" t="s">
        <v>534</v>
      </c>
      <c r="B603" s="9">
        <v>1</v>
      </c>
      <c r="C603" s="9">
        <v>1</v>
      </c>
      <c r="D603" s="9"/>
      <c r="E603" s="9"/>
      <c r="F603" s="9"/>
      <c r="G603" s="9"/>
      <c r="H603" s="9"/>
      <c r="I603" s="9"/>
      <c r="J603" s="9"/>
      <c r="K603" s="9"/>
      <c r="L603" s="9"/>
      <c r="M603" s="9"/>
      <c r="N603" s="9">
        <v>1</v>
      </c>
    </row>
    <row r="604" spans="1:14" x14ac:dyDescent="0.25">
      <c r="A604" s="8" t="s">
        <v>804</v>
      </c>
      <c r="B604" s="9">
        <v>1</v>
      </c>
      <c r="C604" s="9">
        <v>1</v>
      </c>
      <c r="D604" s="9"/>
      <c r="E604" s="9"/>
      <c r="F604" s="9"/>
      <c r="G604" s="9"/>
      <c r="H604" s="9"/>
      <c r="I604" s="9"/>
      <c r="J604" s="9"/>
      <c r="K604" s="9"/>
      <c r="L604" s="9"/>
      <c r="M604" s="9"/>
      <c r="N604" s="9">
        <v>1</v>
      </c>
    </row>
    <row r="605" spans="1:14" x14ac:dyDescent="0.25">
      <c r="A605" s="8" t="s">
        <v>1005</v>
      </c>
      <c r="B605" s="9">
        <v>1</v>
      </c>
      <c r="C605" s="9">
        <v>1</v>
      </c>
      <c r="D605" s="9"/>
      <c r="E605" s="9">
        <v>1</v>
      </c>
      <c r="F605" s="9"/>
      <c r="G605" s="9">
        <v>1</v>
      </c>
      <c r="H605" s="9"/>
      <c r="I605" s="9"/>
      <c r="J605" s="9"/>
      <c r="K605" s="9"/>
      <c r="L605" s="9">
        <v>1</v>
      </c>
      <c r="M605" s="9"/>
      <c r="N605" s="9"/>
    </row>
    <row r="606" spans="1:14" ht="30" x14ac:dyDescent="0.25">
      <c r="A606" s="8" t="s">
        <v>537</v>
      </c>
      <c r="B606" s="9">
        <v>1</v>
      </c>
      <c r="C606" s="9">
        <v>1</v>
      </c>
      <c r="D606" s="9"/>
      <c r="E606" s="9">
        <v>1</v>
      </c>
      <c r="F606" s="9"/>
      <c r="G606" s="9">
        <v>1</v>
      </c>
      <c r="H606" s="9"/>
      <c r="I606" s="9"/>
      <c r="J606" s="9"/>
      <c r="K606" s="9"/>
      <c r="L606" s="9">
        <v>1</v>
      </c>
      <c r="M606" s="9"/>
      <c r="N606" s="9"/>
    </row>
    <row r="607" spans="1:14" x14ac:dyDescent="0.25">
      <c r="A607" s="8" t="s">
        <v>804</v>
      </c>
      <c r="B607" s="9">
        <v>1</v>
      </c>
      <c r="C607" s="9">
        <v>1</v>
      </c>
      <c r="D607" s="9"/>
      <c r="E607" s="9">
        <v>1</v>
      </c>
      <c r="F607" s="9"/>
      <c r="G607" s="9">
        <v>1</v>
      </c>
      <c r="H607" s="9"/>
      <c r="I607" s="9"/>
      <c r="J607" s="9"/>
      <c r="K607" s="9"/>
      <c r="L607" s="9">
        <v>1</v>
      </c>
      <c r="M607" s="9"/>
      <c r="N607" s="9"/>
    </row>
    <row r="608" spans="1:14" x14ac:dyDescent="0.25">
      <c r="A608" s="8" t="s">
        <v>1006</v>
      </c>
      <c r="B608" s="9">
        <v>1</v>
      </c>
      <c r="C608" s="9">
        <v>1</v>
      </c>
      <c r="D608" s="9"/>
      <c r="E608" s="9"/>
      <c r="F608" s="9"/>
      <c r="G608" s="9"/>
      <c r="H608" s="9"/>
      <c r="I608" s="9"/>
      <c r="J608" s="9"/>
      <c r="K608" s="9"/>
      <c r="L608" s="9">
        <v>1</v>
      </c>
      <c r="M608" s="9"/>
      <c r="N608" s="9"/>
    </row>
    <row r="609" spans="1:14" ht="30" x14ac:dyDescent="0.25">
      <c r="A609" s="8" t="s">
        <v>539</v>
      </c>
      <c r="B609" s="9">
        <v>1</v>
      </c>
      <c r="C609" s="9">
        <v>1</v>
      </c>
      <c r="D609" s="9"/>
      <c r="E609" s="9"/>
      <c r="F609" s="9"/>
      <c r="G609" s="9"/>
      <c r="H609" s="9"/>
      <c r="I609" s="9"/>
      <c r="J609" s="9"/>
      <c r="K609" s="9"/>
      <c r="L609" s="9">
        <v>1</v>
      </c>
      <c r="M609" s="9"/>
      <c r="N609" s="9"/>
    </row>
    <row r="610" spans="1:14" x14ac:dyDescent="0.25">
      <c r="A610" s="8" t="s">
        <v>804</v>
      </c>
      <c r="B610" s="9">
        <v>1</v>
      </c>
      <c r="C610" s="9">
        <v>1</v>
      </c>
      <c r="D610" s="9"/>
      <c r="E610" s="9"/>
      <c r="F610" s="9"/>
      <c r="G610" s="9"/>
      <c r="H610" s="9"/>
      <c r="I610" s="9"/>
      <c r="J610" s="9"/>
      <c r="K610" s="9"/>
      <c r="L610" s="9">
        <v>1</v>
      </c>
      <c r="M610" s="9"/>
      <c r="N610" s="9"/>
    </row>
    <row r="611" spans="1:14" x14ac:dyDescent="0.25">
      <c r="A611" s="8" t="s">
        <v>1007</v>
      </c>
      <c r="B611" s="9">
        <v>1</v>
      </c>
      <c r="C611" s="9">
        <v>1</v>
      </c>
      <c r="D611" s="9"/>
      <c r="E611" s="9">
        <v>1</v>
      </c>
      <c r="F611" s="9"/>
      <c r="G611" s="9">
        <v>1</v>
      </c>
      <c r="H611" s="9"/>
      <c r="I611" s="9"/>
      <c r="J611" s="9"/>
      <c r="K611" s="9"/>
      <c r="L611" s="9">
        <v>1</v>
      </c>
      <c r="M611" s="9"/>
      <c r="N611" s="9"/>
    </row>
    <row r="612" spans="1:14" ht="30" x14ac:dyDescent="0.25">
      <c r="A612" s="8" t="s">
        <v>542</v>
      </c>
      <c r="B612" s="9">
        <v>1</v>
      </c>
      <c r="C612" s="9">
        <v>1</v>
      </c>
      <c r="D612" s="9"/>
      <c r="E612" s="9">
        <v>1</v>
      </c>
      <c r="F612" s="9"/>
      <c r="G612" s="9">
        <v>1</v>
      </c>
      <c r="H612" s="9"/>
      <c r="I612" s="9"/>
      <c r="J612" s="9"/>
      <c r="K612" s="9"/>
      <c r="L612" s="9">
        <v>1</v>
      </c>
      <c r="M612" s="9"/>
      <c r="N612" s="9"/>
    </row>
    <row r="613" spans="1:14" x14ac:dyDescent="0.25">
      <c r="A613" s="8" t="s">
        <v>804</v>
      </c>
      <c r="B613" s="9">
        <v>1</v>
      </c>
      <c r="C613" s="9">
        <v>1</v>
      </c>
      <c r="D613" s="9"/>
      <c r="E613" s="9">
        <v>1</v>
      </c>
      <c r="F613" s="9"/>
      <c r="G613" s="9">
        <v>1</v>
      </c>
      <c r="H613" s="9"/>
      <c r="I613" s="9"/>
      <c r="J613" s="9"/>
      <c r="K613" s="9"/>
      <c r="L613" s="9">
        <v>1</v>
      </c>
      <c r="M613" s="9"/>
      <c r="N613" s="9"/>
    </row>
    <row r="614" spans="1:14" x14ac:dyDescent="0.25">
      <c r="A614" s="8" t="s">
        <v>1008</v>
      </c>
      <c r="B614" s="9">
        <v>1</v>
      </c>
      <c r="C614" s="9">
        <v>1</v>
      </c>
      <c r="D614" s="9"/>
      <c r="E614" s="9"/>
      <c r="F614" s="9"/>
      <c r="G614" s="9"/>
      <c r="H614" s="9"/>
      <c r="I614" s="9"/>
      <c r="J614" s="9"/>
      <c r="K614" s="9"/>
      <c r="L614" s="9">
        <v>1</v>
      </c>
      <c r="M614" s="9"/>
      <c r="N614" s="9"/>
    </row>
    <row r="615" spans="1:14" ht="30" x14ac:dyDescent="0.25">
      <c r="A615" s="8" t="s">
        <v>545</v>
      </c>
      <c r="B615" s="9">
        <v>1</v>
      </c>
      <c r="C615" s="9">
        <v>1</v>
      </c>
      <c r="D615" s="9"/>
      <c r="E615" s="9"/>
      <c r="F615" s="9"/>
      <c r="G615" s="9"/>
      <c r="H615" s="9"/>
      <c r="I615" s="9"/>
      <c r="J615" s="9"/>
      <c r="K615" s="9"/>
      <c r="L615" s="9">
        <v>1</v>
      </c>
      <c r="M615" s="9"/>
      <c r="N615" s="9"/>
    </row>
    <row r="616" spans="1:14" x14ac:dyDescent="0.25">
      <c r="A616" s="8" t="s">
        <v>804</v>
      </c>
      <c r="B616" s="9">
        <v>1</v>
      </c>
      <c r="C616" s="9">
        <v>1</v>
      </c>
      <c r="D616" s="9"/>
      <c r="E616" s="9"/>
      <c r="F616" s="9"/>
      <c r="G616" s="9"/>
      <c r="H616" s="9"/>
      <c r="I616" s="9"/>
      <c r="J616" s="9"/>
      <c r="K616" s="9"/>
      <c r="L616" s="9">
        <v>1</v>
      </c>
      <c r="M616" s="9"/>
      <c r="N616" s="9"/>
    </row>
    <row r="617" spans="1:14" x14ac:dyDescent="0.25">
      <c r="A617" s="8" t="s">
        <v>1009</v>
      </c>
      <c r="B617" s="9">
        <v>1</v>
      </c>
      <c r="C617" s="9">
        <v>1</v>
      </c>
      <c r="D617" s="9"/>
      <c r="E617" s="9"/>
      <c r="F617" s="9"/>
      <c r="G617" s="9"/>
      <c r="H617" s="9"/>
      <c r="I617" s="9"/>
      <c r="J617" s="9"/>
      <c r="K617" s="9"/>
      <c r="L617" s="9">
        <v>1</v>
      </c>
      <c r="M617" s="9"/>
      <c r="N617" s="9"/>
    </row>
    <row r="618" spans="1:14" ht="30" x14ac:dyDescent="0.25">
      <c r="A618" s="8" t="s">
        <v>548</v>
      </c>
      <c r="B618" s="9">
        <v>1</v>
      </c>
      <c r="C618" s="9">
        <v>1</v>
      </c>
      <c r="D618" s="9"/>
      <c r="E618" s="9"/>
      <c r="F618" s="9"/>
      <c r="G618" s="9"/>
      <c r="H618" s="9"/>
      <c r="I618" s="9"/>
      <c r="J618" s="9"/>
      <c r="K618" s="9"/>
      <c r="L618" s="9">
        <v>1</v>
      </c>
      <c r="M618" s="9"/>
      <c r="N618" s="9"/>
    </row>
    <row r="619" spans="1:14" x14ac:dyDescent="0.25">
      <c r="A619" s="8" t="s">
        <v>804</v>
      </c>
      <c r="B619" s="9">
        <v>1</v>
      </c>
      <c r="C619" s="9">
        <v>1</v>
      </c>
      <c r="D619" s="9"/>
      <c r="E619" s="9"/>
      <c r="F619" s="9"/>
      <c r="G619" s="9"/>
      <c r="H619" s="9"/>
      <c r="I619" s="9"/>
      <c r="J619" s="9"/>
      <c r="K619" s="9"/>
      <c r="L619" s="9">
        <v>1</v>
      </c>
      <c r="M619" s="9"/>
      <c r="N619" s="9"/>
    </row>
    <row r="620" spans="1:14" x14ac:dyDescent="0.25">
      <c r="A620" s="8" t="s">
        <v>1010</v>
      </c>
      <c r="B620" s="9">
        <v>1</v>
      </c>
      <c r="C620" s="9">
        <v>1</v>
      </c>
      <c r="D620" s="9"/>
      <c r="E620" s="9"/>
      <c r="F620" s="9"/>
      <c r="G620" s="9"/>
      <c r="H620" s="9"/>
      <c r="I620" s="9"/>
      <c r="J620" s="9">
        <v>1</v>
      </c>
      <c r="K620" s="9"/>
      <c r="L620" s="9"/>
      <c r="M620" s="9"/>
      <c r="N620" s="9"/>
    </row>
    <row r="621" spans="1:14" x14ac:dyDescent="0.25">
      <c r="A621" s="8" t="s">
        <v>549</v>
      </c>
      <c r="B621" s="9">
        <v>1</v>
      </c>
      <c r="C621" s="9">
        <v>1</v>
      </c>
      <c r="D621" s="9"/>
      <c r="E621" s="9"/>
      <c r="F621" s="9"/>
      <c r="G621" s="9"/>
      <c r="H621" s="9"/>
      <c r="I621" s="9"/>
      <c r="J621" s="9">
        <v>1</v>
      </c>
      <c r="K621" s="9"/>
      <c r="L621" s="9"/>
      <c r="M621" s="9"/>
      <c r="N621" s="9"/>
    </row>
    <row r="622" spans="1:14" x14ac:dyDescent="0.25">
      <c r="A622" s="8" t="s">
        <v>804</v>
      </c>
      <c r="B622" s="9">
        <v>1</v>
      </c>
      <c r="C622" s="9">
        <v>1</v>
      </c>
      <c r="D622" s="9"/>
      <c r="E622" s="9"/>
      <c r="F622" s="9"/>
      <c r="G622" s="9"/>
      <c r="H622" s="9"/>
      <c r="I622" s="9"/>
      <c r="J622" s="9">
        <v>1</v>
      </c>
      <c r="K622" s="9"/>
      <c r="L622" s="9"/>
      <c r="M622" s="9"/>
      <c r="N622" s="9"/>
    </row>
    <row r="623" spans="1:14" x14ac:dyDescent="0.25">
      <c r="A623" s="8" t="s">
        <v>1011</v>
      </c>
      <c r="B623" s="9">
        <v>1</v>
      </c>
      <c r="C623" s="9">
        <v>1</v>
      </c>
      <c r="D623" s="9"/>
      <c r="E623" s="9">
        <v>1</v>
      </c>
      <c r="F623" s="9"/>
      <c r="G623" s="9">
        <v>1</v>
      </c>
      <c r="H623" s="9"/>
      <c r="I623" s="9"/>
      <c r="J623" s="9"/>
      <c r="K623" s="9"/>
      <c r="L623" s="9">
        <v>1</v>
      </c>
      <c r="M623" s="9"/>
      <c r="N623" s="9"/>
    </row>
    <row r="624" spans="1:14" ht="45" x14ac:dyDescent="0.25">
      <c r="A624" s="8" t="s">
        <v>552</v>
      </c>
      <c r="B624" s="9">
        <v>1</v>
      </c>
      <c r="C624" s="9">
        <v>1</v>
      </c>
      <c r="D624" s="9"/>
      <c r="E624" s="9">
        <v>1</v>
      </c>
      <c r="F624" s="9"/>
      <c r="G624" s="9">
        <v>1</v>
      </c>
      <c r="H624" s="9"/>
      <c r="I624" s="9"/>
      <c r="J624" s="9"/>
      <c r="K624" s="9"/>
      <c r="L624" s="9">
        <v>1</v>
      </c>
      <c r="M624" s="9"/>
      <c r="N624" s="9"/>
    </row>
    <row r="625" spans="1:14" x14ac:dyDescent="0.25">
      <c r="A625" s="8" t="s">
        <v>804</v>
      </c>
      <c r="B625" s="9">
        <v>1</v>
      </c>
      <c r="C625" s="9">
        <v>1</v>
      </c>
      <c r="D625" s="9"/>
      <c r="E625" s="9">
        <v>1</v>
      </c>
      <c r="F625" s="9"/>
      <c r="G625" s="9">
        <v>1</v>
      </c>
      <c r="H625" s="9"/>
      <c r="I625" s="9"/>
      <c r="J625" s="9"/>
      <c r="K625" s="9"/>
      <c r="L625" s="9">
        <v>1</v>
      </c>
      <c r="M625" s="9"/>
      <c r="N625" s="9"/>
    </row>
    <row r="626" spans="1:14" x14ac:dyDescent="0.25">
      <c r="A626" s="8" t="s">
        <v>1012</v>
      </c>
      <c r="B626" s="9">
        <v>1</v>
      </c>
      <c r="C626" s="9">
        <v>1</v>
      </c>
      <c r="D626" s="9"/>
      <c r="E626" s="9"/>
      <c r="F626" s="9"/>
      <c r="G626" s="9"/>
      <c r="H626" s="9"/>
      <c r="I626" s="9"/>
      <c r="J626" s="9"/>
      <c r="K626" s="9"/>
      <c r="L626" s="9"/>
      <c r="M626" s="9">
        <v>1</v>
      </c>
      <c r="N626" s="9"/>
    </row>
    <row r="627" spans="1:14" ht="45" x14ac:dyDescent="0.25">
      <c r="A627" s="8" t="s">
        <v>553</v>
      </c>
      <c r="B627" s="9">
        <v>1</v>
      </c>
      <c r="C627" s="9">
        <v>1</v>
      </c>
      <c r="D627" s="9"/>
      <c r="E627" s="9"/>
      <c r="F627" s="9"/>
      <c r="G627" s="9"/>
      <c r="H627" s="9"/>
      <c r="I627" s="9"/>
      <c r="J627" s="9"/>
      <c r="K627" s="9"/>
      <c r="L627" s="9"/>
      <c r="M627" s="9">
        <v>1</v>
      </c>
      <c r="N627" s="9"/>
    </row>
    <row r="628" spans="1:14" x14ac:dyDescent="0.25">
      <c r="A628" s="8" t="s">
        <v>804</v>
      </c>
      <c r="B628" s="9">
        <v>1</v>
      </c>
      <c r="C628" s="9">
        <v>1</v>
      </c>
      <c r="D628" s="9"/>
      <c r="E628" s="9"/>
      <c r="F628" s="9"/>
      <c r="G628" s="9"/>
      <c r="H628" s="9"/>
      <c r="I628" s="9"/>
      <c r="J628" s="9"/>
      <c r="K628" s="9"/>
      <c r="L628" s="9"/>
      <c r="M628" s="9">
        <v>1</v>
      </c>
      <c r="N628" s="9"/>
    </row>
    <row r="629" spans="1:14" x14ac:dyDescent="0.25">
      <c r="A629" s="8" t="s">
        <v>1013</v>
      </c>
      <c r="B629" s="9">
        <v>1</v>
      </c>
      <c r="C629" s="9">
        <v>1</v>
      </c>
      <c r="D629" s="9"/>
      <c r="E629" s="9"/>
      <c r="F629" s="9"/>
      <c r="G629" s="9"/>
      <c r="H629" s="9"/>
      <c r="I629" s="9"/>
      <c r="J629" s="9"/>
      <c r="K629" s="9"/>
      <c r="L629" s="9"/>
      <c r="M629" s="9"/>
      <c r="N629" s="9">
        <v>1</v>
      </c>
    </row>
    <row r="630" spans="1:14" ht="30" x14ac:dyDescent="0.25">
      <c r="A630" s="8" t="s">
        <v>554</v>
      </c>
      <c r="B630" s="9">
        <v>1</v>
      </c>
      <c r="C630" s="9">
        <v>1</v>
      </c>
      <c r="D630" s="9"/>
      <c r="E630" s="9"/>
      <c r="F630" s="9"/>
      <c r="G630" s="9"/>
      <c r="H630" s="9"/>
      <c r="I630" s="9"/>
      <c r="J630" s="9"/>
      <c r="K630" s="9"/>
      <c r="L630" s="9"/>
      <c r="M630" s="9"/>
      <c r="N630" s="9">
        <v>1</v>
      </c>
    </row>
    <row r="631" spans="1:14" x14ac:dyDescent="0.25">
      <c r="A631" s="8" t="s">
        <v>804</v>
      </c>
      <c r="B631" s="9">
        <v>1</v>
      </c>
      <c r="C631" s="9">
        <v>1</v>
      </c>
      <c r="D631" s="9"/>
      <c r="E631" s="9"/>
      <c r="F631" s="9"/>
      <c r="G631" s="9"/>
      <c r="H631" s="9"/>
      <c r="I631" s="9"/>
      <c r="J631" s="9"/>
      <c r="K631" s="9"/>
      <c r="L631" s="9"/>
      <c r="M631" s="9"/>
      <c r="N631" s="9">
        <v>1</v>
      </c>
    </row>
    <row r="632" spans="1:14" x14ac:dyDescent="0.25">
      <c r="A632" s="8" t="s">
        <v>1014</v>
      </c>
      <c r="B632" s="9">
        <v>1</v>
      </c>
      <c r="C632" s="9">
        <v>1</v>
      </c>
      <c r="D632" s="9"/>
      <c r="E632" s="9"/>
      <c r="F632" s="9"/>
      <c r="G632" s="9"/>
      <c r="H632" s="9"/>
      <c r="I632" s="9"/>
      <c r="J632" s="9"/>
      <c r="K632" s="9"/>
      <c r="L632" s="9"/>
      <c r="M632" s="9"/>
      <c r="N632" s="9">
        <v>1</v>
      </c>
    </row>
    <row r="633" spans="1:14" ht="45" x14ac:dyDescent="0.25">
      <c r="A633" s="8" t="s">
        <v>555</v>
      </c>
      <c r="B633" s="9">
        <v>1</v>
      </c>
      <c r="C633" s="9">
        <v>1</v>
      </c>
      <c r="D633" s="9"/>
      <c r="E633" s="9"/>
      <c r="F633" s="9"/>
      <c r="G633" s="9"/>
      <c r="H633" s="9"/>
      <c r="I633" s="9"/>
      <c r="J633" s="9"/>
      <c r="K633" s="9"/>
      <c r="L633" s="9"/>
      <c r="M633" s="9"/>
      <c r="N633" s="9">
        <v>1</v>
      </c>
    </row>
    <row r="634" spans="1:14" x14ac:dyDescent="0.25">
      <c r="A634" s="8" t="s">
        <v>804</v>
      </c>
      <c r="B634" s="9">
        <v>1</v>
      </c>
      <c r="C634" s="9">
        <v>1</v>
      </c>
      <c r="D634" s="9"/>
      <c r="E634" s="9"/>
      <c r="F634" s="9"/>
      <c r="G634" s="9"/>
      <c r="H634" s="9"/>
      <c r="I634" s="9"/>
      <c r="J634" s="9"/>
      <c r="K634" s="9"/>
      <c r="L634" s="9"/>
      <c r="M634" s="9"/>
      <c r="N634" s="9">
        <v>1</v>
      </c>
    </row>
    <row r="635" spans="1:14" x14ac:dyDescent="0.25">
      <c r="A635" s="8" t="s">
        <v>1015</v>
      </c>
      <c r="B635" s="9">
        <v>1</v>
      </c>
      <c r="C635" s="9">
        <v>1</v>
      </c>
      <c r="D635" s="9"/>
      <c r="E635" s="9"/>
      <c r="F635" s="9"/>
      <c r="G635" s="9"/>
      <c r="H635" s="9"/>
      <c r="I635" s="9"/>
      <c r="J635" s="9"/>
      <c r="K635" s="9"/>
      <c r="L635" s="9"/>
      <c r="M635" s="9">
        <v>1</v>
      </c>
      <c r="N635" s="9"/>
    </row>
    <row r="636" spans="1:14" ht="60" x14ac:dyDescent="0.25">
      <c r="A636" s="8" t="s">
        <v>556</v>
      </c>
      <c r="B636" s="9">
        <v>1</v>
      </c>
      <c r="C636" s="9">
        <v>1</v>
      </c>
      <c r="D636" s="9"/>
      <c r="E636" s="9"/>
      <c r="F636" s="9"/>
      <c r="G636" s="9"/>
      <c r="H636" s="9"/>
      <c r="I636" s="9"/>
      <c r="J636" s="9"/>
      <c r="K636" s="9"/>
      <c r="L636" s="9"/>
      <c r="M636" s="9">
        <v>1</v>
      </c>
      <c r="N636" s="9"/>
    </row>
    <row r="637" spans="1:14" x14ac:dyDescent="0.25">
      <c r="A637" s="8" t="s">
        <v>804</v>
      </c>
      <c r="B637" s="9">
        <v>1</v>
      </c>
      <c r="C637" s="9">
        <v>1</v>
      </c>
      <c r="D637" s="9"/>
      <c r="E637" s="9"/>
      <c r="F637" s="9"/>
      <c r="G637" s="9"/>
      <c r="H637" s="9"/>
      <c r="I637" s="9"/>
      <c r="J637" s="9"/>
      <c r="K637" s="9"/>
      <c r="L637" s="9"/>
      <c r="M637" s="9">
        <v>1</v>
      </c>
      <c r="N637" s="9"/>
    </row>
    <row r="638" spans="1:14" x14ac:dyDescent="0.25">
      <c r="A638" s="8" t="s">
        <v>1016</v>
      </c>
      <c r="B638" s="9">
        <v>1</v>
      </c>
      <c r="C638" s="9">
        <v>1</v>
      </c>
      <c r="D638" s="9"/>
      <c r="E638" s="9"/>
      <c r="F638" s="9"/>
      <c r="G638" s="9"/>
      <c r="H638" s="9"/>
      <c r="I638" s="9"/>
      <c r="J638" s="9"/>
      <c r="K638" s="9"/>
      <c r="L638" s="9"/>
      <c r="M638" s="9"/>
      <c r="N638" s="9">
        <v>1</v>
      </c>
    </row>
    <row r="639" spans="1:14" ht="75" x14ac:dyDescent="0.25">
      <c r="A639" s="8" t="s">
        <v>557</v>
      </c>
      <c r="B639" s="9">
        <v>1</v>
      </c>
      <c r="C639" s="9">
        <v>1</v>
      </c>
      <c r="D639" s="9"/>
      <c r="E639" s="9"/>
      <c r="F639" s="9"/>
      <c r="G639" s="9"/>
      <c r="H639" s="9"/>
      <c r="I639" s="9"/>
      <c r="J639" s="9"/>
      <c r="K639" s="9"/>
      <c r="L639" s="9"/>
      <c r="M639" s="9"/>
      <c r="N639" s="9">
        <v>1</v>
      </c>
    </row>
    <row r="640" spans="1:14" x14ac:dyDescent="0.25">
      <c r="A640" s="8" t="s">
        <v>804</v>
      </c>
      <c r="B640" s="9">
        <v>1</v>
      </c>
      <c r="C640" s="9">
        <v>1</v>
      </c>
      <c r="D640" s="9"/>
      <c r="E640" s="9"/>
      <c r="F640" s="9"/>
      <c r="G640" s="9"/>
      <c r="H640" s="9"/>
      <c r="I640" s="9"/>
      <c r="J640" s="9"/>
      <c r="K640" s="9"/>
      <c r="L640" s="9"/>
      <c r="M640" s="9"/>
      <c r="N640" s="9">
        <v>1</v>
      </c>
    </row>
    <row r="641" spans="1:14" x14ac:dyDescent="0.25">
      <c r="A641" s="8" t="s">
        <v>1017</v>
      </c>
      <c r="B641" s="9">
        <v>1</v>
      </c>
      <c r="C641" s="9">
        <v>1</v>
      </c>
      <c r="D641" s="9"/>
      <c r="E641" s="9"/>
      <c r="F641" s="9"/>
      <c r="G641" s="9"/>
      <c r="H641" s="9"/>
      <c r="I641" s="9"/>
      <c r="J641" s="9"/>
      <c r="K641" s="9"/>
      <c r="L641" s="9"/>
      <c r="M641" s="9"/>
      <c r="N641" s="9">
        <v>1</v>
      </c>
    </row>
    <row r="642" spans="1:14" ht="30" x14ac:dyDescent="0.25">
      <c r="A642" s="8" t="s">
        <v>558</v>
      </c>
      <c r="B642" s="9">
        <v>1</v>
      </c>
      <c r="C642" s="9">
        <v>1</v>
      </c>
      <c r="D642" s="9"/>
      <c r="E642" s="9"/>
      <c r="F642" s="9"/>
      <c r="G642" s="9"/>
      <c r="H642" s="9"/>
      <c r="I642" s="9"/>
      <c r="J642" s="9"/>
      <c r="K642" s="9"/>
      <c r="L642" s="9"/>
      <c r="M642" s="9"/>
      <c r="N642" s="9">
        <v>1</v>
      </c>
    </row>
    <row r="643" spans="1:14" x14ac:dyDescent="0.25">
      <c r="A643" s="8" t="s">
        <v>804</v>
      </c>
      <c r="B643" s="9">
        <v>1</v>
      </c>
      <c r="C643" s="9">
        <v>1</v>
      </c>
      <c r="D643" s="9"/>
      <c r="E643" s="9"/>
      <c r="F643" s="9"/>
      <c r="G643" s="9"/>
      <c r="H643" s="9"/>
      <c r="I643" s="9"/>
      <c r="J643" s="9"/>
      <c r="K643" s="9"/>
      <c r="L643" s="9"/>
      <c r="M643" s="9"/>
      <c r="N643" s="9">
        <v>1</v>
      </c>
    </row>
    <row r="644" spans="1:14" x14ac:dyDescent="0.25">
      <c r="A644" s="8" t="s">
        <v>1018</v>
      </c>
      <c r="B644" s="9">
        <v>1</v>
      </c>
      <c r="C644" s="9">
        <v>1</v>
      </c>
      <c r="D644" s="9"/>
      <c r="E644" s="9"/>
      <c r="F644" s="9"/>
      <c r="G644" s="9"/>
      <c r="H644" s="9"/>
      <c r="I644" s="9"/>
      <c r="J644" s="9"/>
      <c r="K644" s="9"/>
      <c r="L644" s="9">
        <v>1</v>
      </c>
      <c r="M644" s="9"/>
      <c r="N644" s="9"/>
    </row>
    <row r="645" spans="1:14" ht="45" x14ac:dyDescent="0.25">
      <c r="A645" s="8" t="s">
        <v>559</v>
      </c>
      <c r="B645" s="9">
        <v>1</v>
      </c>
      <c r="C645" s="9">
        <v>1</v>
      </c>
      <c r="D645" s="9"/>
      <c r="E645" s="9"/>
      <c r="F645" s="9"/>
      <c r="G645" s="9"/>
      <c r="H645" s="9"/>
      <c r="I645" s="9"/>
      <c r="J645" s="9"/>
      <c r="K645" s="9"/>
      <c r="L645" s="9">
        <v>1</v>
      </c>
      <c r="M645" s="9"/>
      <c r="N645" s="9"/>
    </row>
    <row r="646" spans="1:14" x14ac:dyDescent="0.25">
      <c r="A646" s="8" t="s">
        <v>804</v>
      </c>
      <c r="B646" s="9">
        <v>1</v>
      </c>
      <c r="C646" s="9">
        <v>1</v>
      </c>
      <c r="D646" s="9"/>
      <c r="E646" s="9"/>
      <c r="F646" s="9"/>
      <c r="G646" s="9"/>
      <c r="H646" s="9"/>
      <c r="I646" s="9"/>
      <c r="J646" s="9"/>
      <c r="K646" s="9"/>
      <c r="L646" s="9">
        <v>1</v>
      </c>
      <c r="M646" s="9"/>
      <c r="N646" s="9"/>
    </row>
    <row r="647" spans="1:14" x14ac:dyDescent="0.25">
      <c r="A647" s="8" t="s">
        <v>1019</v>
      </c>
      <c r="B647" s="9">
        <v>1</v>
      </c>
      <c r="C647" s="9">
        <v>1</v>
      </c>
      <c r="D647" s="9"/>
      <c r="E647" s="9"/>
      <c r="F647" s="9"/>
      <c r="G647" s="9"/>
      <c r="H647" s="9"/>
      <c r="I647" s="9"/>
      <c r="J647" s="9"/>
      <c r="K647" s="9"/>
      <c r="L647" s="9">
        <v>1</v>
      </c>
      <c r="M647" s="9"/>
      <c r="N647" s="9"/>
    </row>
    <row r="648" spans="1:14" ht="45" x14ac:dyDescent="0.25">
      <c r="A648" s="8" t="s">
        <v>562</v>
      </c>
      <c r="B648" s="9">
        <v>1</v>
      </c>
      <c r="C648" s="9">
        <v>1</v>
      </c>
      <c r="D648" s="9"/>
      <c r="E648" s="9"/>
      <c r="F648" s="9"/>
      <c r="G648" s="9"/>
      <c r="H648" s="9"/>
      <c r="I648" s="9"/>
      <c r="J648" s="9"/>
      <c r="K648" s="9"/>
      <c r="L648" s="9">
        <v>1</v>
      </c>
      <c r="M648" s="9"/>
      <c r="N648" s="9"/>
    </row>
    <row r="649" spans="1:14" x14ac:dyDescent="0.25">
      <c r="A649" s="8" t="s">
        <v>804</v>
      </c>
      <c r="B649" s="9">
        <v>1</v>
      </c>
      <c r="C649" s="9">
        <v>1</v>
      </c>
      <c r="D649" s="9"/>
      <c r="E649" s="9"/>
      <c r="F649" s="9"/>
      <c r="G649" s="9"/>
      <c r="H649" s="9"/>
      <c r="I649" s="9"/>
      <c r="J649" s="9"/>
      <c r="K649" s="9"/>
      <c r="L649" s="9">
        <v>1</v>
      </c>
      <c r="M649" s="9"/>
      <c r="N649" s="9"/>
    </row>
    <row r="650" spans="1:14" x14ac:dyDescent="0.25">
      <c r="A650" s="8" t="s">
        <v>1020</v>
      </c>
      <c r="B650" s="9">
        <v>1</v>
      </c>
      <c r="C650" s="9">
        <v>1</v>
      </c>
      <c r="D650" s="9"/>
      <c r="E650" s="9">
        <v>1</v>
      </c>
      <c r="F650" s="9">
        <v>1</v>
      </c>
      <c r="G650" s="9"/>
      <c r="H650" s="9"/>
      <c r="I650" s="9"/>
      <c r="J650" s="9">
        <v>1</v>
      </c>
      <c r="K650" s="9"/>
      <c r="L650" s="9"/>
      <c r="M650" s="9"/>
      <c r="N650" s="9"/>
    </row>
    <row r="651" spans="1:14" ht="45" x14ac:dyDescent="0.25">
      <c r="A651" s="8" t="s">
        <v>565</v>
      </c>
      <c r="B651" s="9">
        <v>1</v>
      </c>
      <c r="C651" s="9">
        <v>1</v>
      </c>
      <c r="D651" s="9"/>
      <c r="E651" s="9">
        <v>1</v>
      </c>
      <c r="F651" s="9">
        <v>1</v>
      </c>
      <c r="G651" s="9"/>
      <c r="H651" s="9"/>
      <c r="I651" s="9"/>
      <c r="J651" s="9">
        <v>1</v>
      </c>
      <c r="K651" s="9"/>
      <c r="L651" s="9"/>
      <c r="M651" s="9"/>
      <c r="N651" s="9"/>
    </row>
    <row r="652" spans="1:14" x14ac:dyDescent="0.25">
      <c r="A652" s="8" t="s">
        <v>804</v>
      </c>
      <c r="B652" s="9">
        <v>1</v>
      </c>
      <c r="C652" s="9">
        <v>1</v>
      </c>
      <c r="D652" s="9"/>
      <c r="E652" s="9">
        <v>1</v>
      </c>
      <c r="F652" s="9">
        <v>1</v>
      </c>
      <c r="G652" s="9"/>
      <c r="H652" s="9"/>
      <c r="I652" s="9"/>
      <c r="J652" s="9">
        <v>1</v>
      </c>
      <c r="K652" s="9"/>
      <c r="L652" s="9"/>
      <c r="M652" s="9"/>
      <c r="N652" s="9"/>
    </row>
    <row r="653" spans="1:14" x14ac:dyDescent="0.25">
      <c r="A653" s="8" t="s">
        <v>1021</v>
      </c>
      <c r="B653" s="9">
        <v>1</v>
      </c>
      <c r="C653" s="9">
        <v>1</v>
      </c>
      <c r="D653" s="9"/>
      <c r="E653" s="9"/>
      <c r="F653" s="9"/>
      <c r="G653" s="9"/>
      <c r="H653" s="9"/>
      <c r="I653" s="9"/>
      <c r="J653" s="9"/>
      <c r="K653" s="9"/>
      <c r="L653" s="9"/>
      <c r="M653" s="9">
        <v>1</v>
      </c>
      <c r="N653" s="9"/>
    </row>
    <row r="654" spans="1:14" ht="120" x14ac:dyDescent="0.25">
      <c r="A654" s="8" t="s">
        <v>566</v>
      </c>
      <c r="B654" s="9">
        <v>1</v>
      </c>
      <c r="C654" s="9">
        <v>1</v>
      </c>
      <c r="D654" s="9"/>
      <c r="E654" s="9"/>
      <c r="F654" s="9"/>
      <c r="G654" s="9"/>
      <c r="H654" s="9"/>
      <c r="I654" s="9"/>
      <c r="J654" s="9"/>
      <c r="K654" s="9"/>
      <c r="L654" s="9"/>
      <c r="M654" s="9">
        <v>1</v>
      </c>
      <c r="N654" s="9"/>
    </row>
    <row r="655" spans="1:14" x14ac:dyDescent="0.25">
      <c r="A655" s="8" t="s">
        <v>804</v>
      </c>
      <c r="B655" s="9">
        <v>1</v>
      </c>
      <c r="C655" s="9">
        <v>1</v>
      </c>
      <c r="D655" s="9"/>
      <c r="E655" s="9"/>
      <c r="F655" s="9"/>
      <c r="G655" s="9"/>
      <c r="H655" s="9"/>
      <c r="I655" s="9"/>
      <c r="J655" s="9"/>
      <c r="K655" s="9"/>
      <c r="L655" s="9"/>
      <c r="M655" s="9">
        <v>1</v>
      </c>
      <c r="N655" s="9"/>
    </row>
    <row r="656" spans="1:14" x14ac:dyDescent="0.25">
      <c r="A656" s="8" t="s">
        <v>1022</v>
      </c>
      <c r="B656" s="9">
        <v>1</v>
      </c>
      <c r="C656" s="9">
        <v>1</v>
      </c>
      <c r="D656" s="9"/>
      <c r="E656" s="9"/>
      <c r="F656" s="9"/>
      <c r="G656" s="9"/>
      <c r="H656" s="9"/>
      <c r="I656" s="9"/>
      <c r="J656" s="9"/>
      <c r="K656" s="9"/>
      <c r="L656" s="9">
        <v>1</v>
      </c>
      <c r="M656" s="9"/>
      <c r="N656" s="9"/>
    </row>
    <row r="657" spans="1:14" ht="60" x14ac:dyDescent="0.25">
      <c r="A657" s="8" t="s">
        <v>569</v>
      </c>
      <c r="B657" s="9">
        <v>1</v>
      </c>
      <c r="C657" s="9">
        <v>1</v>
      </c>
      <c r="D657" s="9"/>
      <c r="E657" s="9"/>
      <c r="F657" s="9"/>
      <c r="G657" s="9"/>
      <c r="H657" s="9"/>
      <c r="I657" s="9"/>
      <c r="J657" s="9"/>
      <c r="K657" s="9"/>
      <c r="L657" s="9">
        <v>1</v>
      </c>
      <c r="M657" s="9"/>
      <c r="N657" s="9"/>
    </row>
    <row r="658" spans="1:14" x14ac:dyDescent="0.25">
      <c r="A658" s="8" t="s">
        <v>804</v>
      </c>
      <c r="B658" s="9">
        <v>1</v>
      </c>
      <c r="C658" s="9">
        <v>1</v>
      </c>
      <c r="D658" s="9"/>
      <c r="E658" s="9"/>
      <c r="F658" s="9"/>
      <c r="G658" s="9"/>
      <c r="H658" s="9"/>
      <c r="I658" s="9"/>
      <c r="J658" s="9"/>
      <c r="K658" s="9"/>
      <c r="L658" s="9">
        <v>1</v>
      </c>
      <c r="M658" s="9"/>
      <c r="N658" s="9"/>
    </row>
    <row r="659" spans="1:14" x14ac:dyDescent="0.25">
      <c r="A659" s="8" t="s">
        <v>1023</v>
      </c>
      <c r="B659" s="9">
        <v>1</v>
      </c>
      <c r="C659" s="9">
        <v>1</v>
      </c>
      <c r="D659" s="9"/>
      <c r="E659" s="9">
        <v>1</v>
      </c>
      <c r="F659" s="9"/>
      <c r="G659" s="9">
        <v>1</v>
      </c>
      <c r="H659" s="9"/>
      <c r="I659" s="9"/>
      <c r="J659" s="9"/>
      <c r="K659" s="9"/>
      <c r="L659" s="9">
        <v>1</v>
      </c>
      <c r="M659" s="9"/>
      <c r="N659" s="9"/>
    </row>
    <row r="660" spans="1:14" ht="105" x14ac:dyDescent="0.25">
      <c r="A660" s="8" t="s">
        <v>572</v>
      </c>
      <c r="B660" s="9">
        <v>1</v>
      </c>
      <c r="C660" s="9">
        <v>1</v>
      </c>
      <c r="D660" s="9"/>
      <c r="E660" s="9">
        <v>1</v>
      </c>
      <c r="F660" s="9"/>
      <c r="G660" s="9">
        <v>1</v>
      </c>
      <c r="H660" s="9"/>
      <c r="I660" s="9"/>
      <c r="J660" s="9"/>
      <c r="K660" s="9"/>
      <c r="L660" s="9">
        <v>1</v>
      </c>
      <c r="M660" s="9"/>
      <c r="N660" s="9"/>
    </row>
    <row r="661" spans="1:14" x14ac:dyDescent="0.25">
      <c r="A661" s="8" t="s">
        <v>804</v>
      </c>
      <c r="B661" s="9">
        <v>1</v>
      </c>
      <c r="C661" s="9">
        <v>1</v>
      </c>
      <c r="D661" s="9"/>
      <c r="E661" s="9">
        <v>1</v>
      </c>
      <c r="F661" s="9"/>
      <c r="G661" s="9">
        <v>1</v>
      </c>
      <c r="H661" s="9"/>
      <c r="I661" s="9"/>
      <c r="J661" s="9"/>
      <c r="K661" s="9"/>
      <c r="L661" s="9">
        <v>1</v>
      </c>
      <c r="M661" s="9"/>
      <c r="N661" s="9"/>
    </row>
    <row r="662" spans="1:14" x14ac:dyDescent="0.25">
      <c r="A662" s="8" t="s">
        <v>1024</v>
      </c>
      <c r="B662" s="9">
        <v>1</v>
      </c>
      <c r="C662" s="9">
        <v>1</v>
      </c>
      <c r="D662" s="9"/>
      <c r="E662" s="9"/>
      <c r="F662" s="9"/>
      <c r="G662" s="9"/>
      <c r="H662" s="9"/>
      <c r="I662" s="9"/>
      <c r="J662" s="9"/>
      <c r="K662" s="9"/>
      <c r="L662" s="9">
        <v>1</v>
      </c>
      <c r="M662" s="9"/>
      <c r="N662" s="9"/>
    </row>
    <row r="663" spans="1:14" ht="60" x14ac:dyDescent="0.25">
      <c r="A663" s="8" t="s">
        <v>576</v>
      </c>
      <c r="B663" s="9">
        <v>1</v>
      </c>
      <c r="C663" s="9">
        <v>1</v>
      </c>
      <c r="D663" s="9"/>
      <c r="E663" s="9"/>
      <c r="F663" s="9"/>
      <c r="G663" s="9"/>
      <c r="H663" s="9"/>
      <c r="I663" s="9"/>
      <c r="J663" s="9"/>
      <c r="K663" s="9"/>
      <c r="L663" s="9">
        <v>1</v>
      </c>
      <c r="M663" s="9"/>
      <c r="N663" s="9"/>
    </row>
    <row r="664" spans="1:14" x14ac:dyDescent="0.25">
      <c r="A664" s="8" t="s">
        <v>804</v>
      </c>
      <c r="B664" s="9">
        <v>1</v>
      </c>
      <c r="C664" s="9">
        <v>1</v>
      </c>
      <c r="D664" s="9"/>
      <c r="E664" s="9"/>
      <c r="F664" s="9"/>
      <c r="G664" s="9"/>
      <c r="H664" s="9"/>
      <c r="I664" s="9"/>
      <c r="J664" s="9"/>
      <c r="K664" s="9"/>
      <c r="L664" s="9">
        <v>1</v>
      </c>
      <c r="M664" s="9"/>
      <c r="N664" s="9"/>
    </row>
    <row r="665" spans="1:14" x14ac:dyDescent="0.25">
      <c r="A665" s="8" t="s">
        <v>1025</v>
      </c>
      <c r="B665" s="9">
        <v>1</v>
      </c>
      <c r="C665" s="9">
        <v>1</v>
      </c>
      <c r="D665" s="9"/>
      <c r="E665" s="9"/>
      <c r="F665" s="9"/>
      <c r="G665" s="9"/>
      <c r="H665" s="9"/>
      <c r="I665" s="9"/>
      <c r="J665" s="9"/>
      <c r="K665" s="9"/>
      <c r="L665" s="9">
        <v>1</v>
      </c>
      <c r="M665" s="9"/>
      <c r="N665" s="9"/>
    </row>
    <row r="666" spans="1:14" ht="75" x14ac:dyDescent="0.25">
      <c r="A666" s="8" t="s">
        <v>579</v>
      </c>
      <c r="B666" s="9">
        <v>1</v>
      </c>
      <c r="C666" s="9">
        <v>1</v>
      </c>
      <c r="D666" s="9"/>
      <c r="E666" s="9"/>
      <c r="F666" s="9"/>
      <c r="G666" s="9"/>
      <c r="H666" s="9"/>
      <c r="I666" s="9"/>
      <c r="J666" s="9"/>
      <c r="K666" s="9"/>
      <c r="L666" s="9">
        <v>1</v>
      </c>
      <c r="M666" s="9"/>
      <c r="N666" s="9"/>
    </row>
    <row r="667" spans="1:14" x14ac:dyDescent="0.25">
      <c r="A667" s="8" t="s">
        <v>804</v>
      </c>
      <c r="B667" s="9">
        <v>1</v>
      </c>
      <c r="C667" s="9">
        <v>1</v>
      </c>
      <c r="D667" s="9"/>
      <c r="E667" s="9"/>
      <c r="F667" s="9"/>
      <c r="G667" s="9"/>
      <c r="H667" s="9"/>
      <c r="I667" s="9"/>
      <c r="J667" s="9"/>
      <c r="K667" s="9"/>
      <c r="L667" s="9">
        <v>1</v>
      </c>
      <c r="M667" s="9"/>
      <c r="N667" s="9"/>
    </row>
    <row r="668" spans="1:14" x14ac:dyDescent="0.25">
      <c r="A668" s="8" t="s">
        <v>1026</v>
      </c>
      <c r="B668" s="9">
        <v>1</v>
      </c>
      <c r="C668" s="9">
        <v>1</v>
      </c>
      <c r="D668" s="9"/>
      <c r="E668" s="9"/>
      <c r="F668" s="9"/>
      <c r="G668" s="9"/>
      <c r="H668" s="9"/>
      <c r="I668" s="9"/>
      <c r="J668" s="9"/>
      <c r="K668" s="9"/>
      <c r="L668" s="9"/>
      <c r="M668" s="9">
        <v>1</v>
      </c>
      <c r="N668" s="9"/>
    </row>
    <row r="669" spans="1:14" ht="45" x14ac:dyDescent="0.25">
      <c r="A669" s="8" t="s">
        <v>580</v>
      </c>
      <c r="B669" s="9">
        <v>1</v>
      </c>
      <c r="C669" s="9">
        <v>1</v>
      </c>
      <c r="D669" s="9"/>
      <c r="E669" s="9"/>
      <c r="F669" s="9"/>
      <c r="G669" s="9"/>
      <c r="H669" s="9"/>
      <c r="I669" s="9"/>
      <c r="J669" s="9"/>
      <c r="K669" s="9"/>
      <c r="L669" s="9"/>
      <c r="M669" s="9">
        <v>1</v>
      </c>
      <c r="N669" s="9"/>
    </row>
    <row r="670" spans="1:14" x14ac:dyDescent="0.25">
      <c r="A670" s="8" t="s">
        <v>804</v>
      </c>
      <c r="B670" s="9">
        <v>1</v>
      </c>
      <c r="C670" s="9">
        <v>1</v>
      </c>
      <c r="D670" s="9"/>
      <c r="E670" s="9"/>
      <c r="F670" s="9"/>
      <c r="G670" s="9"/>
      <c r="H670" s="9"/>
      <c r="I670" s="9"/>
      <c r="J670" s="9"/>
      <c r="K670" s="9"/>
      <c r="L670" s="9"/>
      <c r="M670" s="9">
        <v>1</v>
      </c>
      <c r="N670" s="9"/>
    </row>
    <row r="671" spans="1:14" x14ac:dyDescent="0.25">
      <c r="A671" s="8" t="s">
        <v>1027</v>
      </c>
      <c r="B671" s="9">
        <v>1</v>
      </c>
      <c r="C671" s="9">
        <v>1</v>
      </c>
      <c r="D671" s="9"/>
      <c r="E671" s="9"/>
      <c r="F671" s="9"/>
      <c r="G671" s="9"/>
      <c r="H671" s="9"/>
      <c r="I671" s="9"/>
      <c r="J671" s="9"/>
      <c r="K671" s="9"/>
      <c r="L671" s="9"/>
      <c r="M671" s="9"/>
      <c r="N671" s="9">
        <v>1</v>
      </c>
    </row>
    <row r="672" spans="1:14" ht="45" x14ac:dyDescent="0.25">
      <c r="A672" s="8" t="s">
        <v>581</v>
      </c>
      <c r="B672" s="9">
        <v>1</v>
      </c>
      <c r="C672" s="9">
        <v>1</v>
      </c>
      <c r="D672" s="9"/>
      <c r="E672" s="9"/>
      <c r="F672" s="9"/>
      <c r="G672" s="9"/>
      <c r="H672" s="9"/>
      <c r="I672" s="9"/>
      <c r="J672" s="9"/>
      <c r="K672" s="9"/>
      <c r="L672" s="9"/>
      <c r="M672" s="9"/>
      <c r="N672" s="9">
        <v>1</v>
      </c>
    </row>
    <row r="673" spans="1:14" x14ac:dyDescent="0.25">
      <c r="A673" s="8" t="s">
        <v>804</v>
      </c>
      <c r="B673" s="9">
        <v>1</v>
      </c>
      <c r="C673" s="9">
        <v>1</v>
      </c>
      <c r="D673" s="9"/>
      <c r="E673" s="9"/>
      <c r="F673" s="9"/>
      <c r="G673" s="9"/>
      <c r="H673" s="9"/>
      <c r="I673" s="9"/>
      <c r="J673" s="9"/>
      <c r="K673" s="9"/>
      <c r="L673" s="9"/>
      <c r="M673" s="9"/>
      <c r="N673" s="9">
        <v>1</v>
      </c>
    </row>
    <row r="674" spans="1:14" x14ac:dyDescent="0.25">
      <c r="A674" s="8" t="s">
        <v>1028</v>
      </c>
      <c r="B674" s="9">
        <v>1</v>
      </c>
      <c r="C674" s="9">
        <v>1</v>
      </c>
      <c r="D674" s="9"/>
      <c r="E674" s="9"/>
      <c r="F674" s="9"/>
      <c r="G674" s="9"/>
      <c r="H674" s="9"/>
      <c r="I674" s="9"/>
      <c r="J674" s="9"/>
      <c r="K674" s="9"/>
      <c r="L674" s="9"/>
      <c r="M674" s="9">
        <v>1</v>
      </c>
      <c r="N674" s="9"/>
    </row>
    <row r="675" spans="1:14" x14ac:dyDescent="0.25">
      <c r="A675" s="8" t="s">
        <v>582</v>
      </c>
      <c r="B675" s="9">
        <v>1</v>
      </c>
      <c r="C675" s="9">
        <v>1</v>
      </c>
      <c r="D675" s="9"/>
      <c r="E675" s="9"/>
      <c r="F675" s="9"/>
      <c r="G675" s="9"/>
      <c r="H675" s="9"/>
      <c r="I675" s="9"/>
      <c r="J675" s="9"/>
      <c r="K675" s="9"/>
      <c r="L675" s="9"/>
      <c r="M675" s="9">
        <v>1</v>
      </c>
      <c r="N675" s="9"/>
    </row>
    <row r="676" spans="1:14" x14ac:dyDescent="0.25">
      <c r="A676" s="8" t="s">
        <v>804</v>
      </c>
      <c r="B676" s="9">
        <v>1</v>
      </c>
      <c r="C676" s="9">
        <v>1</v>
      </c>
      <c r="D676" s="9"/>
      <c r="E676" s="9"/>
      <c r="F676" s="9"/>
      <c r="G676" s="9"/>
      <c r="H676" s="9"/>
      <c r="I676" s="9"/>
      <c r="J676" s="9"/>
      <c r="K676" s="9"/>
      <c r="L676" s="9"/>
      <c r="M676" s="9">
        <v>1</v>
      </c>
      <c r="N676" s="9"/>
    </row>
    <row r="677" spans="1:14" x14ac:dyDescent="0.25">
      <c r="A677" s="8" t="s">
        <v>1029</v>
      </c>
      <c r="B677" s="9">
        <v>1</v>
      </c>
      <c r="C677" s="9">
        <v>1</v>
      </c>
      <c r="D677" s="9"/>
      <c r="E677" s="9">
        <v>1</v>
      </c>
      <c r="F677" s="9">
        <v>1</v>
      </c>
      <c r="G677" s="9"/>
      <c r="H677" s="9"/>
      <c r="I677" s="9"/>
      <c r="J677" s="9">
        <v>1</v>
      </c>
      <c r="K677" s="9"/>
      <c r="L677" s="9"/>
      <c r="M677" s="9"/>
      <c r="N677" s="9"/>
    </row>
    <row r="678" spans="1:14" ht="30" x14ac:dyDescent="0.25">
      <c r="A678" s="8" t="s">
        <v>587</v>
      </c>
      <c r="B678" s="9">
        <v>1</v>
      </c>
      <c r="C678" s="9">
        <v>1</v>
      </c>
      <c r="D678" s="9"/>
      <c r="E678" s="9">
        <v>1</v>
      </c>
      <c r="F678" s="9">
        <v>1</v>
      </c>
      <c r="G678" s="9"/>
      <c r="H678" s="9"/>
      <c r="I678" s="9"/>
      <c r="J678" s="9">
        <v>1</v>
      </c>
      <c r="K678" s="9"/>
      <c r="L678" s="9"/>
      <c r="M678" s="9"/>
      <c r="N678" s="9"/>
    </row>
    <row r="679" spans="1:14" x14ac:dyDescent="0.25">
      <c r="A679" s="8" t="s">
        <v>804</v>
      </c>
      <c r="B679" s="9">
        <v>1</v>
      </c>
      <c r="C679" s="9">
        <v>1</v>
      </c>
      <c r="D679" s="9"/>
      <c r="E679" s="9">
        <v>1</v>
      </c>
      <c r="F679" s="9">
        <v>1</v>
      </c>
      <c r="G679" s="9"/>
      <c r="H679" s="9"/>
      <c r="I679" s="9"/>
      <c r="J679" s="9">
        <v>1</v>
      </c>
      <c r="K679" s="9"/>
      <c r="L679" s="9"/>
      <c r="M679" s="9"/>
      <c r="N679" s="9"/>
    </row>
    <row r="680" spans="1:14" x14ac:dyDescent="0.25">
      <c r="A680" s="8" t="s">
        <v>1030</v>
      </c>
      <c r="B680" s="9">
        <v>1</v>
      </c>
      <c r="C680" s="9">
        <v>1</v>
      </c>
      <c r="D680" s="9">
        <v>1</v>
      </c>
      <c r="E680" s="9"/>
      <c r="F680" s="9"/>
      <c r="G680" s="9"/>
      <c r="H680" s="9"/>
      <c r="I680" s="9"/>
      <c r="J680" s="9"/>
      <c r="K680" s="9"/>
      <c r="L680" s="9">
        <v>1</v>
      </c>
      <c r="M680" s="9"/>
      <c r="N680" s="9"/>
    </row>
    <row r="681" spans="1:14" x14ac:dyDescent="0.25">
      <c r="A681" s="8" t="s">
        <v>591</v>
      </c>
      <c r="B681" s="9">
        <v>1</v>
      </c>
      <c r="C681" s="9">
        <v>1</v>
      </c>
      <c r="D681" s="9">
        <v>1</v>
      </c>
      <c r="E681" s="9"/>
      <c r="F681" s="9"/>
      <c r="G681" s="9"/>
      <c r="H681" s="9"/>
      <c r="I681" s="9"/>
      <c r="J681" s="9"/>
      <c r="K681" s="9"/>
      <c r="L681" s="9">
        <v>1</v>
      </c>
      <c r="M681" s="9"/>
      <c r="N681" s="9"/>
    </row>
    <row r="682" spans="1:14" x14ac:dyDescent="0.25">
      <c r="A682" s="8" t="s">
        <v>804</v>
      </c>
      <c r="B682" s="9">
        <v>1</v>
      </c>
      <c r="C682" s="9">
        <v>1</v>
      </c>
      <c r="D682" s="9">
        <v>1</v>
      </c>
      <c r="E682" s="9"/>
      <c r="F682" s="9"/>
      <c r="G682" s="9"/>
      <c r="H682" s="9"/>
      <c r="I682" s="9"/>
      <c r="J682" s="9"/>
      <c r="K682" s="9"/>
      <c r="L682" s="9">
        <v>1</v>
      </c>
      <c r="M682" s="9"/>
      <c r="N682" s="9"/>
    </row>
    <row r="683" spans="1:14" x14ac:dyDescent="0.25">
      <c r="A683" s="8" t="s">
        <v>1031</v>
      </c>
      <c r="B683" s="9">
        <v>1</v>
      </c>
      <c r="C683" s="9">
        <v>1</v>
      </c>
      <c r="D683" s="9">
        <v>1</v>
      </c>
      <c r="E683" s="9"/>
      <c r="F683" s="9"/>
      <c r="G683" s="9"/>
      <c r="H683" s="9"/>
      <c r="I683" s="9"/>
      <c r="J683" s="9"/>
      <c r="K683" s="9"/>
      <c r="L683" s="9">
        <v>1</v>
      </c>
      <c r="M683" s="9"/>
      <c r="N683" s="9"/>
    </row>
    <row r="684" spans="1:14" ht="30" x14ac:dyDescent="0.25">
      <c r="A684" s="8" t="s">
        <v>594</v>
      </c>
      <c r="B684" s="9">
        <v>1</v>
      </c>
      <c r="C684" s="9">
        <v>1</v>
      </c>
      <c r="D684" s="9">
        <v>1</v>
      </c>
      <c r="E684" s="9"/>
      <c r="F684" s="9"/>
      <c r="G684" s="9"/>
      <c r="H684" s="9"/>
      <c r="I684" s="9"/>
      <c r="J684" s="9"/>
      <c r="K684" s="9"/>
      <c r="L684" s="9">
        <v>1</v>
      </c>
      <c r="M684" s="9"/>
      <c r="N684" s="9"/>
    </row>
    <row r="685" spans="1:14" x14ac:dyDescent="0.25">
      <c r="A685" s="8" t="s">
        <v>804</v>
      </c>
      <c r="B685" s="9">
        <v>1</v>
      </c>
      <c r="C685" s="9">
        <v>1</v>
      </c>
      <c r="D685" s="9">
        <v>1</v>
      </c>
      <c r="E685" s="9"/>
      <c r="F685" s="9"/>
      <c r="G685" s="9"/>
      <c r="H685" s="9"/>
      <c r="I685" s="9"/>
      <c r="J685" s="9"/>
      <c r="K685" s="9"/>
      <c r="L685" s="9">
        <v>1</v>
      </c>
      <c r="M685" s="9"/>
      <c r="N685" s="9"/>
    </row>
    <row r="686" spans="1:14" x14ac:dyDescent="0.25">
      <c r="A686" s="8" t="s">
        <v>1032</v>
      </c>
      <c r="B686" s="9">
        <v>1</v>
      </c>
      <c r="C686" s="9">
        <v>1</v>
      </c>
      <c r="D686" s="9">
        <v>1</v>
      </c>
      <c r="E686" s="9">
        <v>1</v>
      </c>
      <c r="F686" s="9">
        <v>1</v>
      </c>
      <c r="G686" s="9"/>
      <c r="H686" s="9"/>
      <c r="I686" s="9"/>
      <c r="J686" s="9">
        <v>1</v>
      </c>
      <c r="K686" s="9"/>
      <c r="L686" s="9"/>
      <c r="M686" s="9"/>
      <c r="N686" s="9"/>
    </row>
    <row r="687" spans="1:14" ht="30" x14ac:dyDescent="0.25">
      <c r="A687" s="8" t="s">
        <v>597</v>
      </c>
      <c r="B687" s="9">
        <v>1</v>
      </c>
      <c r="C687" s="9">
        <v>1</v>
      </c>
      <c r="D687" s="9">
        <v>1</v>
      </c>
      <c r="E687" s="9">
        <v>1</v>
      </c>
      <c r="F687" s="9">
        <v>1</v>
      </c>
      <c r="G687" s="9"/>
      <c r="H687" s="9"/>
      <c r="I687" s="9"/>
      <c r="J687" s="9">
        <v>1</v>
      </c>
      <c r="K687" s="9"/>
      <c r="L687" s="9"/>
      <c r="M687" s="9"/>
      <c r="N687" s="9"/>
    </row>
    <row r="688" spans="1:14" x14ac:dyDescent="0.25">
      <c r="A688" s="8" t="s">
        <v>804</v>
      </c>
      <c r="B688" s="9">
        <v>1</v>
      </c>
      <c r="C688" s="9">
        <v>1</v>
      </c>
      <c r="D688" s="9">
        <v>1</v>
      </c>
      <c r="E688" s="9">
        <v>1</v>
      </c>
      <c r="F688" s="9">
        <v>1</v>
      </c>
      <c r="G688" s="9"/>
      <c r="H688" s="9"/>
      <c r="I688" s="9"/>
      <c r="J688" s="9">
        <v>1</v>
      </c>
      <c r="K688" s="9"/>
      <c r="L688" s="9"/>
      <c r="M688" s="9"/>
      <c r="N688" s="9"/>
    </row>
    <row r="689" spans="1:14" x14ac:dyDescent="0.25">
      <c r="A689" s="8" t="s">
        <v>1033</v>
      </c>
      <c r="B689" s="9">
        <v>1</v>
      </c>
      <c r="C689" s="9">
        <v>1</v>
      </c>
      <c r="D689" s="9">
        <v>1</v>
      </c>
      <c r="E689" s="9">
        <v>1</v>
      </c>
      <c r="F689" s="9">
        <v>1</v>
      </c>
      <c r="G689" s="9"/>
      <c r="H689" s="9"/>
      <c r="I689" s="9"/>
      <c r="J689" s="9">
        <v>1</v>
      </c>
      <c r="K689" s="9"/>
      <c r="L689" s="9"/>
      <c r="M689" s="9"/>
      <c r="N689" s="9"/>
    </row>
    <row r="690" spans="1:14" ht="30" x14ac:dyDescent="0.25">
      <c r="A690" s="8" t="s">
        <v>600</v>
      </c>
      <c r="B690" s="9">
        <v>1</v>
      </c>
      <c r="C690" s="9">
        <v>1</v>
      </c>
      <c r="D690" s="9">
        <v>1</v>
      </c>
      <c r="E690" s="9">
        <v>1</v>
      </c>
      <c r="F690" s="9">
        <v>1</v>
      </c>
      <c r="G690" s="9"/>
      <c r="H690" s="9"/>
      <c r="I690" s="9"/>
      <c r="J690" s="9">
        <v>1</v>
      </c>
      <c r="K690" s="9"/>
      <c r="L690" s="9"/>
      <c r="M690" s="9"/>
      <c r="N690" s="9"/>
    </row>
    <row r="691" spans="1:14" x14ac:dyDescent="0.25">
      <c r="A691" s="8" t="s">
        <v>804</v>
      </c>
      <c r="B691" s="9">
        <v>1</v>
      </c>
      <c r="C691" s="9">
        <v>1</v>
      </c>
      <c r="D691" s="9">
        <v>1</v>
      </c>
      <c r="E691" s="9">
        <v>1</v>
      </c>
      <c r="F691" s="9">
        <v>1</v>
      </c>
      <c r="G691" s="9"/>
      <c r="H691" s="9"/>
      <c r="I691" s="9"/>
      <c r="J691" s="9">
        <v>1</v>
      </c>
      <c r="K691" s="9"/>
      <c r="L691" s="9"/>
      <c r="M691" s="9"/>
      <c r="N691" s="9"/>
    </row>
    <row r="692" spans="1:14" x14ac:dyDescent="0.25">
      <c r="A692" s="8" t="s">
        <v>1034</v>
      </c>
      <c r="B692" s="9">
        <v>1</v>
      </c>
      <c r="C692" s="9">
        <v>1</v>
      </c>
      <c r="D692" s="9">
        <v>1</v>
      </c>
      <c r="E692" s="9"/>
      <c r="F692" s="9"/>
      <c r="G692" s="9"/>
      <c r="H692" s="9"/>
      <c r="I692" s="9"/>
      <c r="J692" s="9"/>
      <c r="K692" s="9"/>
      <c r="L692" s="9">
        <v>1</v>
      </c>
      <c r="M692" s="9"/>
      <c r="N692" s="9"/>
    </row>
    <row r="693" spans="1:14" ht="30" x14ac:dyDescent="0.25">
      <c r="A693" s="8" t="s">
        <v>603</v>
      </c>
      <c r="B693" s="9">
        <v>1</v>
      </c>
      <c r="C693" s="9">
        <v>1</v>
      </c>
      <c r="D693" s="9">
        <v>1</v>
      </c>
      <c r="E693" s="9"/>
      <c r="F693" s="9"/>
      <c r="G693" s="9"/>
      <c r="H693" s="9"/>
      <c r="I693" s="9"/>
      <c r="J693" s="9"/>
      <c r="K693" s="9"/>
      <c r="L693" s="9">
        <v>1</v>
      </c>
      <c r="M693" s="9"/>
      <c r="N693" s="9"/>
    </row>
    <row r="694" spans="1:14" x14ac:dyDescent="0.25">
      <c r="A694" s="8" t="s">
        <v>804</v>
      </c>
      <c r="B694" s="9">
        <v>1</v>
      </c>
      <c r="C694" s="9">
        <v>1</v>
      </c>
      <c r="D694" s="9">
        <v>1</v>
      </c>
      <c r="E694" s="9"/>
      <c r="F694" s="9"/>
      <c r="G694" s="9"/>
      <c r="H694" s="9"/>
      <c r="I694" s="9"/>
      <c r="J694" s="9"/>
      <c r="K694" s="9"/>
      <c r="L694" s="9">
        <v>1</v>
      </c>
      <c r="M694" s="9"/>
      <c r="N694" s="9"/>
    </row>
    <row r="695" spans="1:14" x14ac:dyDescent="0.25">
      <c r="A695" s="8" t="s">
        <v>1035</v>
      </c>
      <c r="B695" s="9">
        <v>1</v>
      </c>
      <c r="C695" s="9">
        <v>1</v>
      </c>
      <c r="D695" s="9">
        <v>1</v>
      </c>
      <c r="E695" s="9"/>
      <c r="F695" s="9"/>
      <c r="G695" s="9"/>
      <c r="H695" s="9"/>
      <c r="I695" s="9"/>
      <c r="J695" s="9"/>
      <c r="K695" s="9"/>
      <c r="L695" s="9">
        <v>1</v>
      </c>
      <c r="M695" s="9"/>
      <c r="N695" s="9"/>
    </row>
    <row r="696" spans="1:14" ht="30" x14ac:dyDescent="0.25">
      <c r="A696" s="8" t="s">
        <v>604</v>
      </c>
      <c r="B696" s="9">
        <v>1</v>
      </c>
      <c r="C696" s="9">
        <v>1</v>
      </c>
      <c r="D696" s="9">
        <v>1</v>
      </c>
      <c r="E696" s="9"/>
      <c r="F696" s="9"/>
      <c r="G696" s="9"/>
      <c r="H696" s="9"/>
      <c r="I696" s="9"/>
      <c r="J696" s="9"/>
      <c r="K696" s="9"/>
      <c r="L696" s="9">
        <v>1</v>
      </c>
      <c r="M696" s="9"/>
      <c r="N696" s="9"/>
    </row>
    <row r="697" spans="1:14" x14ac:dyDescent="0.25">
      <c r="A697" s="8" t="s">
        <v>804</v>
      </c>
      <c r="B697" s="9">
        <v>1</v>
      </c>
      <c r="C697" s="9">
        <v>1</v>
      </c>
      <c r="D697" s="9">
        <v>1</v>
      </c>
      <c r="E697" s="9"/>
      <c r="F697" s="9"/>
      <c r="G697" s="9"/>
      <c r="H697" s="9"/>
      <c r="I697" s="9"/>
      <c r="J697" s="9"/>
      <c r="K697" s="9"/>
      <c r="L697" s="9">
        <v>1</v>
      </c>
      <c r="M697" s="9"/>
      <c r="N697" s="9"/>
    </row>
    <row r="698" spans="1:14" x14ac:dyDescent="0.25">
      <c r="A698" s="8" t="s">
        <v>1036</v>
      </c>
      <c r="B698" s="9">
        <v>1</v>
      </c>
      <c r="C698" s="9">
        <v>1</v>
      </c>
      <c r="D698" s="9">
        <v>1</v>
      </c>
      <c r="E698" s="9"/>
      <c r="F698" s="9"/>
      <c r="G698" s="9"/>
      <c r="H698" s="9"/>
      <c r="I698" s="9"/>
      <c r="J698" s="9"/>
      <c r="K698" s="9"/>
      <c r="L698" s="9">
        <v>1</v>
      </c>
      <c r="M698" s="9"/>
      <c r="N698" s="9"/>
    </row>
    <row r="699" spans="1:14" ht="45" x14ac:dyDescent="0.25">
      <c r="A699" s="8" t="s">
        <v>605</v>
      </c>
      <c r="B699" s="9">
        <v>1</v>
      </c>
      <c r="C699" s="9">
        <v>1</v>
      </c>
      <c r="D699" s="9">
        <v>1</v>
      </c>
      <c r="E699" s="9"/>
      <c r="F699" s="9"/>
      <c r="G699" s="9"/>
      <c r="H699" s="9"/>
      <c r="I699" s="9"/>
      <c r="J699" s="9"/>
      <c r="K699" s="9"/>
      <c r="L699" s="9">
        <v>1</v>
      </c>
      <c r="M699" s="9"/>
      <c r="N699" s="9"/>
    </row>
    <row r="700" spans="1:14" x14ac:dyDescent="0.25">
      <c r="A700" s="8" t="s">
        <v>804</v>
      </c>
      <c r="B700" s="9">
        <v>1</v>
      </c>
      <c r="C700" s="9">
        <v>1</v>
      </c>
      <c r="D700" s="9">
        <v>1</v>
      </c>
      <c r="E700" s="9"/>
      <c r="F700" s="9"/>
      <c r="G700" s="9"/>
      <c r="H700" s="9"/>
      <c r="I700" s="9"/>
      <c r="J700" s="9"/>
      <c r="K700" s="9"/>
      <c r="L700" s="9">
        <v>1</v>
      </c>
      <c r="M700" s="9"/>
      <c r="N700" s="9"/>
    </row>
    <row r="701" spans="1:14" x14ac:dyDescent="0.25">
      <c r="A701" s="8" t="s">
        <v>1037</v>
      </c>
      <c r="B701" s="9">
        <v>1</v>
      </c>
      <c r="C701" s="9">
        <v>1</v>
      </c>
      <c r="D701" s="9"/>
      <c r="E701" s="9"/>
      <c r="F701" s="9"/>
      <c r="G701" s="9"/>
      <c r="H701" s="9"/>
      <c r="I701" s="9"/>
      <c r="J701" s="9"/>
      <c r="K701" s="9"/>
      <c r="L701" s="9"/>
      <c r="M701" s="9"/>
      <c r="N701" s="9">
        <v>1</v>
      </c>
    </row>
    <row r="702" spans="1:14" ht="30" x14ac:dyDescent="0.25">
      <c r="A702" s="8" t="s">
        <v>606</v>
      </c>
      <c r="B702" s="9">
        <v>1</v>
      </c>
      <c r="C702" s="9">
        <v>1</v>
      </c>
      <c r="D702" s="9"/>
      <c r="E702" s="9"/>
      <c r="F702" s="9"/>
      <c r="G702" s="9"/>
      <c r="H702" s="9"/>
      <c r="I702" s="9"/>
      <c r="J702" s="9"/>
      <c r="K702" s="9"/>
      <c r="L702" s="9"/>
      <c r="M702" s="9"/>
      <c r="N702" s="9">
        <v>1</v>
      </c>
    </row>
    <row r="703" spans="1:14" x14ac:dyDescent="0.25">
      <c r="A703" s="8" t="s">
        <v>804</v>
      </c>
      <c r="B703" s="9">
        <v>1</v>
      </c>
      <c r="C703" s="9">
        <v>1</v>
      </c>
      <c r="D703" s="9"/>
      <c r="E703" s="9"/>
      <c r="F703" s="9"/>
      <c r="G703" s="9"/>
      <c r="H703" s="9"/>
      <c r="I703" s="9"/>
      <c r="J703" s="9"/>
      <c r="K703" s="9"/>
      <c r="L703" s="9"/>
      <c r="M703" s="9"/>
      <c r="N703" s="9">
        <v>1</v>
      </c>
    </row>
    <row r="704" spans="1:14" x14ac:dyDescent="0.25">
      <c r="A704" s="8" t="s">
        <v>1038</v>
      </c>
      <c r="B704" s="9">
        <v>1</v>
      </c>
      <c r="C704" s="9">
        <v>1</v>
      </c>
      <c r="D704" s="9"/>
      <c r="E704" s="9"/>
      <c r="F704" s="9"/>
      <c r="G704" s="9"/>
      <c r="H704" s="9"/>
      <c r="I704" s="9"/>
      <c r="J704" s="9"/>
      <c r="K704" s="9"/>
      <c r="L704" s="9"/>
      <c r="M704" s="9"/>
      <c r="N704" s="9">
        <v>1</v>
      </c>
    </row>
    <row r="705" spans="1:14" ht="30" x14ac:dyDescent="0.25">
      <c r="A705" s="8" t="s">
        <v>607</v>
      </c>
      <c r="B705" s="9">
        <v>1</v>
      </c>
      <c r="C705" s="9">
        <v>1</v>
      </c>
      <c r="D705" s="9"/>
      <c r="E705" s="9"/>
      <c r="F705" s="9"/>
      <c r="G705" s="9"/>
      <c r="H705" s="9"/>
      <c r="I705" s="9"/>
      <c r="J705" s="9"/>
      <c r="K705" s="9"/>
      <c r="L705" s="9"/>
      <c r="M705" s="9"/>
      <c r="N705" s="9">
        <v>1</v>
      </c>
    </row>
    <row r="706" spans="1:14" x14ac:dyDescent="0.25">
      <c r="A706" s="8" t="s">
        <v>804</v>
      </c>
      <c r="B706" s="9">
        <v>1</v>
      </c>
      <c r="C706" s="9">
        <v>1</v>
      </c>
      <c r="D706" s="9"/>
      <c r="E706" s="9"/>
      <c r="F706" s="9"/>
      <c r="G706" s="9"/>
      <c r="H706" s="9"/>
      <c r="I706" s="9"/>
      <c r="J706" s="9"/>
      <c r="K706" s="9"/>
      <c r="L706" s="9"/>
      <c r="M706" s="9"/>
      <c r="N706" s="9">
        <v>1</v>
      </c>
    </row>
    <row r="707" spans="1:14" x14ac:dyDescent="0.25">
      <c r="A707" s="8" t="s">
        <v>1039</v>
      </c>
      <c r="B707" s="9">
        <v>1</v>
      </c>
      <c r="C707" s="9">
        <v>1</v>
      </c>
      <c r="D707" s="9"/>
      <c r="E707" s="9"/>
      <c r="F707" s="9"/>
      <c r="G707" s="9"/>
      <c r="H707" s="9"/>
      <c r="I707" s="9"/>
      <c r="J707" s="9"/>
      <c r="K707" s="9"/>
      <c r="L707" s="9"/>
      <c r="M707" s="9">
        <v>1</v>
      </c>
      <c r="N707" s="9"/>
    </row>
    <row r="708" spans="1:14" ht="45" x14ac:dyDescent="0.25">
      <c r="A708" s="8" t="s">
        <v>609</v>
      </c>
      <c r="B708" s="9">
        <v>1</v>
      </c>
      <c r="C708" s="9">
        <v>1</v>
      </c>
      <c r="D708" s="9"/>
      <c r="E708" s="9"/>
      <c r="F708" s="9"/>
      <c r="G708" s="9"/>
      <c r="H708" s="9"/>
      <c r="I708" s="9"/>
      <c r="J708" s="9"/>
      <c r="K708" s="9"/>
      <c r="L708" s="9"/>
      <c r="M708" s="9">
        <v>1</v>
      </c>
      <c r="N708" s="9"/>
    </row>
    <row r="709" spans="1:14" x14ac:dyDescent="0.25">
      <c r="A709" s="8" t="s">
        <v>804</v>
      </c>
      <c r="B709" s="9">
        <v>1</v>
      </c>
      <c r="C709" s="9">
        <v>1</v>
      </c>
      <c r="D709" s="9"/>
      <c r="E709" s="9"/>
      <c r="F709" s="9"/>
      <c r="G709" s="9"/>
      <c r="H709" s="9"/>
      <c r="I709" s="9"/>
      <c r="J709" s="9"/>
      <c r="K709" s="9"/>
      <c r="L709" s="9"/>
      <c r="M709" s="9">
        <v>1</v>
      </c>
      <c r="N709" s="9"/>
    </row>
    <row r="710" spans="1:14" x14ac:dyDescent="0.25">
      <c r="A710" s="8" t="s">
        <v>1040</v>
      </c>
      <c r="B710" s="9">
        <v>1</v>
      </c>
      <c r="C710" s="9">
        <v>1</v>
      </c>
      <c r="D710" s="9">
        <v>1</v>
      </c>
      <c r="E710" s="9"/>
      <c r="F710" s="9"/>
      <c r="G710" s="9"/>
      <c r="H710" s="9"/>
      <c r="I710" s="9"/>
      <c r="J710" s="9"/>
      <c r="K710" s="9"/>
      <c r="L710" s="9">
        <v>1</v>
      </c>
      <c r="M710" s="9"/>
      <c r="N710" s="9"/>
    </row>
    <row r="711" spans="1:14" ht="30" x14ac:dyDescent="0.25">
      <c r="A711" s="8" t="s">
        <v>611</v>
      </c>
      <c r="B711" s="9">
        <v>1</v>
      </c>
      <c r="C711" s="9">
        <v>1</v>
      </c>
      <c r="D711" s="9">
        <v>1</v>
      </c>
      <c r="E711" s="9"/>
      <c r="F711" s="9"/>
      <c r="G711" s="9"/>
      <c r="H711" s="9"/>
      <c r="I711" s="9"/>
      <c r="J711" s="9"/>
      <c r="K711" s="9"/>
      <c r="L711" s="9">
        <v>1</v>
      </c>
      <c r="M711" s="9"/>
      <c r="N711" s="9"/>
    </row>
    <row r="712" spans="1:14" x14ac:dyDescent="0.25">
      <c r="A712" s="8" t="s">
        <v>804</v>
      </c>
      <c r="B712" s="9">
        <v>1</v>
      </c>
      <c r="C712" s="9">
        <v>1</v>
      </c>
      <c r="D712" s="9">
        <v>1</v>
      </c>
      <c r="E712" s="9"/>
      <c r="F712" s="9"/>
      <c r="G712" s="9"/>
      <c r="H712" s="9"/>
      <c r="I712" s="9"/>
      <c r="J712" s="9"/>
      <c r="K712" s="9"/>
      <c r="L712" s="9">
        <v>1</v>
      </c>
      <c r="M712" s="9"/>
      <c r="N712" s="9"/>
    </row>
    <row r="713" spans="1:14" x14ac:dyDescent="0.25">
      <c r="A713" s="8" t="s">
        <v>1041</v>
      </c>
      <c r="B713" s="9">
        <v>1</v>
      </c>
      <c r="C713" s="9">
        <v>1</v>
      </c>
      <c r="D713" s="9">
        <v>1</v>
      </c>
      <c r="E713" s="9"/>
      <c r="F713" s="9"/>
      <c r="G713" s="9"/>
      <c r="H713" s="9"/>
      <c r="I713" s="9"/>
      <c r="J713" s="9"/>
      <c r="K713" s="9"/>
      <c r="L713" s="9">
        <v>1</v>
      </c>
      <c r="M713" s="9"/>
      <c r="N713" s="9"/>
    </row>
    <row r="714" spans="1:14" ht="45" x14ac:dyDescent="0.25">
      <c r="A714" s="8" t="s">
        <v>612</v>
      </c>
      <c r="B714" s="9">
        <v>1</v>
      </c>
      <c r="C714" s="9">
        <v>1</v>
      </c>
      <c r="D714" s="9">
        <v>1</v>
      </c>
      <c r="E714" s="9"/>
      <c r="F714" s="9"/>
      <c r="G714" s="9"/>
      <c r="H714" s="9"/>
      <c r="I714" s="9"/>
      <c r="J714" s="9"/>
      <c r="K714" s="9"/>
      <c r="L714" s="9">
        <v>1</v>
      </c>
      <c r="M714" s="9"/>
      <c r="N714" s="9"/>
    </row>
    <row r="715" spans="1:14" x14ac:dyDescent="0.25">
      <c r="A715" s="8" t="s">
        <v>804</v>
      </c>
      <c r="B715" s="9">
        <v>1</v>
      </c>
      <c r="C715" s="9">
        <v>1</v>
      </c>
      <c r="D715" s="9">
        <v>1</v>
      </c>
      <c r="E715" s="9"/>
      <c r="F715" s="9"/>
      <c r="G715" s="9"/>
      <c r="H715" s="9"/>
      <c r="I715" s="9"/>
      <c r="J715" s="9"/>
      <c r="K715" s="9"/>
      <c r="L715" s="9">
        <v>1</v>
      </c>
      <c r="M715" s="9"/>
      <c r="N715" s="9"/>
    </row>
    <row r="716" spans="1:14" x14ac:dyDescent="0.25">
      <c r="A716" s="8" t="s">
        <v>1042</v>
      </c>
      <c r="B716" s="9">
        <v>1</v>
      </c>
      <c r="C716" s="9">
        <v>1</v>
      </c>
      <c r="D716" s="9">
        <v>1</v>
      </c>
      <c r="E716" s="9"/>
      <c r="F716" s="9"/>
      <c r="G716" s="9"/>
      <c r="H716" s="9"/>
      <c r="I716" s="9"/>
      <c r="J716" s="9"/>
      <c r="K716" s="9"/>
      <c r="L716" s="9">
        <v>1</v>
      </c>
      <c r="M716" s="9"/>
      <c r="N716" s="9"/>
    </row>
    <row r="717" spans="1:14" ht="45" x14ac:dyDescent="0.25">
      <c r="A717" s="8" t="s">
        <v>615</v>
      </c>
      <c r="B717" s="9">
        <v>1</v>
      </c>
      <c r="C717" s="9">
        <v>1</v>
      </c>
      <c r="D717" s="9">
        <v>1</v>
      </c>
      <c r="E717" s="9"/>
      <c r="F717" s="9"/>
      <c r="G717" s="9"/>
      <c r="H717" s="9"/>
      <c r="I717" s="9"/>
      <c r="J717" s="9"/>
      <c r="K717" s="9"/>
      <c r="L717" s="9">
        <v>1</v>
      </c>
      <c r="M717" s="9"/>
      <c r="N717" s="9"/>
    </row>
    <row r="718" spans="1:14" x14ac:dyDescent="0.25">
      <c r="A718" s="8" t="s">
        <v>804</v>
      </c>
      <c r="B718" s="9">
        <v>1</v>
      </c>
      <c r="C718" s="9">
        <v>1</v>
      </c>
      <c r="D718" s="9">
        <v>1</v>
      </c>
      <c r="E718" s="9"/>
      <c r="F718" s="9"/>
      <c r="G718" s="9"/>
      <c r="H718" s="9"/>
      <c r="I718" s="9"/>
      <c r="J718" s="9"/>
      <c r="K718" s="9"/>
      <c r="L718" s="9">
        <v>1</v>
      </c>
      <c r="M718" s="9"/>
      <c r="N718" s="9"/>
    </row>
    <row r="719" spans="1:14" x14ac:dyDescent="0.25">
      <c r="A719" s="8" t="s">
        <v>1043</v>
      </c>
      <c r="B719" s="9">
        <v>1</v>
      </c>
      <c r="C719" s="9">
        <v>1</v>
      </c>
      <c r="D719" s="9">
        <v>1</v>
      </c>
      <c r="E719" s="9"/>
      <c r="F719" s="9"/>
      <c r="G719" s="9"/>
      <c r="H719" s="9"/>
      <c r="I719" s="9"/>
      <c r="J719" s="9"/>
      <c r="K719" s="9"/>
      <c r="L719" s="9">
        <v>1</v>
      </c>
      <c r="M719" s="9"/>
      <c r="N719" s="9"/>
    </row>
    <row r="720" spans="1:14" ht="45" x14ac:dyDescent="0.25">
      <c r="A720" s="8" t="s">
        <v>618</v>
      </c>
      <c r="B720" s="9">
        <v>1</v>
      </c>
      <c r="C720" s="9">
        <v>1</v>
      </c>
      <c r="D720" s="9">
        <v>1</v>
      </c>
      <c r="E720" s="9"/>
      <c r="F720" s="9"/>
      <c r="G720" s="9"/>
      <c r="H720" s="9"/>
      <c r="I720" s="9"/>
      <c r="J720" s="9"/>
      <c r="K720" s="9"/>
      <c r="L720" s="9">
        <v>1</v>
      </c>
      <c r="M720" s="9"/>
      <c r="N720" s="9"/>
    </row>
    <row r="721" spans="1:14" x14ac:dyDescent="0.25">
      <c r="A721" s="8" t="s">
        <v>804</v>
      </c>
      <c r="B721" s="9">
        <v>1</v>
      </c>
      <c r="C721" s="9">
        <v>1</v>
      </c>
      <c r="D721" s="9">
        <v>1</v>
      </c>
      <c r="E721" s="9"/>
      <c r="F721" s="9"/>
      <c r="G721" s="9"/>
      <c r="H721" s="9"/>
      <c r="I721" s="9"/>
      <c r="J721" s="9"/>
      <c r="K721" s="9"/>
      <c r="L721" s="9">
        <v>1</v>
      </c>
      <c r="M721" s="9"/>
      <c r="N721" s="9"/>
    </row>
    <row r="722" spans="1:14" x14ac:dyDescent="0.25">
      <c r="A722" s="8" t="s">
        <v>1044</v>
      </c>
      <c r="B722" s="9">
        <v>1</v>
      </c>
      <c r="C722" s="9">
        <v>1</v>
      </c>
      <c r="D722" s="9">
        <v>1</v>
      </c>
      <c r="E722" s="9"/>
      <c r="F722" s="9"/>
      <c r="G722" s="9"/>
      <c r="H722" s="9"/>
      <c r="I722" s="9"/>
      <c r="J722" s="9"/>
      <c r="K722" s="9"/>
      <c r="L722" s="9">
        <v>1</v>
      </c>
      <c r="M722" s="9"/>
      <c r="N722" s="9"/>
    </row>
    <row r="723" spans="1:14" ht="30" x14ac:dyDescent="0.25">
      <c r="A723" s="8" t="s">
        <v>619</v>
      </c>
      <c r="B723" s="9">
        <v>1</v>
      </c>
      <c r="C723" s="9">
        <v>1</v>
      </c>
      <c r="D723" s="9">
        <v>1</v>
      </c>
      <c r="E723" s="9"/>
      <c r="F723" s="9"/>
      <c r="G723" s="9"/>
      <c r="H723" s="9"/>
      <c r="I723" s="9"/>
      <c r="J723" s="9"/>
      <c r="K723" s="9"/>
      <c r="L723" s="9">
        <v>1</v>
      </c>
      <c r="M723" s="9"/>
      <c r="N723" s="9"/>
    </row>
    <row r="724" spans="1:14" x14ac:dyDescent="0.25">
      <c r="A724" s="8" t="s">
        <v>804</v>
      </c>
      <c r="B724" s="9">
        <v>1</v>
      </c>
      <c r="C724" s="9">
        <v>1</v>
      </c>
      <c r="D724" s="9">
        <v>1</v>
      </c>
      <c r="E724" s="9"/>
      <c r="F724" s="9"/>
      <c r="G724" s="9"/>
      <c r="H724" s="9"/>
      <c r="I724" s="9"/>
      <c r="J724" s="9"/>
      <c r="K724" s="9"/>
      <c r="L724" s="9">
        <v>1</v>
      </c>
      <c r="M724" s="9"/>
      <c r="N724" s="9"/>
    </row>
    <row r="725" spans="1:14" x14ac:dyDescent="0.25">
      <c r="A725" s="8" t="s">
        <v>1045</v>
      </c>
      <c r="B725" s="9">
        <v>1</v>
      </c>
      <c r="C725" s="9">
        <v>1</v>
      </c>
      <c r="D725" s="9"/>
      <c r="E725" s="9"/>
      <c r="F725" s="9"/>
      <c r="G725" s="9"/>
      <c r="H725" s="9"/>
      <c r="I725" s="9"/>
      <c r="J725" s="9"/>
      <c r="K725" s="9"/>
      <c r="L725" s="9"/>
      <c r="M725" s="9"/>
      <c r="N725" s="9">
        <v>1</v>
      </c>
    </row>
    <row r="726" spans="1:14" ht="30" x14ac:dyDescent="0.25">
      <c r="A726" s="8" t="s">
        <v>620</v>
      </c>
      <c r="B726" s="9">
        <v>1</v>
      </c>
      <c r="C726" s="9">
        <v>1</v>
      </c>
      <c r="D726" s="9"/>
      <c r="E726" s="9"/>
      <c r="F726" s="9"/>
      <c r="G726" s="9"/>
      <c r="H726" s="9"/>
      <c r="I726" s="9"/>
      <c r="J726" s="9"/>
      <c r="K726" s="9"/>
      <c r="L726" s="9"/>
      <c r="M726" s="9"/>
      <c r="N726" s="9">
        <v>1</v>
      </c>
    </row>
    <row r="727" spans="1:14" x14ac:dyDescent="0.25">
      <c r="A727" s="8" t="s">
        <v>804</v>
      </c>
      <c r="B727" s="9">
        <v>1</v>
      </c>
      <c r="C727" s="9">
        <v>1</v>
      </c>
      <c r="D727" s="9"/>
      <c r="E727" s="9"/>
      <c r="F727" s="9"/>
      <c r="G727" s="9"/>
      <c r="H727" s="9"/>
      <c r="I727" s="9"/>
      <c r="J727" s="9"/>
      <c r="K727" s="9"/>
      <c r="L727" s="9"/>
      <c r="M727" s="9"/>
      <c r="N727" s="9">
        <v>1</v>
      </c>
    </row>
    <row r="728" spans="1:14" x14ac:dyDescent="0.25">
      <c r="A728" s="8" t="s">
        <v>1046</v>
      </c>
      <c r="B728" s="9">
        <v>1</v>
      </c>
      <c r="C728" s="9">
        <v>1</v>
      </c>
      <c r="D728" s="9"/>
      <c r="E728" s="9"/>
      <c r="F728" s="9"/>
      <c r="G728" s="9"/>
      <c r="H728" s="9"/>
      <c r="I728" s="9"/>
      <c r="J728" s="9"/>
      <c r="K728" s="9"/>
      <c r="L728" s="9"/>
      <c r="M728" s="9"/>
      <c r="N728" s="9">
        <v>1</v>
      </c>
    </row>
    <row r="729" spans="1:14" ht="30" x14ac:dyDescent="0.25">
      <c r="A729" s="8" t="s">
        <v>621</v>
      </c>
      <c r="B729" s="9">
        <v>1</v>
      </c>
      <c r="C729" s="9">
        <v>1</v>
      </c>
      <c r="D729" s="9"/>
      <c r="E729" s="9"/>
      <c r="F729" s="9"/>
      <c r="G729" s="9"/>
      <c r="H729" s="9"/>
      <c r="I729" s="9"/>
      <c r="J729" s="9"/>
      <c r="K729" s="9"/>
      <c r="L729" s="9"/>
      <c r="M729" s="9"/>
      <c r="N729" s="9">
        <v>1</v>
      </c>
    </row>
    <row r="730" spans="1:14" x14ac:dyDescent="0.25">
      <c r="A730" s="8" t="s">
        <v>804</v>
      </c>
      <c r="B730" s="9">
        <v>1</v>
      </c>
      <c r="C730" s="9">
        <v>1</v>
      </c>
      <c r="D730" s="9"/>
      <c r="E730" s="9"/>
      <c r="F730" s="9"/>
      <c r="G730" s="9"/>
      <c r="H730" s="9"/>
      <c r="I730" s="9"/>
      <c r="J730" s="9"/>
      <c r="K730" s="9"/>
      <c r="L730" s="9"/>
      <c r="M730" s="9"/>
      <c r="N730" s="9">
        <v>1</v>
      </c>
    </row>
    <row r="731" spans="1:14" x14ac:dyDescent="0.25">
      <c r="A731" s="8" t="s">
        <v>1047</v>
      </c>
      <c r="B731" s="9">
        <v>1</v>
      </c>
      <c r="C731" s="9">
        <v>1</v>
      </c>
      <c r="D731" s="9"/>
      <c r="E731" s="9"/>
      <c r="F731" s="9"/>
      <c r="G731" s="9"/>
      <c r="H731" s="9"/>
      <c r="I731" s="9"/>
      <c r="J731" s="9"/>
      <c r="K731" s="9"/>
      <c r="L731" s="9"/>
      <c r="M731" s="9"/>
      <c r="N731" s="9">
        <v>1</v>
      </c>
    </row>
    <row r="732" spans="1:14" ht="30" x14ac:dyDescent="0.25">
      <c r="A732" s="8" t="s">
        <v>622</v>
      </c>
      <c r="B732" s="9">
        <v>1</v>
      </c>
      <c r="C732" s="9">
        <v>1</v>
      </c>
      <c r="D732" s="9"/>
      <c r="E732" s="9"/>
      <c r="F732" s="9"/>
      <c r="G732" s="9"/>
      <c r="H732" s="9"/>
      <c r="I732" s="9"/>
      <c r="J732" s="9"/>
      <c r="K732" s="9"/>
      <c r="L732" s="9"/>
      <c r="M732" s="9"/>
      <c r="N732" s="9">
        <v>1</v>
      </c>
    </row>
    <row r="733" spans="1:14" x14ac:dyDescent="0.25">
      <c r="A733" s="8" t="s">
        <v>804</v>
      </c>
      <c r="B733" s="9">
        <v>1</v>
      </c>
      <c r="C733" s="9">
        <v>1</v>
      </c>
      <c r="D733" s="9"/>
      <c r="E733" s="9"/>
      <c r="F733" s="9"/>
      <c r="G733" s="9"/>
      <c r="H733" s="9"/>
      <c r="I733" s="9"/>
      <c r="J733" s="9"/>
      <c r="K733" s="9"/>
      <c r="L733" s="9"/>
      <c r="M733" s="9"/>
      <c r="N733" s="9">
        <v>1</v>
      </c>
    </row>
    <row r="734" spans="1:14" x14ac:dyDescent="0.25">
      <c r="A734" s="8" t="s">
        <v>1048</v>
      </c>
      <c r="B734" s="9">
        <v>1</v>
      </c>
      <c r="C734" s="9">
        <v>1</v>
      </c>
      <c r="D734" s="9"/>
      <c r="E734" s="9"/>
      <c r="F734" s="9"/>
      <c r="G734" s="9"/>
      <c r="H734" s="9"/>
      <c r="I734" s="9"/>
      <c r="J734" s="9"/>
      <c r="K734" s="9"/>
      <c r="L734" s="9"/>
      <c r="M734" s="9"/>
      <c r="N734" s="9">
        <v>1</v>
      </c>
    </row>
    <row r="735" spans="1:14" ht="30" x14ac:dyDescent="0.25">
      <c r="A735" s="8" t="s">
        <v>626</v>
      </c>
      <c r="B735" s="9">
        <v>1</v>
      </c>
      <c r="C735" s="9">
        <v>1</v>
      </c>
      <c r="D735" s="9"/>
      <c r="E735" s="9"/>
      <c r="F735" s="9"/>
      <c r="G735" s="9"/>
      <c r="H735" s="9"/>
      <c r="I735" s="9"/>
      <c r="J735" s="9"/>
      <c r="K735" s="9"/>
      <c r="L735" s="9"/>
      <c r="M735" s="9"/>
      <c r="N735" s="9">
        <v>1</v>
      </c>
    </row>
    <row r="736" spans="1:14" x14ac:dyDescent="0.25">
      <c r="A736" s="8" t="s">
        <v>804</v>
      </c>
      <c r="B736" s="9">
        <v>1</v>
      </c>
      <c r="C736" s="9">
        <v>1</v>
      </c>
      <c r="D736" s="9"/>
      <c r="E736" s="9"/>
      <c r="F736" s="9"/>
      <c r="G736" s="9"/>
      <c r="H736" s="9"/>
      <c r="I736" s="9"/>
      <c r="J736" s="9"/>
      <c r="K736" s="9"/>
      <c r="L736" s="9"/>
      <c r="M736" s="9"/>
      <c r="N736" s="9">
        <v>1</v>
      </c>
    </row>
    <row r="737" spans="1:14" x14ac:dyDescent="0.25">
      <c r="A737" s="8" t="s">
        <v>1049</v>
      </c>
      <c r="B737" s="9">
        <v>1</v>
      </c>
      <c r="C737" s="9">
        <v>1</v>
      </c>
      <c r="D737" s="9"/>
      <c r="E737" s="9"/>
      <c r="F737" s="9"/>
      <c r="G737" s="9"/>
      <c r="H737" s="9"/>
      <c r="I737" s="9"/>
      <c r="J737" s="9"/>
      <c r="K737" s="9"/>
      <c r="L737" s="9"/>
      <c r="M737" s="9"/>
      <c r="N737" s="9">
        <v>1</v>
      </c>
    </row>
    <row r="738" spans="1:14" ht="60" x14ac:dyDescent="0.25">
      <c r="A738" s="8" t="s">
        <v>630</v>
      </c>
      <c r="B738" s="9">
        <v>1</v>
      </c>
      <c r="C738" s="9">
        <v>1</v>
      </c>
      <c r="D738" s="9"/>
      <c r="E738" s="9"/>
      <c r="F738" s="9"/>
      <c r="G738" s="9"/>
      <c r="H738" s="9"/>
      <c r="I738" s="9"/>
      <c r="J738" s="9"/>
      <c r="K738" s="9"/>
      <c r="L738" s="9"/>
      <c r="M738" s="9"/>
      <c r="N738" s="9">
        <v>1</v>
      </c>
    </row>
    <row r="739" spans="1:14" x14ac:dyDescent="0.25">
      <c r="A739" s="8" t="s">
        <v>804</v>
      </c>
      <c r="B739" s="9">
        <v>1</v>
      </c>
      <c r="C739" s="9">
        <v>1</v>
      </c>
      <c r="D739" s="9"/>
      <c r="E739" s="9"/>
      <c r="F739" s="9"/>
      <c r="G739" s="9"/>
      <c r="H739" s="9"/>
      <c r="I739" s="9"/>
      <c r="J739" s="9"/>
      <c r="K739" s="9"/>
      <c r="L739" s="9"/>
      <c r="M739" s="9"/>
      <c r="N739" s="9">
        <v>1</v>
      </c>
    </row>
    <row r="740" spans="1:14" x14ac:dyDescent="0.25">
      <c r="A740" s="8" t="s">
        <v>1050</v>
      </c>
      <c r="B740" s="9">
        <v>1</v>
      </c>
      <c r="C740" s="9">
        <v>1</v>
      </c>
      <c r="D740" s="9"/>
      <c r="E740" s="9"/>
      <c r="F740" s="9"/>
      <c r="G740" s="9"/>
      <c r="H740" s="9"/>
      <c r="I740" s="9"/>
      <c r="J740" s="9"/>
      <c r="K740" s="9"/>
      <c r="L740" s="9"/>
      <c r="M740" s="9"/>
      <c r="N740" s="9">
        <v>1</v>
      </c>
    </row>
    <row r="741" spans="1:14" ht="45" x14ac:dyDescent="0.25">
      <c r="A741" s="8" t="s">
        <v>632</v>
      </c>
      <c r="B741" s="9">
        <v>1</v>
      </c>
      <c r="C741" s="9">
        <v>1</v>
      </c>
      <c r="D741" s="9"/>
      <c r="E741" s="9"/>
      <c r="F741" s="9"/>
      <c r="G741" s="9"/>
      <c r="H741" s="9"/>
      <c r="I741" s="9"/>
      <c r="J741" s="9"/>
      <c r="K741" s="9"/>
      <c r="L741" s="9"/>
      <c r="M741" s="9"/>
      <c r="N741" s="9">
        <v>1</v>
      </c>
    </row>
    <row r="742" spans="1:14" x14ac:dyDescent="0.25">
      <c r="A742" s="8" t="s">
        <v>804</v>
      </c>
      <c r="B742" s="9">
        <v>1</v>
      </c>
      <c r="C742" s="9">
        <v>1</v>
      </c>
      <c r="D742" s="9"/>
      <c r="E742" s="9"/>
      <c r="F742" s="9"/>
      <c r="G742" s="9"/>
      <c r="H742" s="9"/>
      <c r="I742" s="9"/>
      <c r="J742" s="9"/>
      <c r="K742" s="9"/>
      <c r="L742" s="9"/>
      <c r="M742" s="9"/>
      <c r="N742" s="9">
        <v>1</v>
      </c>
    </row>
    <row r="743" spans="1:14" x14ac:dyDescent="0.25">
      <c r="A743" s="8" t="s">
        <v>1051</v>
      </c>
      <c r="B743" s="9">
        <v>1</v>
      </c>
      <c r="C743" s="9">
        <v>1</v>
      </c>
      <c r="D743" s="9"/>
      <c r="E743" s="9"/>
      <c r="F743" s="9"/>
      <c r="G743" s="9"/>
      <c r="H743" s="9"/>
      <c r="I743" s="9"/>
      <c r="J743" s="9"/>
      <c r="K743" s="9"/>
      <c r="L743" s="9"/>
      <c r="M743" s="9"/>
      <c r="N743" s="9">
        <v>1</v>
      </c>
    </row>
    <row r="744" spans="1:14" ht="30" x14ac:dyDescent="0.25">
      <c r="A744" s="8" t="s">
        <v>636</v>
      </c>
      <c r="B744" s="9">
        <v>1</v>
      </c>
      <c r="C744" s="9">
        <v>1</v>
      </c>
      <c r="D744" s="9"/>
      <c r="E744" s="9"/>
      <c r="F744" s="9"/>
      <c r="G744" s="9"/>
      <c r="H744" s="9"/>
      <c r="I744" s="9"/>
      <c r="J744" s="9"/>
      <c r="K744" s="9"/>
      <c r="L744" s="9"/>
      <c r="M744" s="9"/>
      <c r="N744" s="9">
        <v>1</v>
      </c>
    </row>
    <row r="745" spans="1:14" x14ac:dyDescent="0.25">
      <c r="A745" s="8" t="s">
        <v>804</v>
      </c>
      <c r="B745" s="9">
        <v>1</v>
      </c>
      <c r="C745" s="9">
        <v>1</v>
      </c>
      <c r="D745" s="9"/>
      <c r="E745" s="9"/>
      <c r="F745" s="9"/>
      <c r="G745" s="9"/>
      <c r="H745" s="9"/>
      <c r="I745" s="9"/>
      <c r="J745" s="9"/>
      <c r="K745" s="9"/>
      <c r="L745" s="9"/>
      <c r="M745" s="9"/>
      <c r="N745" s="9">
        <v>1</v>
      </c>
    </row>
    <row r="746" spans="1:14" x14ac:dyDescent="0.25">
      <c r="A746" s="8" t="s">
        <v>1052</v>
      </c>
      <c r="B746" s="9">
        <v>1</v>
      </c>
      <c r="C746" s="9">
        <v>1</v>
      </c>
      <c r="D746" s="9"/>
      <c r="E746" s="9"/>
      <c r="F746" s="9"/>
      <c r="G746" s="9"/>
      <c r="H746" s="9"/>
      <c r="I746" s="9"/>
      <c r="J746" s="9"/>
      <c r="K746" s="9"/>
      <c r="L746" s="9"/>
      <c r="M746" s="9"/>
      <c r="N746" s="9">
        <v>1</v>
      </c>
    </row>
    <row r="747" spans="1:14" ht="45" x14ac:dyDescent="0.25">
      <c r="A747" s="8" t="s">
        <v>638</v>
      </c>
      <c r="B747" s="9">
        <v>1</v>
      </c>
      <c r="C747" s="9">
        <v>1</v>
      </c>
      <c r="D747" s="9"/>
      <c r="E747" s="9"/>
      <c r="F747" s="9"/>
      <c r="G747" s="9"/>
      <c r="H747" s="9"/>
      <c r="I747" s="9"/>
      <c r="J747" s="9"/>
      <c r="K747" s="9"/>
      <c r="L747" s="9"/>
      <c r="M747" s="9"/>
      <c r="N747" s="9">
        <v>1</v>
      </c>
    </row>
    <row r="748" spans="1:14" x14ac:dyDescent="0.25">
      <c r="A748" s="8" t="s">
        <v>804</v>
      </c>
      <c r="B748" s="9">
        <v>1</v>
      </c>
      <c r="C748" s="9">
        <v>1</v>
      </c>
      <c r="D748" s="9"/>
      <c r="E748" s="9"/>
      <c r="F748" s="9"/>
      <c r="G748" s="9"/>
      <c r="H748" s="9"/>
      <c r="I748" s="9"/>
      <c r="J748" s="9"/>
      <c r="K748" s="9"/>
      <c r="L748" s="9"/>
      <c r="M748" s="9"/>
      <c r="N748" s="9">
        <v>1</v>
      </c>
    </row>
    <row r="749" spans="1:14" x14ac:dyDescent="0.25">
      <c r="A749" s="8" t="s">
        <v>1053</v>
      </c>
      <c r="B749" s="9">
        <v>1</v>
      </c>
      <c r="C749" s="9">
        <v>1</v>
      </c>
      <c r="D749" s="9"/>
      <c r="E749" s="9"/>
      <c r="F749" s="9"/>
      <c r="G749" s="9"/>
      <c r="H749" s="9"/>
      <c r="I749" s="9"/>
      <c r="J749" s="9"/>
      <c r="K749" s="9"/>
      <c r="L749" s="9"/>
      <c r="M749" s="9"/>
      <c r="N749" s="9">
        <v>1</v>
      </c>
    </row>
    <row r="750" spans="1:14" ht="45" x14ac:dyDescent="0.25">
      <c r="A750" s="8" t="s">
        <v>639</v>
      </c>
      <c r="B750" s="9">
        <v>1</v>
      </c>
      <c r="C750" s="9">
        <v>1</v>
      </c>
      <c r="D750" s="9"/>
      <c r="E750" s="9"/>
      <c r="F750" s="9"/>
      <c r="G750" s="9"/>
      <c r="H750" s="9"/>
      <c r="I750" s="9"/>
      <c r="J750" s="9"/>
      <c r="K750" s="9"/>
      <c r="L750" s="9"/>
      <c r="M750" s="9"/>
      <c r="N750" s="9">
        <v>1</v>
      </c>
    </row>
    <row r="751" spans="1:14" x14ac:dyDescent="0.25">
      <c r="A751" s="8" t="s">
        <v>804</v>
      </c>
      <c r="B751" s="9">
        <v>1</v>
      </c>
      <c r="C751" s="9">
        <v>1</v>
      </c>
      <c r="D751" s="9"/>
      <c r="E751" s="9"/>
      <c r="F751" s="9"/>
      <c r="G751" s="9"/>
      <c r="H751" s="9"/>
      <c r="I751" s="9"/>
      <c r="J751" s="9"/>
      <c r="K751" s="9"/>
      <c r="L751" s="9"/>
      <c r="M751" s="9"/>
      <c r="N751" s="9">
        <v>1</v>
      </c>
    </row>
    <row r="752" spans="1:14" x14ac:dyDescent="0.25">
      <c r="A752" s="8" t="s">
        <v>1054</v>
      </c>
      <c r="B752" s="9">
        <v>1</v>
      </c>
      <c r="C752" s="9">
        <v>1</v>
      </c>
      <c r="D752" s="9"/>
      <c r="E752" s="9"/>
      <c r="F752" s="9"/>
      <c r="G752" s="9"/>
      <c r="H752" s="9"/>
      <c r="I752" s="9"/>
      <c r="J752" s="9"/>
      <c r="K752" s="9"/>
      <c r="L752" s="9"/>
      <c r="M752" s="9"/>
      <c r="N752" s="9">
        <v>1</v>
      </c>
    </row>
    <row r="753" spans="1:14" ht="45" x14ac:dyDescent="0.25">
      <c r="A753" s="8" t="s">
        <v>640</v>
      </c>
      <c r="B753" s="9">
        <v>1</v>
      </c>
      <c r="C753" s="9">
        <v>1</v>
      </c>
      <c r="D753" s="9"/>
      <c r="E753" s="9"/>
      <c r="F753" s="9"/>
      <c r="G753" s="9"/>
      <c r="H753" s="9"/>
      <c r="I753" s="9"/>
      <c r="J753" s="9"/>
      <c r="K753" s="9"/>
      <c r="L753" s="9"/>
      <c r="M753" s="9"/>
      <c r="N753" s="9">
        <v>1</v>
      </c>
    </row>
    <row r="754" spans="1:14" x14ac:dyDescent="0.25">
      <c r="A754" s="8" t="s">
        <v>804</v>
      </c>
      <c r="B754" s="9">
        <v>1</v>
      </c>
      <c r="C754" s="9">
        <v>1</v>
      </c>
      <c r="D754" s="9"/>
      <c r="E754" s="9"/>
      <c r="F754" s="9"/>
      <c r="G754" s="9"/>
      <c r="H754" s="9"/>
      <c r="I754" s="9"/>
      <c r="J754" s="9"/>
      <c r="K754" s="9"/>
      <c r="L754" s="9"/>
      <c r="M754" s="9"/>
      <c r="N754" s="9">
        <v>1</v>
      </c>
    </row>
    <row r="755" spans="1:14" x14ac:dyDescent="0.25">
      <c r="A755" s="8" t="s">
        <v>1055</v>
      </c>
      <c r="B755" s="9">
        <v>1</v>
      </c>
      <c r="C755" s="9">
        <v>1</v>
      </c>
      <c r="D755" s="9"/>
      <c r="E755" s="9"/>
      <c r="F755" s="9"/>
      <c r="G755" s="9"/>
      <c r="H755" s="9"/>
      <c r="I755" s="9"/>
      <c r="J755" s="9"/>
      <c r="K755" s="9"/>
      <c r="L755" s="9"/>
      <c r="M755" s="9">
        <v>1</v>
      </c>
      <c r="N755" s="9"/>
    </row>
    <row r="756" spans="1:14" ht="60" x14ac:dyDescent="0.25">
      <c r="A756" s="8" t="s">
        <v>642</v>
      </c>
      <c r="B756" s="9">
        <v>1</v>
      </c>
      <c r="C756" s="9">
        <v>1</v>
      </c>
      <c r="D756" s="9"/>
      <c r="E756" s="9"/>
      <c r="F756" s="9"/>
      <c r="G756" s="9"/>
      <c r="H756" s="9"/>
      <c r="I756" s="9"/>
      <c r="J756" s="9"/>
      <c r="K756" s="9"/>
      <c r="L756" s="9"/>
      <c r="M756" s="9">
        <v>1</v>
      </c>
      <c r="N756" s="9"/>
    </row>
    <row r="757" spans="1:14" x14ac:dyDescent="0.25">
      <c r="A757" s="8" t="s">
        <v>804</v>
      </c>
      <c r="B757" s="9">
        <v>1</v>
      </c>
      <c r="C757" s="9">
        <v>1</v>
      </c>
      <c r="D757" s="9"/>
      <c r="E757" s="9"/>
      <c r="F757" s="9"/>
      <c r="G757" s="9"/>
      <c r="H757" s="9"/>
      <c r="I757" s="9"/>
      <c r="J757" s="9"/>
      <c r="K757" s="9"/>
      <c r="L757" s="9"/>
      <c r="M757" s="9">
        <v>1</v>
      </c>
      <c r="N757" s="9"/>
    </row>
    <row r="758" spans="1:14" x14ac:dyDescent="0.25">
      <c r="A758" s="8" t="s">
        <v>1056</v>
      </c>
      <c r="B758" s="9">
        <v>1</v>
      </c>
      <c r="C758" s="9">
        <v>1</v>
      </c>
      <c r="D758" s="9"/>
      <c r="E758" s="9"/>
      <c r="F758" s="9"/>
      <c r="G758" s="9"/>
      <c r="H758" s="9"/>
      <c r="I758" s="9"/>
      <c r="J758" s="9"/>
      <c r="K758" s="9"/>
      <c r="L758" s="9"/>
      <c r="M758" s="9"/>
      <c r="N758" s="9">
        <v>1</v>
      </c>
    </row>
    <row r="759" spans="1:14" ht="90" x14ac:dyDescent="0.25">
      <c r="A759" s="8" t="s">
        <v>643</v>
      </c>
      <c r="B759" s="9">
        <v>1</v>
      </c>
      <c r="C759" s="9">
        <v>1</v>
      </c>
      <c r="D759" s="9"/>
      <c r="E759" s="9"/>
      <c r="F759" s="9"/>
      <c r="G759" s="9"/>
      <c r="H759" s="9"/>
      <c r="I759" s="9"/>
      <c r="J759" s="9"/>
      <c r="K759" s="9"/>
      <c r="L759" s="9"/>
      <c r="M759" s="9"/>
      <c r="N759" s="9">
        <v>1</v>
      </c>
    </row>
    <row r="760" spans="1:14" x14ac:dyDescent="0.25">
      <c r="A760" s="8" t="s">
        <v>804</v>
      </c>
      <c r="B760" s="9">
        <v>1</v>
      </c>
      <c r="C760" s="9">
        <v>1</v>
      </c>
      <c r="D760" s="9"/>
      <c r="E760" s="9"/>
      <c r="F760" s="9"/>
      <c r="G760" s="9"/>
      <c r="H760" s="9"/>
      <c r="I760" s="9"/>
      <c r="J760" s="9"/>
      <c r="K760" s="9"/>
      <c r="L760" s="9"/>
      <c r="M760" s="9"/>
      <c r="N760" s="9">
        <v>1</v>
      </c>
    </row>
    <row r="761" spans="1:14" x14ac:dyDescent="0.25">
      <c r="A761" s="8" t="s">
        <v>1057</v>
      </c>
      <c r="B761" s="9">
        <v>1</v>
      </c>
      <c r="C761" s="9">
        <v>1</v>
      </c>
      <c r="D761" s="9"/>
      <c r="E761" s="9"/>
      <c r="F761" s="9"/>
      <c r="G761" s="9"/>
      <c r="H761" s="9"/>
      <c r="I761" s="9"/>
      <c r="J761" s="9"/>
      <c r="K761" s="9"/>
      <c r="L761" s="9"/>
      <c r="M761" s="9"/>
      <c r="N761" s="9">
        <v>1</v>
      </c>
    </row>
    <row r="762" spans="1:14" ht="75" x14ac:dyDescent="0.25">
      <c r="A762" s="8" t="s">
        <v>644</v>
      </c>
      <c r="B762" s="9">
        <v>1</v>
      </c>
      <c r="C762" s="9">
        <v>1</v>
      </c>
      <c r="D762" s="9"/>
      <c r="E762" s="9"/>
      <c r="F762" s="9"/>
      <c r="G762" s="9"/>
      <c r="H762" s="9"/>
      <c r="I762" s="9"/>
      <c r="J762" s="9"/>
      <c r="K762" s="9"/>
      <c r="L762" s="9"/>
      <c r="M762" s="9"/>
      <c r="N762" s="9">
        <v>1</v>
      </c>
    </row>
    <row r="763" spans="1:14" x14ac:dyDescent="0.25">
      <c r="A763" s="8" t="s">
        <v>804</v>
      </c>
      <c r="B763" s="9">
        <v>1</v>
      </c>
      <c r="C763" s="9">
        <v>1</v>
      </c>
      <c r="D763" s="9"/>
      <c r="E763" s="9"/>
      <c r="F763" s="9"/>
      <c r="G763" s="9"/>
      <c r="H763" s="9"/>
      <c r="I763" s="9"/>
      <c r="J763" s="9"/>
      <c r="K763" s="9"/>
      <c r="L763" s="9"/>
      <c r="M763" s="9"/>
      <c r="N763" s="9">
        <v>1</v>
      </c>
    </row>
    <row r="764" spans="1:14" x14ac:dyDescent="0.25">
      <c r="A764" s="8" t="s">
        <v>1058</v>
      </c>
      <c r="B764" s="9">
        <v>1</v>
      </c>
      <c r="C764" s="9">
        <v>1</v>
      </c>
      <c r="D764" s="9"/>
      <c r="E764" s="9"/>
      <c r="F764" s="9"/>
      <c r="G764" s="9"/>
      <c r="H764" s="9"/>
      <c r="I764" s="9"/>
      <c r="J764" s="9"/>
      <c r="K764" s="9"/>
      <c r="L764" s="9"/>
      <c r="M764" s="9"/>
      <c r="N764" s="9">
        <v>1</v>
      </c>
    </row>
    <row r="765" spans="1:14" ht="60" x14ac:dyDescent="0.25">
      <c r="A765" s="8" t="s">
        <v>645</v>
      </c>
      <c r="B765" s="9">
        <v>1</v>
      </c>
      <c r="C765" s="9">
        <v>1</v>
      </c>
      <c r="D765" s="9"/>
      <c r="E765" s="9"/>
      <c r="F765" s="9"/>
      <c r="G765" s="9"/>
      <c r="H765" s="9"/>
      <c r="I765" s="9"/>
      <c r="J765" s="9"/>
      <c r="K765" s="9"/>
      <c r="L765" s="9"/>
      <c r="M765" s="9"/>
      <c r="N765" s="9">
        <v>1</v>
      </c>
    </row>
    <row r="766" spans="1:14" x14ac:dyDescent="0.25">
      <c r="A766" s="8" t="s">
        <v>804</v>
      </c>
      <c r="B766" s="9">
        <v>1</v>
      </c>
      <c r="C766" s="9">
        <v>1</v>
      </c>
      <c r="D766" s="9"/>
      <c r="E766" s="9"/>
      <c r="F766" s="9"/>
      <c r="G766" s="9"/>
      <c r="H766" s="9"/>
      <c r="I766" s="9"/>
      <c r="J766" s="9"/>
      <c r="K766" s="9"/>
      <c r="L766" s="9"/>
      <c r="M766" s="9"/>
      <c r="N766" s="9">
        <v>1</v>
      </c>
    </row>
    <row r="767" spans="1:14" x14ac:dyDescent="0.25">
      <c r="A767" s="8" t="s">
        <v>1059</v>
      </c>
      <c r="B767" s="9">
        <v>1</v>
      </c>
      <c r="C767" s="9">
        <v>1</v>
      </c>
      <c r="D767" s="9"/>
      <c r="E767" s="9"/>
      <c r="F767" s="9"/>
      <c r="G767" s="9"/>
      <c r="H767" s="9"/>
      <c r="I767" s="9"/>
      <c r="J767" s="9"/>
      <c r="K767" s="9"/>
      <c r="L767" s="9"/>
      <c r="M767" s="9"/>
      <c r="N767" s="9">
        <v>1</v>
      </c>
    </row>
    <row r="768" spans="1:14" ht="75" x14ac:dyDescent="0.25">
      <c r="A768" s="8" t="s">
        <v>646</v>
      </c>
      <c r="B768" s="9">
        <v>1</v>
      </c>
      <c r="C768" s="9">
        <v>1</v>
      </c>
      <c r="D768" s="9"/>
      <c r="E768" s="9"/>
      <c r="F768" s="9"/>
      <c r="G768" s="9"/>
      <c r="H768" s="9"/>
      <c r="I768" s="9"/>
      <c r="J768" s="9"/>
      <c r="K768" s="9"/>
      <c r="L768" s="9"/>
      <c r="M768" s="9"/>
      <c r="N768" s="9">
        <v>1</v>
      </c>
    </row>
    <row r="769" spans="1:14" x14ac:dyDescent="0.25">
      <c r="A769" s="8" t="s">
        <v>804</v>
      </c>
      <c r="B769" s="9">
        <v>1</v>
      </c>
      <c r="C769" s="9">
        <v>1</v>
      </c>
      <c r="D769" s="9"/>
      <c r="E769" s="9"/>
      <c r="F769" s="9"/>
      <c r="G769" s="9"/>
      <c r="H769" s="9"/>
      <c r="I769" s="9"/>
      <c r="J769" s="9"/>
      <c r="K769" s="9"/>
      <c r="L769" s="9"/>
      <c r="M769" s="9"/>
      <c r="N769" s="9">
        <v>1</v>
      </c>
    </row>
    <row r="770" spans="1:14" x14ac:dyDescent="0.25">
      <c r="A770" s="8" t="s">
        <v>1060</v>
      </c>
      <c r="B770" s="9">
        <v>1</v>
      </c>
      <c r="C770" s="9">
        <v>1</v>
      </c>
      <c r="D770" s="9">
        <v>1</v>
      </c>
      <c r="E770" s="9"/>
      <c r="F770" s="9"/>
      <c r="G770" s="9"/>
      <c r="H770" s="9"/>
      <c r="I770" s="9"/>
      <c r="J770" s="9"/>
      <c r="K770" s="9"/>
      <c r="L770" s="9">
        <v>1</v>
      </c>
      <c r="M770" s="9"/>
      <c r="N770" s="9"/>
    </row>
    <row r="771" spans="1:14" ht="30" x14ac:dyDescent="0.25">
      <c r="A771" s="8" t="s">
        <v>647</v>
      </c>
      <c r="B771" s="9">
        <v>1</v>
      </c>
      <c r="C771" s="9">
        <v>1</v>
      </c>
      <c r="D771" s="9">
        <v>1</v>
      </c>
      <c r="E771" s="9"/>
      <c r="F771" s="9"/>
      <c r="G771" s="9"/>
      <c r="H771" s="9"/>
      <c r="I771" s="9"/>
      <c r="J771" s="9"/>
      <c r="K771" s="9"/>
      <c r="L771" s="9">
        <v>1</v>
      </c>
      <c r="M771" s="9"/>
      <c r="N771" s="9"/>
    </row>
    <row r="772" spans="1:14" x14ac:dyDescent="0.25">
      <c r="A772" s="8" t="s">
        <v>804</v>
      </c>
      <c r="B772" s="9">
        <v>1</v>
      </c>
      <c r="C772" s="9">
        <v>1</v>
      </c>
      <c r="D772" s="9">
        <v>1</v>
      </c>
      <c r="E772" s="9"/>
      <c r="F772" s="9"/>
      <c r="G772" s="9"/>
      <c r="H772" s="9"/>
      <c r="I772" s="9"/>
      <c r="J772" s="9"/>
      <c r="K772" s="9"/>
      <c r="L772" s="9">
        <v>1</v>
      </c>
      <c r="M772" s="9"/>
      <c r="N772" s="9"/>
    </row>
    <row r="773" spans="1:14" x14ac:dyDescent="0.25">
      <c r="A773" s="8" t="s">
        <v>1061</v>
      </c>
      <c r="B773" s="9">
        <v>1</v>
      </c>
      <c r="C773" s="9">
        <v>1</v>
      </c>
      <c r="D773" s="9"/>
      <c r="E773" s="9"/>
      <c r="F773" s="9"/>
      <c r="G773" s="9"/>
      <c r="H773" s="9"/>
      <c r="I773" s="9"/>
      <c r="J773" s="9"/>
      <c r="K773" s="9"/>
      <c r="L773" s="9"/>
      <c r="M773" s="9">
        <v>1</v>
      </c>
      <c r="N773" s="9"/>
    </row>
    <row r="774" spans="1:14" ht="60" x14ac:dyDescent="0.25">
      <c r="A774" s="8" t="s">
        <v>648</v>
      </c>
      <c r="B774" s="9">
        <v>1</v>
      </c>
      <c r="C774" s="9">
        <v>1</v>
      </c>
      <c r="D774" s="9"/>
      <c r="E774" s="9"/>
      <c r="F774" s="9"/>
      <c r="G774" s="9"/>
      <c r="H774" s="9"/>
      <c r="I774" s="9"/>
      <c r="J774" s="9"/>
      <c r="K774" s="9"/>
      <c r="L774" s="9"/>
      <c r="M774" s="9">
        <v>1</v>
      </c>
      <c r="N774" s="9"/>
    </row>
    <row r="775" spans="1:14" x14ac:dyDescent="0.25">
      <c r="A775" s="8" t="s">
        <v>804</v>
      </c>
      <c r="B775" s="9">
        <v>1</v>
      </c>
      <c r="C775" s="9">
        <v>1</v>
      </c>
      <c r="D775" s="9"/>
      <c r="E775" s="9"/>
      <c r="F775" s="9"/>
      <c r="G775" s="9"/>
      <c r="H775" s="9"/>
      <c r="I775" s="9"/>
      <c r="J775" s="9"/>
      <c r="K775" s="9"/>
      <c r="L775" s="9"/>
      <c r="M775" s="9">
        <v>1</v>
      </c>
      <c r="N775" s="9"/>
    </row>
    <row r="776" spans="1:14" x14ac:dyDescent="0.25">
      <c r="A776" s="8" t="s">
        <v>1062</v>
      </c>
      <c r="B776" s="9">
        <v>1</v>
      </c>
      <c r="C776" s="9">
        <v>1</v>
      </c>
      <c r="D776" s="9"/>
      <c r="E776" s="9"/>
      <c r="F776" s="9"/>
      <c r="G776" s="9"/>
      <c r="H776" s="9"/>
      <c r="I776" s="9"/>
      <c r="J776" s="9"/>
      <c r="K776" s="9"/>
      <c r="L776" s="9"/>
      <c r="M776" s="9"/>
      <c r="N776" s="9">
        <v>1</v>
      </c>
    </row>
    <row r="777" spans="1:14" ht="75" x14ac:dyDescent="0.25">
      <c r="A777" s="8" t="s">
        <v>649</v>
      </c>
      <c r="B777" s="9">
        <v>1</v>
      </c>
      <c r="C777" s="9">
        <v>1</v>
      </c>
      <c r="D777" s="9"/>
      <c r="E777" s="9"/>
      <c r="F777" s="9"/>
      <c r="G777" s="9"/>
      <c r="H777" s="9"/>
      <c r="I777" s="9"/>
      <c r="J777" s="9"/>
      <c r="K777" s="9"/>
      <c r="L777" s="9"/>
      <c r="M777" s="9"/>
      <c r="N777" s="9">
        <v>1</v>
      </c>
    </row>
    <row r="778" spans="1:14" x14ac:dyDescent="0.25">
      <c r="A778" s="8" t="s">
        <v>804</v>
      </c>
      <c r="B778" s="9">
        <v>1</v>
      </c>
      <c r="C778" s="9">
        <v>1</v>
      </c>
      <c r="D778" s="9"/>
      <c r="E778" s="9"/>
      <c r="F778" s="9"/>
      <c r="G778" s="9"/>
      <c r="H778" s="9"/>
      <c r="I778" s="9"/>
      <c r="J778" s="9"/>
      <c r="K778" s="9"/>
      <c r="L778" s="9"/>
      <c r="M778" s="9"/>
      <c r="N778" s="9">
        <v>1</v>
      </c>
    </row>
    <row r="779" spans="1:14" x14ac:dyDescent="0.25">
      <c r="A779" s="8" t="s">
        <v>1063</v>
      </c>
      <c r="B779" s="9">
        <v>1</v>
      </c>
      <c r="C779" s="9">
        <v>1</v>
      </c>
      <c r="D779" s="9">
        <v>1</v>
      </c>
      <c r="E779" s="9"/>
      <c r="F779" s="9"/>
      <c r="G779" s="9"/>
      <c r="H779" s="9"/>
      <c r="I779" s="9"/>
      <c r="J779" s="9">
        <v>1</v>
      </c>
      <c r="K779" s="9"/>
      <c r="L779" s="9"/>
      <c r="M779" s="9"/>
      <c r="N779" s="9"/>
    </row>
    <row r="780" spans="1:14" ht="45" x14ac:dyDescent="0.25">
      <c r="A780" s="8" t="s">
        <v>650</v>
      </c>
      <c r="B780" s="9">
        <v>1</v>
      </c>
      <c r="C780" s="9">
        <v>1</v>
      </c>
      <c r="D780" s="9">
        <v>1</v>
      </c>
      <c r="E780" s="9"/>
      <c r="F780" s="9"/>
      <c r="G780" s="9"/>
      <c r="H780" s="9"/>
      <c r="I780" s="9"/>
      <c r="J780" s="9">
        <v>1</v>
      </c>
      <c r="K780" s="9"/>
      <c r="L780" s="9"/>
      <c r="M780" s="9"/>
      <c r="N780" s="9"/>
    </row>
    <row r="781" spans="1:14" x14ac:dyDescent="0.25">
      <c r="A781" s="8" t="s">
        <v>804</v>
      </c>
      <c r="B781" s="9">
        <v>1</v>
      </c>
      <c r="C781" s="9">
        <v>1</v>
      </c>
      <c r="D781" s="9">
        <v>1</v>
      </c>
      <c r="E781" s="9"/>
      <c r="F781" s="9"/>
      <c r="G781" s="9"/>
      <c r="H781" s="9"/>
      <c r="I781" s="9"/>
      <c r="J781" s="9">
        <v>1</v>
      </c>
      <c r="K781" s="9"/>
      <c r="L781" s="9"/>
      <c r="M781" s="9"/>
      <c r="N781" s="9"/>
    </row>
    <row r="782" spans="1:14" x14ac:dyDescent="0.25">
      <c r="A782" s="8" t="s">
        <v>1064</v>
      </c>
      <c r="B782" s="9">
        <v>1</v>
      </c>
      <c r="C782" s="9">
        <v>1</v>
      </c>
      <c r="D782" s="9"/>
      <c r="E782" s="9"/>
      <c r="F782" s="9"/>
      <c r="G782" s="9"/>
      <c r="H782" s="9"/>
      <c r="I782" s="9"/>
      <c r="J782" s="9"/>
      <c r="K782" s="9"/>
      <c r="L782" s="9"/>
      <c r="M782" s="9"/>
      <c r="N782" s="9">
        <v>1</v>
      </c>
    </row>
    <row r="783" spans="1:14" ht="45" x14ac:dyDescent="0.25">
      <c r="A783" s="8" t="s">
        <v>651</v>
      </c>
      <c r="B783" s="9">
        <v>1</v>
      </c>
      <c r="C783" s="9">
        <v>1</v>
      </c>
      <c r="D783" s="9"/>
      <c r="E783" s="9"/>
      <c r="F783" s="9"/>
      <c r="G783" s="9"/>
      <c r="H783" s="9"/>
      <c r="I783" s="9"/>
      <c r="J783" s="9"/>
      <c r="K783" s="9"/>
      <c r="L783" s="9"/>
      <c r="M783" s="9"/>
      <c r="N783" s="9">
        <v>1</v>
      </c>
    </row>
    <row r="784" spans="1:14" x14ac:dyDescent="0.25">
      <c r="A784" s="8" t="s">
        <v>804</v>
      </c>
      <c r="B784" s="9">
        <v>1</v>
      </c>
      <c r="C784" s="9">
        <v>1</v>
      </c>
      <c r="D784" s="9"/>
      <c r="E784" s="9"/>
      <c r="F784" s="9"/>
      <c r="G784" s="9"/>
      <c r="H784" s="9"/>
      <c r="I784" s="9"/>
      <c r="J784" s="9"/>
      <c r="K784" s="9"/>
      <c r="L784" s="9"/>
      <c r="M784" s="9"/>
      <c r="N784" s="9">
        <v>1</v>
      </c>
    </row>
    <row r="785" spans="1:14" x14ac:dyDescent="0.25">
      <c r="A785" s="8" t="s">
        <v>1065</v>
      </c>
      <c r="B785" s="9">
        <v>1</v>
      </c>
      <c r="C785" s="9">
        <v>1</v>
      </c>
      <c r="D785" s="9"/>
      <c r="E785" s="9"/>
      <c r="F785" s="9"/>
      <c r="G785" s="9"/>
      <c r="H785" s="9"/>
      <c r="I785" s="9"/>
      <c r="J785" s="9"/>
      <c r="K785" s="9"/>
      <c r="L785" s="9">
        <v>1</v>
      </c>
      <c r="M785" s="9"/>
      <c r="N785" s="9"/>
    </row>
    <row r="786" spans="1:14" ht="30" x14ac:dyDescent="0.25">
      <c r="A786" s="8" t="s">
        <v>652</v>
      </c>
      <c r="B786" s="9">
        <v>1</v>
      </c>
      <c r="C786" s="9">
        <v>1</v>
      </c>
      <c r="D786" s="9"/>
      <c r="E786" s="9"/>
      <c r="F786" s="9"/>
      <c r="G786" s="9"/>
      <c r="H786" s="9"/>
      <c r="I786" s="9"/>
      <c r="J786" s="9"/>
      <c r="K786" s="9"/>
      <c r="L786" s="9">
        <v>1</v>
      </c>
      <c r="M786" s="9"/>
      <c r="N786" s="9"/>
    </row>
    <row r="787" spans="1:14" x14ac:dyDescent="0.25">
      <c r="A787" s="8" t="s">
        <v>804</v>
      </c>
      <c r="B787" s="9">
        <v>1</v>
      </c>
      <c r="C787" s="9">
        <v>1</v>
      </c>
      <c r="D787" s="9"/>
      <c r="E787" s="9"/>
      <c r="F787" s="9"/>
      <c r="G787" s="9"/>
      <c r="H787" s="9"/>
      <c r="I787" s="9"/>
      <c r="J787" s="9"/>
      <c r="K787" s="9"/>
      <c r="L787" s="9">
        <v>1</v>
      </c>
      <c r="M787" s="9"/>
      <c r="N787" s="9"/>
    </row>
    <row r="788" spans="1:14" x14ac:dyDescent="0.25">
      <c r="A788" s="8" t="s">
        <v>1066</v>
      </c>
      <c r="B788" s="9">
        <v>1</v>
      </c>
      <c r="C788" s="9">
        <v>1</v>
      </c>
      <c r="D788" s="9">
        <v>1</v>
      </c>
      <c r="E788" s="9"/>
      <c r="F788" s="9"/>
      <c r="G788" s="9"/>
      <c r="H788" s="9"/>
      <c r="I788" s="9"/>
      <c r="J788" s="9">
        <v>1</v>
      </c>
      <c r="K788" s="9"/>
      <c r="L788" s="9"/>
      <c r="M788" s="9"/>
      <c r="N788" s="9"/>
    </row>
    <row r="789" spans="1:14" ht="60" x14ac:dyDescent="0.25">
      <c r="A789" s="8" t="s">
        <v>653</v>
      </c>
      <c r="B789" s="9">
        <v>1</v>
      </c>
      <c r="C789" s="9">
        <v>1</v>
      </c>
      <c r="D789" s="9">
        <v>1</v>
      </c>
      <c r="E789" s="9"/>
      <c r="F789" s="9"/>
      <c r="G789" s="9"/>
      <c r="H789" s="9"/>
      <c r="I789" s="9"/>
      <c r="J789" s="9">
        <v>1</v>
      </c>
      <c r="K789" s="9"/>
      <c r="L789" s="9"/>
      <c r="M789" s="9"/>
      <c r="N789" s="9"/>
    </row>
    <row r="790" spans="1:14" x14ac:dyDescent="0.25">
      <c r="A790" s="8" t="s">
        <v>804</v>
      </c>
      <c r="B790" s="9">
        <v>1</v>
      </c>
      <c r="C790" s="9">
        <v>1</v>
      </c>
      <c r="D790" s="9">
        <v>1</v>
      </c>
      <c r="E790" s="9"/>
      <c r="F790" s="9"/>
      <c r="G790" s="9"/>
      <c r="H790" s="9"/>
      <c r="I790" s="9"/>
      <c r="J790" s="9">
        <v>1</v>
      </c>
      <c r="K790" s="9"/>
      <c r="L790" s="9"/>
      <c r="M790" s="9"/>
      <c r="N790" s="9"/>
    </row>
    <row r="791" spans="1:14" x14ac:dyDescent="0.25">
      <c r="A791" s="8" t="s">
        <v>1067</v>
      </c>
      <c r="B791" s="9">
        <v>1</v>
      </c>
      <c r="C791" s="9">
        <v>1</v>
      </c>
      <c r="D791" s="9"/>
      <c r="E791" s="9"/>
      <c r="F791" s="9"/>
      <c r="G791" s="9"/>
      <c r="H791" s="9"/>
      <c r="I791" s="9"/>
      <c r="J791" s="9"/>
      <c r="K791" s="9"/>
      <c r="L791" s="9"/>
      <c r="M791" s="9"/>
      <c r="N791" s="9">
        <v>1</v>
      </c>
    </row>
    <row r="792" spans="1:14" ht="30" x14ac:dyDescent="0.25">
      <c r="A792" s="8" t="s">
        <v>654</v>
      </c>
      <c r="B792" s="9">
        <v>1</v>
      </c>
      <c r="C792" s="9">
        <v>1</v>
      </c>
      <c r="D792" s="9"/>
      <c r="E792" s="9"/>
      <c r="F792" s="9"/>
      <c r="G792" s="9"/>
      <c r="H792" s="9"/>
      <c r="I792" s="9"/>
      <c r="J792" s="9"/>
      <c r="K792" s="9"/>
      <c r="L792" s="9"/>
      <c r="M792" s="9"/>
      <c r="N792" s="9">
        <v>1</v>
      </c>
    </row>
    <row r="793" spans="1:14" x14ac:dyDescent="0.25">
      <c r="A793" s="8" t="s">
        <v>804</v>
      </c>
      <c r="B793" s="9">
        <v>1</v>
      </c>
      <c r="C793" s="9">
        <v>1</v>
      </c>
      <c r="D793" s="9"/>
      <c r="E793" s="9"/>
      <c r="F793" s="9"/>
      <c r="G793" s="9"/>
      <c r="H793" s="9"/>
      <c r="I793" s="9"/>
      <c r="J793" s="9"/>
      <c r="K793" s="9"/>
      <c r="L793" s="9"/>
      <c r="M793" s="9"/>
      <c r="N793" s="9">
        <v>1</v>
      </c>
    </row>
    <row r="794" spans="1:14" x14ac:dyDescent="0.25">
      <c r="A794" s="8" t="s">
        <v>1068</v>
      </c>
      <c r="B794" s="9">
        <v>1</v>
      </c>
      <c r="C794" s="9">
        <v>1</v>
      </c>
      <c r="D794" s="9"/>
      <c r="E794" s="9"/>
      <c r="F794" s="9"/>
      <c r="G794" s="9"/>
      <c r="H794" s="9"/>
      <c r="I794" s="9"/>
      <c r="J794" s="9"/>
      <c r="K794" s="9"/>
      <c r="L794" s="9">
        <v>1</v>
      </c>
      <c r="M794" s="9"/>
      <c r="N794" s="9"/>
    </row>
    <row r="795" spans="1:14" ht="60" x14ac:dyDescent="0.25">
      <c r="A795" s="8" t="s">
        <v>655</v>
      </c>
      <c r="B795" s="9">
        <v>1</v>
      </c>
      <c r="C795" s="9">
        <v>1</v>
      </c>
      <c r="D795" s="9"/>
      <c r="E795" s="9"/>
      <c r="F795" s="9"/>
      <c r="G795" s="9"/>
      <c r="H795" s="9"/>
      <c r="I795" s="9"/>
      <c r="J795" s="9"/>
      <c r="K795" s="9"/>
      <c r="L795" s="9">
        <v>1</v>
      </c>
      <c r="M795" s="9"/>
      <c r="N795" s="9"/>
    </row>
    <row r="796" spans="1:14" x14ac:dyDescent="0.25">
      <c r="A796" s="8" t="s">
        <v>804</v>
      </c>
      <c r="B796" s="9">
        <v>1</v>
      </c>
      <c r="C796" s="9">
        <v>1</v>
      </c>
      <c r="D796" s="9"/>
      <c r="E796" s="9"/>
      <c r="F796" s="9"/>
      <c r="G796" s="9"/>
      <c r="H796" s="9"/>
      <c r="I796" s="9"/>
      <c r="J796" s="9"/>
      <c r="K796" s="9"/>
      <c r="L796" s="9">
        <v>1</v>
      </c>
      <c r="M796" s="9"/>
      <c r="N796" s="9"/>
    </row>
    <row r="797" spans="1:14" x14ac:dyDescent="0.25">
      <c r="A797" s="8" t="s">
        <v>1069</v>
      </c>
      <c r="B797" s="9">
        <v>1</v>
      </c>
      <c r="C797" s="9">
        <v>1</v>
      </c>
      <c r="D797" s="9"/>
      <c r="E797" s="9"/>
      <c r="F797" s="9"/>
      <c r="G797" s="9"/>
      <c r="H797" s="9"/>
      <c r="I797" s="9"/>
      <c r="J797" s="9"/>
      <c r="K797" s="9"/>
      <c r="L797" s="9"/>
      <c r="M797" s="9"/>
      <c r="N797" s="9">
        <v>1</v>
      </c>
    </row>
    <row r="798" spans="1:14" ht="45" x14ac:dyDescent="0.25">
      <c r="A798" s="8" t="s">
        <v>656</v>
      </c>
      <c r="B798" s="9">
        <v>1</v>
      </c>
      <c r="C798" s="9">
        <v>1</v>
      </c>
      <c r="D798" s="9"/>
      <c r="E798" s="9"/>
      <c r="F798" s="9"/>
      <c r="G798" s="9"/>
      <c r="H798" s="9"/>
      <c r="I798" s="9"/>
      <c r="J798" s="9"/>
      <c r="K798" s="9"/>
      <c r="L798" s="9"/>
      <c r="M798" s="9"/>
      <c r="N798" s="9">
        <v>1</v>
      </c>
    </row>
    <row r="799" spans="1:14" x14ac:dyDescent="0.25">
      <c r="A799" s="8" t="s">
        <v>804</v>
      </c>
      <c r="B799" s="9">
        <v>1</v>
      </c>
      <c r="C799" s="9">
        <v>1</v>
      </c>
      <c r="D799" s="9"/>
      <c r="E799" s="9"/>
      <c r="F799" s="9"/>
      <c r="G799" s="9"/>
      <c r="H799" s="9"/>
      <c r="I799" s="9"/>
      <c r="J799" s="9"/>
      <c r="K799" s="9"/>
      <c r="L799" s="9"/>
      <c r="M799" s="9"/>
      <c r="N799" s="9">
        <v>1</v>
      </c>
    </row>
    <row r="800" spans="1:14" x14ac:dyDescent="0.25">
      <c r="A800" s="8" t="s">
        <v>1070</v>
      </c>
      <c r="B800" s="9">
        <v>1</v>
      </c>
      <c r="C800" s="9">
        <v>1</v>
      </c>
      <c r="D800" s="9">
        <v>1</v>
      </c>
      <c r="E800" s="9"/>
      <c r="F800" s="9"/>
      <c r="G800" s="9"/>
      <c r="H800" s="9"/>
      <c r="I800" s="9"/>
      <c r="J800" s="9">
        <v>1</v>
      </c>
      <c r="K800" s="9"/>
      <c r="L800" s="9"/>
      <c r="M800" s="9"/>
      <c r="N800" s="9"/>
    </row>
    <row r="801" spans="1:14" ht="30" x14ac:dyDescent="0.25">
      <c r="A801" s="8" t="s">
        <v>660</v>
      </c>
      <c r="B801" s="9">
        <v>1</v>
      </c>
      <c r="C801" s="9">
        <v>1</v>
      </c>
      <c r="D801" s="9">
        <v>1</v>
      </c>
      <c r="E801" s="9"/>
      <c r="F801" s="9"/>
      <c r="G801" s="9"/>
      <c r="H801" s="9"/>
      <c r="I801" s="9"/>
      <c r="J801" s="9">
        <v>1</v>
      </c>
      <c r="K801" s="9"/>
      <c r="L801" s="9"/>
      <c r="M801" s="9"/>
      <c r="N801" s="9"/>
    </row>
    <row r="802" spans="1:14" x14ac:dyDescent="0.25">
      <c r="A802" s="8" t="s">
        <v>804</v>
      </c>
      <c r="B802" s="9">
        <v>1</v>
      </c>
      <c r="C802" s="9">
        <v>1</v>
      </c>
      <c r="D802" s="9">
        <v>1</v>
      </c>
      <c r="E802" s="9"/>
      <c r="F802" s="9"/>
      <c r="G802" s="9"/>
      <c r="H802" s="9"/>
      <c r="I802" s="9"/>
      <c r="J802" s="9">
        <v>1</v>
      </c>
      <c r="K802" s="9"/>
      <c r="L802" s="9"/>
      <c r="M802" s="9"/>
      <c r="N802" s="9"/>
    </row>
    <row r="803" spans="1:14" x14ac:dyDescent="0.25">
      <c r="A803" s="8" t="s">
        <v>1071</v>
      </c>
      <c r="B803" s="9">
        <v>1</v>
      </c>
      <c r="C803" s="9">
        <v>1</v>
      </c>
      <c r="D803" s="9">
        <v>1</v>
      </c>
      <c r="E803" s="9"/>
      <c r="F803" s="9"/>
      <c r="G803" s="9"/>
      <c r="H803" s="9"/>
      <c r="I803" s="9"/>
      <c r="J803" s="9">
        <v>1</v>
      </c>
      <c r="K803" s="9"/>
      <c r="L803" s="9"/>
      <c r="M803" s="9"/>
      <c r="N803" s="9"/>
    </row>
    <row r="804" spans="1:14" ht="75" x14ac:dyDescent="0.25">
      <c r="A804" s="8" t="s">
        <v>664</v>
      </c>
      <c r="B804" s="9">
        <v>1</v>
      </c>
      <c r="C804" s="9">
        <v>1</v>
      </c>
      <c r="D804" s="9">
        <v>1</v>
      </c>
      <c r="E804" s="9"/>
      <c r="F804" s="9"/>
      <c r="G804" s="9"/>
      <c r="H804" s="9"/>
      <c r="I804" s="9"/>
      <c r="J804" s="9">
        <v>1</v>
      </c>
      <c r="K804" s="9"/>
      <c r="L804" s="9"/>
      <c r="M804" s="9"/>
      <c r="N804" s="9"/>
    </row>
    <row r="805" spans="1:14" x14ac:dyDescent="0.25">
      <c r="A805" s="8" t="s">
        <v>804</v>
      </c>
      <c r="B805" s="9">
        <v>1</v>
      </c>
      <c r="C805" s="9">
        <v>1</v>
      </c>
      <c r="D805" s="9">
        <v>1</v>
      </c>
      <c r="E805" s="9"/>
      <c r="F805" s="9"/>
      <c r="G805" s="9"/>
      <c r="H805" s="9"/>
      <c r="I805" s="9"/>
      <c r="J805" s="9">
        <v>1</v>
      </c>
      <c r="K805" s="9"/>
      <c r="L805" s="9"/>
      <c r="M805" s="9"/>
      <c r="N805" s="9"/>
    </row>
    <row r="806" spans="1:14" x14ac:dyDescent="0.25">
      <c r="A806" s="8" t="s">
        <v>1072</v>
      </c>
      <c r="B806" s="9">
        <v>1</v>
      </c>
      <c r="C806" s="9">
        <v>1</v>
      </c>
      <c r="D806" s="9"/>
      <c r="E806" s="9"/>
      <c r="F806" s="9"/>
      <c r="G806" s="9"/>
      <c r="H806" s="9"/>
      <c r="I806" s="9"/>
      <c r="J806" s="9"/>
      <c r="K806" s="9"/>
      <c r="L806" s="9"/>
      <c r="M806" s="9"/>
      <c r="N806" s="9">
        <v>1</v>
      </c>
    </row>
    <row r="807" spans="1:14" ht="45" x14ac:dyDescent="0.25">
      <c r="A807" s="8" t="s">
        <v>665</v>
      </c>
      <c r="B807" s="9">
        <v>1</v>
      </c>
      <c r="C807" s="9">
        <v>1</v>
      </c>
      <c r="D807" s="9"/>
      <c r="E807" s="9"/>
      <c r="F807" s="9"/>
      <c r="G807" s="9"/>
      <c r="H807" s="9"/>
      <c r="I807" s="9"/>
      <c r="J807" s="9"/>
      <c r="K807" s="9"/>
      <c r="L807" s="9"/>
      <c r="M807" s="9"/>
      <c r="N807" s="9">
        <v>1</v>
      </c>
    </row>
    <row r="808" spans="1:14" x14ac:dyDescent="0.25">
      <c r="A808" s="8" t="s">
        <v>804</v>
      </c>
      <c r="B808" s="9">
        <v>1</v>
      </c>
      <c r="C808" s="9">
        <v>1</v>
      </c>
      <c r="D808" s="9"/>
      <c r="E808" s="9"/>
      <c r="F808" s="9"/>
      <c r="G808" s="9"/>
      <c r="H808" s="9"/>
      <c r="I808" s="9"/>
      <c r="J808" s="9"/>
      <c r="K808" s="9"/>
      <c r="L808" s="9"/>
      <c r="M808" s="9"/>
      <c r="N808" s="9">
        <v>1</v>
      </c>
    </row>
    <row r="809" spans="1:14" x14ac:dyDescent="0.25">
      <c r="A809" s="8" t="s">
        <v>1073</v>
      </c>
      <c r="B809" s="9">
        <v>1</v>
      </c>
      <c r="C809" s="9">
        <v>1</v>
      </c>
      <c r="D809" s="9"/>
      <c r="E809" s="9"/>
      <c r="F809" s="9"/>
      <c r="G809" s="9"/>
      <c r="H809" s="9"/>
      <c r="I809" s="9"/>
      <c r="J809" s="9"/>
      <c r="K809" s="9"/>
      <c r="L809" s="9"/>
      <c r="M809" s="9"/>
      <c r="N809" s="9">
        <v>1</v>
      </c>
    </row>
    <row r="810" spans="1:14" ht="30" x14ac:dyDescent="0.25">
      <c r="A810" s="8" t="s">
        <v>666</v>
      </c>
      <c r="B810" s="9">
        <v>1</v>
      </c>
      <c r="C810" s="9">
        <v>1</v>
      </c>
      <c r="D810" s="9"/>
      <c r="E810" s="9"/>
      <c r="F810" s="9"/>
      <c r="G810" s="9"/>
      <c r="H810" s="9"/>
      <c r="I810" s="9"/>
      <c r="J810" s="9"/>
      <c r="K810" s="9"/>
      <c r="L810" s="9"/>
      <c r="M810" s="9"/>
      <c r="N810" s="9">
        <v>1</v>
      </c>
    </row>
    <row r="811" spans="1:14" x14ac:dyDescent="0.25">
      <c r="A811" s="8" t="s">
        <v>804</v>
      </c>
      <c r="B811" s="9">
        <v>1</v>
      </c>
      <c r="C811" s="9">
        <v>1</v>
      </c>
      <c r="D811" s="9"/>
      <c r="E811" s="9"/>
      <c r="F811" s="9"/>
      <c r="G811" s="9"/>
      <c r="H811" s="9"/>
      <c r="I811" s="9"/>
      <c r="J811" s="9"/>
      <c r="K811" s="9"/>
      <c r="L811" s="9"/>
      <c r="M811" s="9"/>
      <c r="N811" s="9">
        <v>1</v>
      </c>
    </row>
    <row r="812" spans="1:14" x14ac:dyDescent="0.25">
      <c r="A812" s="8" t="s">
        <v>1074</v>
      </c>
      <c r="B812" s="9">
        <v>1</v>
      </c>
      <c r="C812" s="9">
        <v>1</v>
      </c>
      <c r="D812" s="9"/>
      <c r="E812" s="9"/>
      <c r="F812" s="9"/>
      <c r="G812" s="9"/>
      <c r="H812" s="9"/>
      <c r="I812" s="9"/>
      <c r="J812" s="9"/>
      <c r="K812" s="9"/>
      <c r="L812" s="9"/>
      <c r="M812" s="9"/>
      <c r="N812" s="9">
        <v>1</v>
      </c>
    </row>
    <row r="813" spans="1:14" ht="45" x14ac:dyDescent="0.25">
      <c r="A813" s="8" t="s">
        <v>667</v>
      </c>
      <c r="B813" s="9">
        <v>1</v>
      </c>
      <c r="C813" s="9">
        <v>1</v>
      </c>
      <c r="D813" s="9"/>
      <c r="E813" s="9"/>
      <c r="F813" s="9"/>
      <c r="G813" s="9"/>
      <c r="H813" s="9"/>
      <c r="I813" s="9"/>
      <c r="J813" s="9"/>
      <c r="K813" s="9"/>
      <c r="L813" s="9"/>
      <c r="M813" s="9"/>
      <c r="N813" s="9">
        <v>1</v>
      </c>
    </row>
    <row r="814" spans="1:14" x14ac:dyDescent="0.25">
      <c r="A814" s="8" t="s">
        <v>804</v>
      </c>
      <c r="B814" s="9">
        <v>1</v>
      </c>
      <c r="C814" s="9">
        <v>1</v>
      </c>
      <c r="D814" s="9"/>
      <c r="E814" s="9"/>
      <c r="F814" s="9"/>
      <c r="G814" s="9"/>
      <c r="H814" s="9"/>
      <c r="I814" s="9"/>
      <c r="J814" s="9"/>
      <c r="K814" s="9"/>
      <c r="L814" s="9"/>
      <c r="M814" s="9"/>
      <c r="N814" s="9">
        <v>1</v>
      </c>
    </row>
    <row r="815" spans="1:14" x14ac:dyDescent="0.25">
      <c r="A815" s="8" t="s">
        <v>1075</v>
      </c>
      <c r="B815" s="9">
        <v>1</v>
      </c>
      <c r="C815" s="9">
        <v>1</v>
      </c>
      <c r="D815" s="9"/>
      <c r="E815" s="9"/>
      <c r="F815" s="9"/>
      <c r="G815" s="9"/>
      <c r="H815" s="9"/>
      <c r="I815" s="9"/>
      <c r="J815" s="9"/>
      <c r="K815" s="9"/>
      <c r="L815" s="9"/>
      <c r="M815" s="9"/>
      <c r="N815" s="9">
        <v>1</v>
      </c>
    </row>
    <row r="816" spans="1:14" ht="45" x14ac:dyDescent="0.25">
      <c r="A816" s="8" t="s">
        <v>668</v>
      </c>
      <c r="B816" s="9">
        <v>1</v>
      </c>
      <c r="C816" s="9">
        <v>1</v>
      </c>
      <c r="D816" s="9"/>
      <c r="E816" s="9"/>
      <c r="F816" s="9"/>
      <c r="G816" s="9"/>
      <c r="H816" s="9"/>
      <c r="I816" s="9"/>
      <c r="J816" s="9"/>
      <c r="K816" s="9"/>
      <c r="L816" s="9"/>
      <c r="M816" s="9"/>
      <c r="N816" s="9">
        <v>1</v>
      </c>
    </row>
    <row r="817" spans="1:14" x14ac:dyDescent="0.25">
      <c r="A817" s="8" t="s">
        <v>804</v>
      </c>
      <c r="B817" s="9">
        <v>1</v>
      </c>
      <c r="C817" s="9">
        <v>1</v>
      </c>
      <c r="D817" s="9"/>
      <c r="E817" s="9"/>
      <c r="F817" s="9"/>
      <c r="G817" s="9"/>
      <c r="H817" s="9"/>
      <c r="I817" s="9"/>
      <c r="J817" s="9"/>
      <c r="K817" s="9"/>
      <c r="L817" s="9"/>
      <c r="M817" s="9"/>
      <c r="N817" s="9">
        <v>1</v>
      </c>
    </row>
    <row r="818" spans="1:14" x14ac:dyDescent="0.25">
      <c r="A818" s="8" t="s">
        <v>1076</v>
      </c>
      <c r="B818" s="9">
        <v>1</v>
      </c>
      <c r="C818" s="9">
        <v>1</v>
      </c>
      <c r="D818" s="9"/>
      <c r="E818" s="9"/>
      <c r="F818" s="9"/>
      <c r="G818" s="9"/>
      <c r="H818" s="9"/>
      <c r="I818" s="9"/>
      <c r="J818" s="9"/>
      <c r="K818" s="9"/>
      <c r="L818" s="9"/>
      <c r="M818" s="9"/>
      <c r="N818" s="9">
        <v>1</v>
      </c>
    </row>
    <row r="819" spans="1:14" ht="45" x14ac:dyDescent="0.25">
      <c r="A819" s="8" t="s">
        <v>669</v>
      </c>
      <c r="B819" s="9">
        <v>1</v>
      </c>
      <c r="C819" s="9">
        <v>1</v>
      </c>
      <c r="D819" s="9"/>
      <c r="E819" s="9"/>
      <c r="F819" s="9"/>
      <c r="G819" s="9"/>
      <c r="H819" s="9"/>
      <c r="I819" s="9"/>
      <c r="J819" s="9"/>
      <c r="K819" s="9"/>
      <c r="L819" s="9"/>
      <c r="M819" s="9"/>
      <c r="N819" s="9">
        <v>1</v>
      </c>
    </row>
    <row r="820" spans="1:14" x14ac:dyDescent="0.25">
      <c r="A820" s="8" t="s">
        <v>804</v>
      </c>
      <c r="B820" s="9">
        <v>1</v>
      </c>
      <c r="C820" s="9">
        <v>1</v>
      </c>
      <c r="D820" s="9"/>
      <c r="E820" s="9"/>
      <c r="F820" s="9"/>
      <c r="G820" s="9"/>
      <c r="H820" s="9"/>
      <c r="I820" s="9"/>
      <c r="J820" s="9"/>
      <c r="K820" s="9"/>
      <c r="L820" s="9"/>
      <c r="M820" s="9"/>
      <c r="N820" s="9">
        <v>1</v>
      </c>
    </row>
    <row r="821" spans="1:14" x14ac:dyDescent="0.25">
      <c r="A821" s="8" t="s">
        <v>1077</v>
      </c>
      <c r="B821" s="9">
        <v>1</v>
      </c>
      <c r="C821" s="9">
        <v>1</v>
      </c>
      <c r="D821" s="9"/>
      <c r="E821" s="9"/>
      <c r="F821" s="9"/>
      <c r="G821" s="9"/>
      <c r="H821" s="9"/>
      <c r="I821" s="9"/>
      <c r="J821" s="9"/>
      <c r="K821" s="9"/>
      <c r="L821" s="9"/>
      <c r="M821" s="9"/>
      <c r="N821" s="9">
        <v>1</v>
      </c>
    </row>
    <row r="822" spans="1:14" ht="30" x14ac:dyDescent="0.25">
      <c r="A822" s="8" t="s">
        <v>670</v>
      </c>
      <c r="B822" s="9">
        <v>1</v>
      </c>
      <c r="C822" s="9">
        <v>1</v>
      </c>
      <c r="D822" s="9"/>
      <c r="E822" s="9"/>
      <c r="F822" s="9"/>
      <c r="G822" s="9"/>
      <c r="H822" s="9"/>
      <c r="I822" s="9"/>
      <c r="J822" s="9"/>
      <c r="K822" s="9"/>
      <c r="L822" s="9"/>
      <c r="M822" s="9"/>
      <c r="N822" s="9">
        <v>1</v>
      </c>
    </row>
    <row r="823" spans="1:14" x14ac:dyDescent="0.25">
      <c r="A823" s="8" t="s">
        <v>804</v>
      </c>
      <c r="B823" s="9">
        <v>1</v>
      </c>
      <c r="C823" s="9">
        <v>1</v>
      </c>
      <c r="D823" s="9"/>
      <c r="E823" s="9"/>
      <c r="F823" s="9"/>
      <c r="G823" s="9"/>
      <c r="H823" s="9"/>
      <c r="I823" s="9"/>
      <c r="J823" s="9"/>
      <c r="K823" s="9"/>
      <c r="L823" s="9"/>
      <c r="M823" s="9"/>
      <c r="N823" s="9">
        <v>1</v>
      </c>
    </row>
    <row r="824" spans="1:14" x14ac:dyDescent="0.25">
      <c r="A824" s="8" t="s">
        <v>1078</v>
      </c>
      <c r="B824" s="9">
        <v>1</v>
      </c>
      <c r="C824" s="9">
        <v>1</v>
      </c>
      <c r="D824" s="9">
        <v>1</v>
      </c>
      <c r="E824" s="9"/>
      <c r="F824" s="9"/>
      <c r="G824" s="9"/>
      <c r="H824" s="9"/>
      <c r="I824" s="9"/>
      <c r="J824" s="9">
        <v>1</v>
      </c>
      <c r="K824" s="9"/>
      <c r="L824" s="9"/>
      <c r="M824" s="9"/>
      <c r="N824" s="9"/>
    </row>
    <row r="825" spans="1:14" ht="60" x14ac:dyDescent="0.25">
      <c r="A825" s="8" t="s">
        <v>671</v>
      </c>
      <c r="B825" s="9">
        <v>1</v>
      </c>
      <c r="C825" s="9">
        <v>1</v>
      </c>
      <c r="D825" s="9">
        <v>1</v>
      </c>
      <c r="E825" s="9"/>
      <c r="F825" s="9"/>
      <c r="G825" s="9"/>
      <c r="H825" s="9"/>
      <c r="I825" s="9"/>
      <c r="J825" s="9">
        <v>1</v>
      </c>
      <c r="K825" s="9"/>
      <c r="L825" s="9"/>
      <c r="M825" s="9"/>
      <c r="N825" s="9"/>
    </row>
    <row r="826" spans="1:14" x14ac:dyDescent="0.25">
      <c r="A826" s="8" t="s">
        <v>804</v>
      </c>
      <c r="B826" s="9">
        <v>1</v>
      </c>
      <c r="C826" s="9">
        <v>1</v>
      </c>
      <c r="D826" s="9">
        <v>1</v>
      </c>
      <c r="E826" s="9"/>
      <c r="F826" s="9"/>
      <c r="G826" s="9"/>
      <c r="H826" s="9"/>
      <c r="I826" s="9"/>
      <c r="J826" s="9">
        <v>1</v>
      </c>
      <c r="K826" s="9"/>
      <c r="L826" s="9"/>
      <c r="M826" s="9"/>
      <c r="N826" s="9"/>
    </row>
    <row r="827" spans="1:14" x14ac:dyDescent="0.25">
      <c r="A827" s="8" t="s">
        <v>1079</v>
      </c>
      <c r="B827" s="9">
        <v>1</v>
      </c>
      <c r="C827" s="9">
        <v>1</v>
      </c>
      <c r="D827" s="9"/>
      <c r="E827" s="9"/>
      <c r="F827" s="9"/>
      <c r="G827" s="9"/>
      <c r="H827" s="9"/>
      <c r="I827" s="9"/>
      <c r="J827" s="9"/>
      <c r="K827" s="9"/>
      <c r="L827" s="9"/>
      <c r="M827" s="9">
        <v>1</v>
      </c>
      <c r="N827" s="9"/>
    </row>
    <row r="828" spans="1:14" ht="60" x14ac:dyDescent="0.25">
      <c r="A828" s="8" t="s">
        <v>672</v>
      </c>
      <c r="B828" s="9">
        <v>1</v>
      </c>
      <c r="C828" s="9">
        <v>1</v>
      </c>
      <c r="D828" s="9"/>
      <c r="E828" s="9"/>
      <c r="F828" s="9"/>
      <c r="G828" s="9"/>
      <c r="H828" s="9"/>
      <c r="I828" s="9"/>
      <c r="J828" s="9"/>
      <c r="K828" s="9"/>
      <c r="L828" s="9"/>
      <c r="M828" s="9">
        <v>1</v>
      </c>
      <c r="N828" s="9"/>
    </row>
    <row r="829" spans="1:14" x14ac:dyDescent="0.25">
      <c r="A829" s="8" t="s">
        <v>804</v>
      </c>
      <c r="B829" s="9">
        <v>1</v>
      </c>
      <c r="C829" s="9">
        <v>1</v>
      </c>
      <c r="D829" s="9"/>
      <c r="E829" s="9"/>
      <c r="F829" s="9"/>
      <c r="G829" s="9"/>
      <c r="H829" s="9"/>
      <c r="I829" s="9"/>
      <c r="J829" s="9"/>
      <c r="K829" s="9"/>
      <c r="L829" s="9"/>
      <c r="M829" s="9">
        <v>1</v>
      </c>
      <c r="N829" s="9"/>
    </row>
    <row r="830" spans="1:14" x14ac:dyDescent="0.25">
      <c r="A830" s="8" t="s">
        <v>1080</v>
      </c>
      <c r="B830" s="9">
        <v>1</v>
      </c>
      <c r="C830" s="9">
        <v>1</v>
      </c>
      <c r="D830" s="9">
        <v>1</v>
      </c>
      <c r="E830" s="9"/>
      <c r="F830" s="9"/>
      <c r="G830" s="9"/>
      <c r="H830" s="9"/>
      <c r="I830" s="9"/>
      <c r="J830" s="9"/>
      <c r="K830" s="9"/>
      <c r="L830" s="9">
        <v>1</v>
      </c>
      <c r="M830" s="9"/>
      <c r="N830" s="9"/>
    </row>
    <row r="831" spans="1:14" ht="45" x14ac:dyDescent="0.25">
      <c r="A831" s="8" t="s">
        <v>676</v>
      </c>
      <c r="B831" s="9">
        <v>1</v>
      </c>
      <c r="C831" s="9">
        <v>1</v>
      </c>
      <c r="D831" s="9">
        <v>1</v>
      </c>
      <c r="E831" s="9"/>
      <c r="F831" s="9"/>
      <c r="G831" s="9"/>
      <c r="H831" s="9"/>
      <c r="I831" s="9"/>
      <c r="J831" s="9"/>
      <c r="K831" s="9"/>
      <c r="L831" s="9">
        <v>1</v>
      </c>
      <c r="M831" s="9"/>
      <c r="N831" s="9"/>
    </row>
    <row r="832" spans="1:14" x14ac:dyDescent="0.25">
      <c r="A832" s="8" t="s">
        <v>804</v>
      </c>
      <c r="B832" s="9">
        <v>1</v>
      </c>
      <c r="C832" s="9">
        <v>1</v>
      </c>
      <c r="D832" s="9">
        <v>1</v>
      </c>
      <c r="E832" s="9"/>
      <c r="F832" s="9"/>
      <c r="G832" s="9"/>
      <c r="H832" s="9"/>
      <c r="I832" s="9"/>
      <c r="J832" s="9"/>
      <c r="K832" s="9"/>
      <c r="L832" s="9">
        <v>1</v>
      </c>
      <c r="M832" s="9"/>
      <c r="N832" s="9"/>
    </row>
    <row r="833" spans="1:14" x14ac:dyDescent="0.25">
      <c r="A833" s="8" t="s">
        <v>1081</v>
      </c>
      <c r="B833" s="9">
        <v>1</v>
      </c>
      <c r="C833" s="9">
        <v>1</v>
      </c>
      <c r="D833" s="9">
        <v>1</v>
      </c>
      <c r="E833" s="9"/>
      <c r="F833" s="9"/>
      <c r="G833" s="9"/>
      <c r="H833" s="9"/>
      <c r="I833" s="9"/>
      <c r="J833" s="9"/>
      <c r="K833" s="9"/>
      <c r="L833" s="9">
        <v>1</v>
      </c>
      <c r="M833" s="9"/>
      <c r="N833" s="9"/>
    </row>
    <row r="834" spans="1:14" ht="30" x14ac:dyDescent="0.25">
      <c r="A834" s="8" t="s">
        <v>679</v>
      </c>
      <c r="B834" s="9">
        <v>1</v>
      </c>
      <c r="C834" s="9">
        <v>1</v>
      </c>
      <c r="D834" s="9">
        <v>1</v>
      </c>
      <c r="E834" s="9"/>
      <c r="F834" s="9"/>
      <c r="G834" s="9"/>
      <c r="H834" s="9"/>
      <c r="I834" s="9"/>
      <c r="J834" s="9"/>
      <c r="K834" s="9"/>
      <c r="L834" s="9">
        <v>1</v>
      </c>
      <c r="M834" s="9"/>
      <c r="N834" s="9"/>
    </row>
    <row r="835" spans="1:14" x14ac:dyDescent="0.25">
      <c r="A835" s="8" t="s">
        <v>804</v>
      </c>
      <c r="B835" s="9">
        <v>1</v>
      </c>
      <c r="C835" s="9">
        <v>1</v>
      </c>
      <c r="D835" s="9">
        <v>1</v>
      </c>
      <c r="E835" s="9"/>
      <c r="F835" s="9"/>
      <c r="G835" s="9"/>
      <c r="H835" s="9"/>
      <c r="I835" s="9"/>
      <c r="J835" s="9"/>
      <c r="K835" s="9"/>
      <c r="L835" s="9">
        <v>1</v>
      </c>
      <c r="M835" s="9"/>
      <c r="N835" s="9"/>
    </row>
    <row r="836" spans="1:14" x14ac:dyDescent="0.25">
      <c r="A836" s="8" t="s">
        <v>1082</v>
      </c>
      <c r="B836" s="9">
        <v>1</v>
      </c>
      <c r="C836" s="9">
        <v>1</v>
      </c>
      <c r="D836" s="9">
        <v>1</v>
      </c>
      <c r="E836" s="9"/>
      <c r="F836" s="9"/>
      <c r="G836" s="9"/>
      <c r="H836" s="9"/>
      <c r="I836" s="9"/>
      <c r="J836" s="9">
        <v>1</v>
      </c>
      <c r="K836" s="9"/>
      <c r="L836" s="9"/>
      <c r="M836" s="9"/>
      <c r="N836" s="9"/>
    </row>
    <row r="837" spans="1:14" ht="30" x14ac:dyDescent="0.25">
      <c r="A837" s="8" t="s">
        <v>682</v>
      </c>
      <c r="B837" s="9">
        <v>1</v>
      </c>
      <c r="C837" s="9">
        <v>1</v>
      </c>
      <c r="D837" s="9">
        <v>1</v>
      </c>
      <c r="E837" s="9"/>
      <c r="F837" s="9"/>
      <c r="G837" s="9"/>
      <c r="H837" s="9"/>
      <c r="I837" s="9"/>
      <c r="J837" s="9">
        <v>1</v>
      </c>
      <c r="K837" s="9"/>
      <c r="L837" s="9"/>
      <c r="M837" s="9"/>
      <c r="N837" s="9"/>
    </row>
    <row r="838" spans="1:14" x14ac:dyDescent="0.25">
      <c r="A838" s="8" t="s">
        <v>804</v>
      </c>
      <c r="B838" s="9">
        <v>1</v>
      </c>
      <c r="C838" s="9">
        <v>1</v>
      </c>
      <c r="D838" s="9">
        <v>1</v>
      </c>
      <c r="E838" s="9"/>
      <c r="F838" s="9"/>
      <c r="G838" s="9"/>
      <c r="H838" s="9"/>
      <c r="I838" s="9"/>
      <c r="J838" s="9">
        <v>1</v>
      </c>
      <c r="K838" s="9"/>
      <c r="L838" s="9"/>
      <c r="M838" s="9"/>
      <c r="N838" s="9"/>
    </row>
    <row r="839" spans="1:14" x14ac:dyDescent="0.25">
      <c r="A839" s="8" t="s">
        <v>1083</v>
      </c>
      <c r="B839" s="9">
        <v>1</v>
      </c>
      <c r="C839" s="9">
        <v>1</v>
      </c>
      <c r="D839" s="9"/>
      <c r="E839" s="9"/>
      <c r="F839" s="9"/>
      <c r="G839" s="9"/>
      <c r="H839" s="9"/>
      <c r="I839" s="9"/>
      <c r="J839" s="9"/>
      <c r="K839" s="9"/>
      <c r="L839" s="9"/>
      <c r="M839" s="9"/>
      <c r="N839" s="9">
        <v>1</v>
      </c>
    </row>
    <row r="840" spans="1:14" ht="45" x14ac:dyDescent="0.25">
      <c r="A840" s="8" t="s">
        <v>683</v>
      </c>
      <c r="B840" s="9">
        <v>1</v>
      </c>
      <c r="C840" s="9">
        <v>1</v>
      </c>
      <c r="D840" s="9"/>
      <c r="E840" s="9"/>
      <c r="F840" s="9"/>
      <c r="G840" s="9"/>
      <c r="H840" s="9"/>
      <c r="I840" s="9"/>
      <c r="J840" s="9"/>
      <c r="K840" s="9"/>
      <c r="L840" s="9"/>
      <c r="M840" s="9"/>
      <c r="N840" s="9">
        <v>1</v>
      </c>
    </row>
    <row r="841" spans="1:14" x14ac:dyDescent="0.25">
      <c r="A841" s="8" t="s">
        <v>804</v>
      </c>
      <c r="B841" s="9">
        <v>1</v>
      </c>
      <c r="C841" s="9">
        <v>1</v>
      </c>
      <c r="D841" s="9"/>
      <c r="E841" s="9"/>
      <c r="F841" s="9"/>
      <c r="G841" s="9"/>
      <c r="H841" s="9"/>
      <c r="I841" s="9"/>
      <c r="J841" s="9"/>
      <c r="K841" s="9"/>
      <c r="L841" s="9"/>
      <c r="M841" s="9"/>
      <c r="N841" s="9">
        <v>1</v>
      </c>
    </row>
    <row r="842" spans="1:14" x14ac:dyDescent="0.25">
      <c r="A842" s="8" t="s">
        <v>1084</v>
      </c>
      <c r="B842" s="9">
        <v>1</v>
      </c>
      <c r="C842" s="9">
        <v>1</v>
      </c>
      <c r="D842" s="9"/>
      <c r="E842" s="9"/>
      <c r="F842" s="9"/>
      <c r="G842" s="9"/>
      <c r="H842" s="9"/>
      <c r="I842" s="9"/>
      <c r="J842" s="9"/>
      <c r="K842" s="9"/>
      <c r="L842" s="9"/>
      <c r="M842" s="9"/>
      <c r="N842" s="9">
        <v>1</v>
      </c>
    </row>
    <row r="843" spans="1:14" ht="30" x14ac:dyDescent="0.25">
      <c r="A843" s="8" t="s">
        <v>684</v>
      </c>
      <c r="B843" s="9">
        <v>1</v>
      </c>
      <c r="C843" s="9">
        <v>1</v>
      </c>
      <c r="D843" s="9"/>
      <c r="E843" s="9"/>
      <c r="F843" s="9"/>
      <c r="G843" s="9"/>
      <c r="H843" s="9"/>
      <c r="I843" s="9"/>
      <c r="J843" s="9"/>
      <c r="K843" s="9"/>
      <c r="L843" s="9"/>
      <c r="M843" s="9"/>
      <c r="N843" s="9">
        <v>1</v>
      </c>
    </row>
    <row r="844" spans="1:14" x14ac:dyDescent="0.25">
      <c r="A844" s="8" t="s">
        <v>804</v>
      </c>
      <c r="B844" s="9">
        <v>1</v>
      </c>
      <c r="C844" s="9">
        <v>1</v>
      </c>
      <c r="D844" s="9"/>
      <c r="E844" s="9"/>
      <c r="F844" s="9"/>
      <c r="G844" s="9"/>
      <c r="H844" s="9"/>
      <c r="I844" s="9"/>
      <c r="J844" s="9"/>
      <c r="K844" s="9"/>
      <c r="L844" s="9"/>
      <c r="M844" s="9"/>
      <c r="N844" s="9">
        <v>1</v>
      </c>
    </row>
    <row r="845" spans="1:14" x14ac:dyDescent="0.25">
      <c r="A845" s="8" t="s">
        <v>1085</v>
      </c>
      <c r="B845" s="9">
        <v>1</v>
      </c>
      <c r="C845" s="9">
        <v>1</v>
      </c>
      <c r="D845" s="9"/>
      <c r="E845" s="9"/>
      <c r="F845" s="9"/>
      <c r="G845" s="9"/>
      <c r="H845" s="9"/>
      <c r="I845" s="9"/>
      <c r="J845" s="9"/>
      <c r="K845" s="9"/>
      <c r="L845" s="9"/>
      <c r="M845" s="9">
        <v>1</v>
      </c>
      <c r="N845" s="9"/>
    </row>
    <row r="846" spans="1:14" ht="30" x14ac:dyDescent="0.25">
      <c r="A846" s="8" t="s">
        <v>685</v>
      </c>
      <c r="B846" s="9">
        <v>1</v>
      </c>
      <c r="C846" s="9">
        <v>1</v>
      </c>
      <c r="D846" s="9"/>
      <c r="E846" s="9"/>
      <c r="F846" s="9"/>
      <c r="G846" s="9"/>
      <c r="H846" s="9"/>
      <c r="I846" s="9"/>
      <c r="J846" s="9"/>
      <c r="K846" s="9"/>
      <c r="L846" s="9"/>
      <c r="M846" s="9">
        <v>1</v>
      </c>
      <c r="N846" s="9"/>
    </row>
    <row r="847" spans="1:14" x14ac:dyDescent="0.25">
      <c r="A847" s="8" t="s">
        <v>804</v>
      </c>
      <c r="B847" s="9">
        <v>1</v>
      </c>
      <c r="C847" s="9">
        <v>1</v>
      </c>
      <c r="D847" s="9"/>
      <c r="E847" s="9"/>
      <c r="F847" s="9"/>
      <c r="G847" s="9"/>
      <c r="H847" s="9"/>
      <c r="I847" s="9"/>
      <c r="J847" s="9"/>
      <c r="K847" s="9"/>
      <c r="L847" s="9"/>
      <c r="M847" s="9">
        <v>1</v>
      </c>
      <c r="N847" s="9"/>
    </row>
    <row r="848" spans="1:14" x14ac:dyDescent="0.25">
      <c r="A848" s="8" t="s">
        <v>1086</v>
      </c>
      <c r="B848" s="9">
        <v>1</v>
      </c>
      <c r="C848" s="9">
        <v>1</v>
      </c>
      <c r="D848" s="9"/>
      <c r="E848" s="9"/>
      <c r="F848" s="9"/>
      <c r="G848" s="9"/>
      <c r="H848" s="9"/>
      <c r="I848" s="9"/>
      <c r="J848" s="9"/>
      <c r="K848" s="9"/>
      <c r="L848" s="9"/>
      <c r="M848" s="9"/>
      <c r="N848" s="9">
        <v>1</v>
      </c>
    </row>
    <row r="849" spans="1:14" ht="120" x14ac:dyDescent="0.25">
      <c r="A849" s="8" t="s">
        <v>688</v>
      </c>
      <c r="B849" s="9">
        <v>1</v>
      </c>
      <c r="C849" s="9">
        <v>1</v>
      </c>
      <c r="D849" s="9"/>
      <c r="E849" s="9"/>
      <c r="F849" s="9"/>
      <c r="G849" s="9"/>
      <c r="H849" s="9"/>
      <c r="I849" s="9"/>
      <c r="J849" s="9"/>
      <c r="K849" s="9"/>
      <c r="L849" s="9"/>
      <c r="M849" s="9"/>
      <c r="N849" s="9">
        <v>1</v>
      </c>
    </row>
    <row r="850" spans="1:14" x14ac:dyDescent="0.25">
      <c r="A850" s="8" t="s">
        <v>804</v>
      </c>
      <c r="B850" s="9">
        <v>1</v>
      </c>
      <c r="C850" s="9">
        <v>1</v>
      </c>
      <c r="D850" s="9"/>
      <c r="E850" s="9"/>
      <c r="F850" s="9"/>
      <c r="G850" s="9"/>
      <c r="H850" s="9"/>
      <c r="I850" s="9"/>
      <c r="J850" s="9"/>
      <c r="K850" s="9"/>
      <c r="L850" s="9"/>
      <c r="M850" s="9"/>
      <c r="N850" s="9">
        <v>1</v>
      </c>
    </row>
    <row r="851" spans="1:14" x14ac:dyDescent="0.25">
      <c r="A851" s="8" t="s">
        <v>1087</v>
      </c>
      <c r="B851" s="9">
        <v>1</v>
      </c>
      <c r="C851" s="9">
        <v>1</v>
      </c>
      <c r="D851" s="9"/>
      <c r="E851" s="9"/>
      <c r="F851" s="9"/>
      <c r="G851" s="9"/>
      <c r="H851" s="9"/>
      <c r="I851" s="9"/>
      <c r="J851" s="9"/>
      <c r="K851" s="9"/>
      <c r="L851" s="9"/>
      <c r="M851" s="9"/>
      <c r="N851" s="9">
        <v>1</v>
      </c>
    </row>
    <row r="852" spans="1:14" ht="45" x14ac:dyDescent="0.25">
      <c r="A852" s="8" t="s">
        <v>693</v>
      </c>
      <c r="B852" s="9">
        <v>1</v>
      </c>
      <c r="C852" s="9">
        <v>1</v>
      </c>
      <c r="D852" s="9"/>
      <c r="E852" s="9"/>
      <c r="F852" s="9"/>
      <c r="G852" s="9"/>
      <c r="H852" s="9"/>
      <c r="I852" s="9"/>
      <c r="J852" s="9"/>
      <c r="K852" s="9"/>
      <c r="L852" s="9"/>
      <c r="M852" s="9"/>
      <c r="N852" s="9">
        <v>1</v>
      </c>
    </row>
    <row r="853" spans="1:14" x14ac:dyDescent="0.25">
      <c r="A853" s="8" t="s">
        <v>804</v>
      </c>
      <c r="B853" s="9">
        <v>1</v>
      </c>
      <c r="C853" s="9">
        <v>1</v>
      </c>
      <c r="D853" s="9"/>
      <c r="E853" s="9"/>
      <c r="F853" s="9"/>
      <c r="G853" s="9"/>
      <c r="H853" s="9"/>
      <c r="I853" s="9"/>
      <c r="J853" s="9"/>
      <c r="K853" s="9"/>
      <c r="L853" s="9"/>
      <c r="M853" s="9"/>
      <c r="N853" s="9">
        <v>1</v>
      </c>
    </row>
    <row r="854" spans="1:14" x14ac:dyDescent="0.25">
      <c r="A854" s="8" t="s">
        <v>1088</v>
      </c>
      <c r="B854" s="9">
        <v>1</v>
      </c>
      <c r="C854" s="9">
        <v>1</v>
      </c>
      <c r="D854" s="9"/>
      <c r="E854" s="9"/>
      <c r="F854" s="9"/>
      <c r="G854" s="9"/>
      <c r="H854" s="9"/>
      <c r="I854" s="9"/>
      <c r="J854" s="9"/>
      <c r="K854" s="9"/>
      <c r="L854" s="9"/>
      <c r="M854" s="9"/>
      <c r="N854" s="9">
        <v>1</v>
      </c>
    </row>
    <row r="855" spans="1:14" ht="60" x14ac:dyDescent="0.25">
      <c r="A855" s="8" t="s">
        <v>695</v>
      </c>
      <c r="B855" s="9">
        <v>1</v>
      </c>
      <c r="C855" s="9">
        <v>1</v>
      </c>
      <c r="D855" s="9"/>
      <c r="E855" s="9"/>
      <c r="F855" s="9"/>
      <c r="G855" s="9"/>
      <c r="H855" s="9"/>
      <c r="I855" s="9"/>
      <c r="J855" s="9"/>
      <c r="K855" s="9"/>
      <c r="L855" s="9"/>
      <c r="M855" s="9"/>
      <c r="N855" s="9">
        <v>1</v>
      </c>
    </row>
    <row r="856" spans="1:14" x14ac:dyDescent="0.25">
      <c r="A856" s="8" t="s">
        <v>804</v>
      </c>
      <c r="B856" s="9">
        <v>1</v>
      </c>
      <c r="C856" s="9">
        <v>1</v>
      </c>
      <c r="D856" s="9"/>
      <c r="E856" s="9"/>
      <c r="F856" s="9"/>
      <c r="G856" s="9"/>
      <c r="H856" s="9"/>
      <c r="I856" s="9"/>
      <c r="J856" s="9"/>
      <c r="K856" s="9"/>
      <c r="L856" s="9"/>
      <c r="M856" s="9"/>
      <c r="N856" s="9">
        <v>1</v>
      </c>
    </row>
    <row r="857" spans="1:14" x14ac:dyDescent="0.25">
      <c r="A857" s="8" t="s">
        <v>1224</v>
      </c>
      <c r="B857" s="9">
        <v>1</v>
      </c>
      <c r="C857" s="9">
        <v>1</v>
      </c>
      <c r="D857" s="9"/>
      <c r="E857" s="9"/>
      <c r="F857" s="9"/>
      <c r="G857" s="9"/>
      <c r="H857" s="9"/>
      <c r="I857" s="9"/>
      <c r="J857" s="9">
        <v>1</v>
      </c>
      <c r="K857" s="9"/>
      <c r="L857" s="9"/>
      <c r="M857" s="9"/>
      <c r="N857" s="9"/>
    </row>
    <row r="858" spans="1:14" ht="75" x14ac:dyDescent="0.25">
      <c r="A858" s="8" t="s">
        <v>696</v>
      </c>
      <c r="B858" s="9">
        <v>1</v>
      </c>
      <c r="C858" s="9">
        <v>1</v>
      </c>
      <c r="D858" s="9"/>
      <c r="E858" s="9"/>
      <c r="F858" s="9"/>
      <c r="G858" s="9"/>
      <c r="H858" s="9"/>
      <c r="I858" s="9"/>
      <c r="J858" s="9">
        <v>1</v>
      </c>
      <c r="K858" s="9"/>
      <c r="L858" s="9"/>
      <c r="M858" s="9"/>
      <c r="N858" s="9"/>
    </row>
    <row r="859" spans="1:14" x14ac:dyDescent="0.25">
      <c r="A859" s="8" t="s">
        <v>804</v>
      </c>
      <c r="B859" s="9">
        <v>1</v>
      </c>
      <c r="C859" s="9">
        <v>1</v>
      </c>
      <c r="D859" s="9"/>
      <c r="E859" s="9"/>
      <c r="F859" s="9"/>
      <c r="G859" s="9"/>
      <c r="H859" s="9"/>
      <c r="I859" s="9"/>
      <c r="J859" s="9">
        <v>1</v>
      </c>
      <c r="K859" s="9"/>
      <c r="L859" s="9"/>
      <c r="M859" s="9"/>
      <c r="N859" s="9"/>
    </row>
    <row r="860" spans="1:14" x14ac:dyDescent="0.25">
      <c r="A860" s="8" t="s">
        <v>1089</v>
      </c>
      <c r="B860" s="9">
        <v>1</v>
      </c>
      <c r="C860" s="9">
        <v>1</v>
      </c>
      <c r="D860" s="9"/>
      <c r="E860" s="9"/>
      <c r="F860" s="9"/>
      <c r="G860" s="9"/>
      <c r="H860" s="9"/>
      <c r="I860" s="9"/>
      <c r="J860" s="9"/>
      <c r="K860" s="9"/>
      <c r="L860" s="9"/>
      <c r="M860" s="9"/>
      <c r="N860" s="9">
        <v>1</v>
      </c>
    </row>
    <row r="861" spans="1:14" ht="75" x14ac:dyDescent="0.25">
      <c r="A861" s="8" t="s">
        <v>698</v>
      </c>
      <c r="B861" s="9">
        <v>1</v>
      </c>
      <c r="C861" s="9">
        <v>1</v>
      </c>
      <c r="D861" s="9"/>
      <c r="E861" s="9"/>
      <c r="F861" s="9"/>
      <c r="G861" s="9"/>
      <c r="H861" s="9"/>
      <c r="I861" s="9"/>
      <c r="J861" s="9"/>
      <c r="K861" s="9"/>
      <c r="L861" s="9"/>
      <c r="M861" s="9"/>
      <c r="N861" s="9">
        <v>1</v>
      </c>
    </row>
    <row r="862" spans="1:14" x14ac:dyDescent="0.25">
      <c r="A862" s="8" t="s">
        <v>804</v>
      </c>
      <c r="B862" s="9">
        <v>1</v>
      </c>
      <c r="C862" s="9">
        <v>1</v>
      </c>
      <c r="D862" s="9"/>
      <c r="E862" s="9"/>
      <c r="F862" s="9"/>
      <c r="G862" s="9"/>
      <c r="H862" s="9"/>
      <c r="I862" s="9"/>
      <c r="J862" s="9"/>
      <c r="K862" s="9"/>
      <c r="L862" s="9"/>
      <c r="M862" s="9"/>
      <c r="N862" s="9">
        <v>1</v>
      </c>
    </row>
    <row r="863" spans="1:14" x14ac:dyDescent="0.25">
      <c r="A863" s="8" t="s">
        <v>1090</v>
      </c>
      <c r="B863" s="9">
        <v>1</v>
      </c>
      <c r="C863" s="9">
        <v>1</v>
      </c>
      <c r="D863" s="9"/>
      <c r="E863" s="9"/>
      <c r="F863" s="9"/>
      <c r="G863" s="9"/>
      <c r="H863" s="9"/>
      <c r="I863" s="9"/>
      <c r="J863" s="9"/>
      <c r="K863" s="9"/>
      <c r="L863" s="9"/>
      <c r="M863" s="9"/>
      <c r="N863" s="9">
        <v>1</v>
      </c>
    </row>
    <row r="864" spans="1:14" ht="60" x14ac:dyDescent="0.25">
      <c r="A864" s="8" t="s">
        <v>700</v>
      </c>
      <c r="B864" s="9">
        <v>1</v>
      </c>
      <c r="C864" s="9">
        <v>1</v>
      </c>
      <c r="D864" s="9"/>
      <c r="E864" s="9"/>
      <c r="F864" s="9"/>
      <c r="G864" s="9"/>
      <c r="H864" s="9"/>
      <c r="I864" s="9"/>
      <c r="J864" s="9"/>
      <c r="K864" s="9"/>
      <c r="L864" s="9"/>
      <c r="M864" s="9"/>
      <c r="N864" s="9">
        <v>1</v>
      </c>
    </row>
    <row r="865" spans="1:14" x14ac:dyDescent="0.25">
      <c r="A865" s="8" t="s">
        <v>804</v>
      </c>
      <c r="B865" s="9">
        <v>1</v>
      </c>
      <c r="C865" s="9">
        <v>1</v>
      </c>
      <c r="D865" s="9"/>
      <c r="E865" s="9"/>
      <c r="F865" s="9"/>
      <c r="G865" s="9"/>
      <c r="H865" s="9"/>
      <c r="I865" s="9"/>
      <c r="J865" s="9"/>
      <c r="K865" s="9"/>
      <c r="L865" s="9"/>
      <c r="M865" s="9"/>
      <c r="N865" s="9">
        <v>1</v>
      </c>
    </row>
    <row r="866" spans="1:14" x14ac:dyDescent="0.25">
      <c r="A866" s="8" t="s">
        <v>1091</v>
      </c>
      <c r="B866" s="9">
        <v>1</v>
      </c>
      <c r="C866" s="9">
        <v>1</v>
      </c>
      <c r="D866" s="9"/>
      <c r="E866" s="9"/>
      <c r="F866" s="9"/>
      <c r="G866" s="9"/>
      <c r="H866" s="9"/>
      <c r="I866" s="9"/>
      <c r="J866" s="9"/>
      <c r="K866" s="9"/>
      <c r="L866" s="9"/>
      <c r="M866" s="9"/>
      <c r="N866" s="9">
        <v>1</v>
      </c>
    </row>
    <row r="867" spans="1:14" ht="60" x14ac:dyDescent="0.25">
      <c r="A867" s="8" t="s">
        <v>701</v>
      </c>
      <c r="B867" s="9">
        <v>1</v>
      </c>
      <c r="C867" s="9">
        <v>1</v>
      </c>
      <c r="D867" s="9"/>
      <c r="E867" s="9"/>
      <c r="F867" s="9"/>
      <c r="G867" s="9"/>
      <c r="H867" s="9"/>
      <c r="I867" s="9"/>
      <c r="J867" s="9"/>
      <c r="K867" s="9"/>
      <c r="L867" s="9"/>
      <c r="M867" s="9"/>
      <c r="N867" s="9">
        <v>1</v>
      </c>
    </row>
    <row r="868" spans="1:14" x14ac:dyDescent="0.25">
      <c r="A868" s="8" t="s">
        <v>804</v>
      </c>
      <c r="B868" s="9">
        <v>1</v>
      </c>
      <c r="C868" s="9">
        <v>1</v>
      </c>
      <c r="D868" s="9"/>
      <c r="E868" s="9"/>
      <c r="F868" s="9"/>
      <c r="G868" s="9"/>
      <c r="H868" s="9"/>
      <c r="I868" s="9"/>
      <c r="J868" s="9"/>
      <c r="K868" s="9"/>
      <c r="L868" s="9"/>
      <c r="M868" s="9"/>
      <c r="N868" s="9">
        <v>1</v>
      </c>
    </row>
    <row r="869" spans="1:14" x14ac:dyDescent="0.25">
      <c r="A869" s="8" t="s">
        <v>1092</v>
      </c>
      <c r="B869" s="9">
        <v>1</v>
      </c>
      <c r="C869" s="9">
        <v>1</v>
      </c>
      <c r="D869" s="9"/>
      <c r="E869" s="9"/>
      <c r="F869" s="9"/>
      <c r="G869" s="9"/>
      <c r="H869" s="9"/>
      <c r="I869" s="9"/>
      <c r="J869" s="9"/>
      <c r="K869" s="9"/>
      <c r="L869" s="9"/>
      <c r="M869" s="9"/>
      <c r="N869" s="9">
        <v>1</v>
      </c>
    </row>
    <row r="870" spans="1:14" ht="75" x14ac:dyDescent="0.25">
      <c r="A870" s="8" t="s">
        <v>702</v>
      </c>
      <c r="B870" s="9">
        <v>1</v>
      </c>
      <c r="C870" s="9">
        <v>1</v>
      </c>
      <c r="D870" s="9"/>
      <c r="E870" s="9"/>
      <c r="F870" s="9"/>
      <c r="G870" s="9"/>
      <c r="H870" s="9"/>
      <c r="I870" s="9"/>
      <c r="J870" s="9"/>
      <c r="K870" s="9"/>
      <c r="L870" s="9"/>
      <c r="M870" s="9"/>
      <c r="N870" s="9">
        <v>1</v>
      </c>
    </row>
    <row r="871" spans="1:14" x14ac:dyDescent="0.25">
      <c r="A871" s="8" t="s">
        <v>804</v>
      </c>
      <c r="B871" s="9">
        <v>1</v>
      </c>
      <c r="C871" s="9">
        <v>1</v>
      </c>
      <c r="D871" s="9"/>
      <c r="E871" s="9"/>
      <c r="F871" s="9"/>
      <c r="G871" s="9"/>
      <c r="H871" s="9"/>
      <c r="I871" s="9"/>
      <c r="J871" s="9"/>
      <c r="K871" s="9"/>
      <c r="L871" s="9"/>
      <c r="M871" s="9"/>
      <c r="N871" s="9">
        <v>1</v>
      </c>
    </row>
    <row r="872" spans="1:14" x14ac:dyDescent="0.25">
      <c r="A872" s="8" t="s">
        <v>1093</v>
      </c>
      <c r="B872" s="9">
        <v>1</v>
      </c>
      <c r="C872" s="9">
        <v>1</v>
      </c>
      <c r="D872" s="9"/>
      <c r="E872" s="9"/>
      <c r="F872" s="9"/>
      <c r="G872" s="9"/>
      <c r="H872" s="9"/>
      <c r="I872" s="9"/>
      <c r="J872" s="9"/>
      <c r="K872" s="9"/>
      <c r="L872" s="9"/>
      <c r="M872" s="9"/>
      <c r="N872" s="9">
        <v>1</v>
      </c>
    </row>
    <row r="873" spans="1:14" ht="105" x14ac:dyDescent="0.25">
      <c r="A873" s="8" t="s">
        <v>704</v>
      </c>
      <c r="B873" s="9">
        <v>1</v>
      </c>
      <c r="C873" s="9">
        <v>1</v>
      </c>
      <c r="D873" s="9"/>
      <c r="E873" s="9"/>
      <c r="F873" s="9"/>
      <c r="G873" s="9"/>
      <c r="H873" s="9"/>
      <c r="I873" s="9"/>
      <c r="J873" s="9"/>
      <c r="K873" s="9"/>
      <c r="L873" s="9"/>
      <c r="M873" s="9"/>
      <c r="N873" s="9">
        <v>1</v>
      </c>
    </row>
    <row r="874" spans="1:14" x14ac:dyDescent="0.25">
      <c r="A874" s="8" t="s">
        <v>804</v>
      </c>
      <c r="B874" s="9">
        <v>1</v>
      </c>
      <c r="C874" s="9">
        <v>1</v>
      </c>
      <c r="D874" s="9"/>
      <c r="E874" s="9"/>
      <c r="F874" s="9"/>
      <c r="G874" s="9"/>
      <c r="H874" s="9"/>
      <c r="I874" s="9"/>
      <c r="J874" s="9"/>
      <c r="K874" s="9"/>
      <c r="L874" s="9"/>
      <c r="M874" s="9"/>
      <c r="N874" s="9">
        <v>1</v>
      </c>
    </row>
    <row r="875" spans="1:14" x14ac:dyDescent="0.25">
      <c r="A875" s="8" t="s">
        <v>1094</v>
      </c>
      <c r="B875" s="9">
        <v>1</v>
      </c>
      <c r="C875" s="9">
        <v>1</v>
      </c>
      <c r="D875" s="9"/>
      <c r="E875" s="9"/>
      <c r="F875" s="9"/>
      <c r="G875" s="9"/>
      <c r="H875" s="9"/>
      <c r="I875" s="9"/>
      <c r="J875" s="9"/>
      <c r="K875" s="9"/>
      <c r="L875" s="9"/>
      <c r="M875" s="9"/>
      <c r="N875" s="9">
        <v>1</v>
      </c>
    </row>
    <row r="876" spans="1:14" ht="45" x14ac:dyDescent="0.25">
      <c r="A876" s="8" t="s">
        <v>706</v>
      </c>
      <c r="B876" s="9">
        <v>1</v>
      </c>
      <c r="C876" s="9">
        <v>1</v>
      </c>
      <c r="D876" s="9"/>
      <c r="E876" s="9"/>
      <c r="F876" s="9"/>
      <c r="G876" s="9"/>
      <c r="H876" s="9"/>
      <c r="I876" s="9"/>
      <c r="J876" s="9"/>
      <c r="K876" s="9"/>
      <c r="L876" s="9"/>
      <c r="M876" s="9"/>
      <c r="N876" s="9">
        <v>1</v>
      </c>
    </row>
    <row r="877" spans="1:14" x14ac:dyDescent="0.25">
      <c r="A877" s="8" t="s">
        <v>804</v>
      </c>
      <c r="B877" s="9">
        <v>1</v>
      </c>
      <c r="C877" s="9">
        <v>1</v>
      </c>
      <c r="D877" s="9"/>
      <c r="E877" s="9"/>
      <c r="F877" s="9"/>
      <c r="G877" s="9"/>
      <c r="H877" s="9"/>
      <c r="I877" s="9"/>
      <c r="J877" s="9"/>
      <c r="K877" s="9"/>
      <c r="L877" s="9"/>
      <c r="M877" s="9"/>
      <c r="N877" s="9">
        <v>1</v>
      </c>
    </row>
    <row r="878" spans="1:14" x14ac:dyDescent="0.25">
      <c r="A878" s="8" t="s">
        <v>1095</v>
      </c>
      <c r="B878" s="9">
        <v>1</v>
      </c>
      <c r="C878" s="9">
        <v>1</v>
      </c>
      <c r="D878" s="9"/>
      <c r="E878" s="9"/>
      <c r="F878" s="9"/>
      <c r="G878" s="9"/>
      <c r="H878" s="9"/>
      <c r="I878" s="9"/>
      <c r="J878" s="9"/>
      <c r="K878" s="9"/>
      <c r="L878" s="9"/>
      <c r="M878" s="9"/>
      <c r="N878" s="9">
        <v>1</v>
      </c>
    </row>
    <row r="879" spans="1:14" ht="45" x14ac:dyDescent="0.25">
      <c r="A879" s="8" t="s">
        <v>707</v>
      </c>
      <c r="B879" s="9">
        <v>1</v>
      </c>
      <c r="C879" s="9">
        <v>1</v>
      </c>
      <c r="D879" s="9"/>
      <c r="E879" s="9"/>
      <c r="F879" s="9"/>
      <c r="G879" s="9"/>
      <c r="H879" s="9"/>
      <c r="I879" s="9"/>
      <c r="J879" s="9"/>
      <c r="K879" s="9"/>
      <c r="L879" s="9"/>
      <c r="M879" s="9"/>
      <c r="N879" s="9">
        <v>1</v>
      </c>
    </row>
    <row r="880" spans="1:14" x14ac:dyDescent="0.25">
      <c r="A880" s="8" t="s">
        <v>804</v>
      </c>
      <c r="B880" s="9">
        <v>1</v>
      </c>
      <c r="C880" s="9">
        <v>1</v>
      </c>
      <c r="D880" s="9"/>
      <c r="E880" s="9"/>
      <c r="F880" s="9"/>
      <c r="G880" s="9"/>
      <c r="H880" s="9"/>
      <c r="I880" s="9"/>
      <c r="J880" s="9"/>
      <c r="K880" s="9"/>
      <c r="L880" s="9"/>
      <c r="M880" s="9"/>
      <c r="N880" s="9">
        <v>1</v>
      </c>
    </row>
    <row r="881" spans="1:14" x14ac:dyDescent="0.25">
      <c r="A881" s="8" t="s">
        <v>1096</v>
      </c>
      <c r="B881" s="9">
        <v>1</v>
      </c>
      <c r="C881" s="9">
        <v>1</v>
      </c>
      <c r="D881" s="9"/>
      <c r="E881" s="9"/>
      <c r="F881" s="9"/>
      <c r="G881" s="9"/>
      <c r="H881" s="9"/>
      <c r="I881" s="9"/>
      <c r="J881" s="9"/>
      <c r="K881" s="9"/>
      <c r="L881" s="9"/>
      <c r="M881" s="9"/>
      <c r="N881" s="9">
        <v>1</v>
      </c>
    </row>
    <row r="882" spans="1:14" ht="45" x14ac:dyDescent="0.25">
      <c r="A882" s="8" t="s">
        <v>708</v>
      </c>
      <c r="B882" s="9">
        <v>1</v>
      </c>
      <c r="C882" s="9">
        <v>1</v>
      </c>
      <c r="D882" s="9"/>
      <c r="E882" s="9"/>
      <c r="F882" s="9"/>
      <c r="G882" s="9"/>
      <c r="H882" s="9"/>
      <c r="I882" s="9"/>
      <c r="J882" s="9"/>
      <c r="K882" s="9"/>
      <c r="L882" s="9"/>
      <c r="M882" s="9"/>
      <c r="N882" s="9">
        <v>1</v>
      </c>
    </row>
    <row r="883" spans="1:14" x14ac:dyDescent="0.25">
      <c r="A883" s="8" t="s">
        <v>804</v>
      </c>
      <c r="B883" s="9">
        <v>1</v>
      </c>
      <c r="C883" s="9">
        <v>1</v>
      </c>
      <c r="D883" s="9"/>
      <c r="E883" s="9"/>
      <c r="F883" s="9"/>
      <c r="G883" s="9"/>
      <c r="H883" s="9"/>
      <c r="I883" s="9"/>
      <c r="J883" s="9"/>
      <c r="K883" s="9"/>
      <c r="L883" s="9"/>
      <c r="M883" s="9"/>
      <c r="N883" s="9">
        <v>1</v>
      </c>
    </row>
    <row r="884" spans="1:14" x14ac:dyDescent="0.25">
      <c r="A884" s="8" t="s">
        <v>1097</v>
      </c>
      <c r="B884" s="9">
        <v>1</v>
      </c>
      <c r="C884" s="9">
        <v>1</v>
      </c>
      <c r="D884" s="9"/>
      <c r="E884" s="9"/>
      <c r="F884" s="9"/>
      <c r="G884" s="9"/>
      <c r="H884" s="9"/>
      <c r="I884" s="9"/>
      <c r="J884" s="9"/>
      <c r="K884" s="9"/>
      <c r="L884" s="9"/>
      <c r="M884" s="9"/>
      <c r="N884" s="9">
        <v>1</v>
      </c>
    </row>
    <row r="885" spans="1:14" ht="45" x14ac:dyDescent="0.25">
      <c r="A885" s="8" t="s">
        <v>709</v>
      </c>
      <c r="B885" s="9">
        <v>1</v>
      </c>
      <c r="C885" s="9">
        <v>1</v>
      </c>
      <c r="D885" s="9"/>
      <c r="E885" s="9"/>
      <c r="F885" s="9"/>
      <c r="G885" s="9"/>
      <c r="H885" s="9"/>
      <c r="I885" s="9"/>
      <c r="J885" s="9"/>
      <c r="K885" s="9"/>
      <c r="L885" s="9"/>
      <c r="M885" s="9"/>
      <c r="N885" s="9">
        <v>1</v>
      </c>
    </row>
    <row r="886" spans="1:14" x14ac:dyDescent="0.25">
      <c r="A886" s="8" t="s">
        <v>804</v>
      </c>
      <c r="B886" s="9">
        <v>1</v>
      </c>
      <c r="C886" s="9">
        <v>1</v>
      </c>
      <c r="D886" s="9"/>
      <c r="E886" s="9"/>
      <c r="F886" s="9"/>
      <c r="G886" s="9"/>
      <c r="H886" s="9"/>
      <c r="I886" s="9"/>
      <c r="J886" s="9"/>
      <c r="K886" s="9"/>
      <c r="L886" s="9"/>
      <c r="M886" s="9"/>
      <c r="N886" s="9">
        <v>1</v>
      </c>
    </row>
    <row r="887" spans="1:14" x14ac:dyDescent="0.25">
      <c r="A887" s="8" t="s">
        <v>1098</v>
      </c>
      <c r="B887" s="9">
        <v>1</v>
      </c>
      <c r="C887" s="9">
        <v>1</v>
      </c>
      <c r="D887" s="9"/>
      <c r="E887" s="9"/>
      <c r="F887" s="9"/>
      <c r="G887" s="9"/>
      <c r="H887" s="9"/>
      <c r="I887" s="9"/>
      <c r="J887" s="9"/>
      <c r="K887" s="9"/>
      <c r="L887" s="9"/>
      <c r="M887" s="9"/>
      <c r="N887" s="9">
        <v>1</v>
      </c>
    </row>
    <row r="888" spans="1:14" ht="45" x14ac:dyDescent="0.25">
      <c r="A888" s="8" t="s">
        <v>711</v>
      </c>
      <c r="B888" s="9">
        <v>1</v>
      </c>
      <c r="C888" s="9">
        <v>1</v>
      </c>
      <c r="D888" s="9"/>
      <c r="E888" s="9"/>
      <c r="F888" s="9"/>
      <c r="G888" s="9"/>
      <c r="H888" s="9"/>
      <c r="I888" s="9"/>
      <c r="J888" s="9"/>
      <c r="K888" s="9"/>
      <c r="L888" s="9"/>
      <c r="M888" s="9"/>
      <c r="N888" s="9">
        <v>1</v>
      </c>
    </row>
    <row r="889" spans="1:14" x14ac:dyDescent="0.25">
      <c r="A889" s="8" t="s">
        <v>804</v>
      </c>
      <c r="B889" s="9">
        <v>1</v>
      </c>
      <c r="C889" s="9">
        <v>1</v>
      </c>
      <c r="D889" s="9"/>
      <c r="E889" s="9"/>
      <c r="F889" s="9"/>
      <c r="G889" s="9"/>
      <c r="H889" s="9"/>
      <c r="I889" s="9"/>
      <c r="J889" s="9"/>
      <c r="K889" s="9"/>
      <c r="L889" s="9"/>
      <c r="M889" s="9"/>
      <c r="N889" s="9">
        <v>1</v>
      </c>
    </row>
    <row r="890" spans="1:14" x14ac:dyDescent="0.25">
      <c r="A890" s="8" t="s">
        <v>1099</v>
      </c>
      <c r="B890" s="9">
        <v>1</v>
      </c>
      <c r="C890" s="9">
        <v>1</v>
      </c>
      <c r="D890" s="9"/>
      <c r="E890" s="9"/>
      <c r="F890" s="9"/>
      <c r="G890" s="9"/>
      <c r="H890" s="9"/>
      <c r="I890" s="9"/>
      <c r="J890" s="9"/>
      <c r="K890" s="9"/>
      <c r="L890" s="9"/>
      <c r="M890" s="9"/>
      <c r="N890" s="9">
        <v>1</v>
      </c>
    </row>
    <row r="891" spans="1:14" ht="45" x14ac:dyDescent="0.25">
      <c r="A891" s="8" t="s">
        <v>713</v>
      </c>
      <c r="B891" s="9">
        <v>1</v>
      </c>
      <c r="C891" s="9">
        <v>1</v>
      </c>
      <c r="D891" s="9"/>
      <c r="E891" s="9"/>
      <c r="F891" s="9"/>
      <c r="G891" s="9"/>
      <c r="H891" s="9"/>
      <c r="I891" s="9"/>
      <c r="J891" s="9"/>
      <c r="K891" s="9"/>
      <c r="L891" s="9"/>
      <c r="M891" s="9"/>
      <c r="N891" s="9">
        <v>1</v>
      </c>
    </row>
    <row r="892" spans="1:14" x14ac:dyDescent="0.25">
      <c r="A892" s="8" t="s">
        <v>804</v>
      </c>
      <c r="B892" s="9">
        <v>1</v>
      </c>
      <c r="C892" s="9">
        <v>1</v>
      </c>
      <c r="D892" s="9"/>
      <c r="E892" s="9"/>
      <c r="F892" s="9"/>
      <c r="G892" s="9"/>
      <c r="H892" s="9"/>
      <c r="I892" s="9"/>
      <c r="J892" s="9"/>
      <c r="K892" s="9"/>
      <c r="L892" s="9"/>
      <c r="M892" s="9"/>
      <c r="N892" s="9">
        <v>1</v>
      </c>
    </row>
    <row r="893" spans="1:14" x14ac:dyDescent="0.25">
      <c r="A893" s="8" t="s">
        <v>1100</v>
      </c>
      <c r="B893" s="9">
        <v>1</v>
      </c>
      <c r="C893" s="9">
        <v>1</v>
      </c>
      <c r="D893" s="9"/>
      <c r="E893" s="9"/>
      <c r="F893" s="9"/>
      <c r="G893" s="9"/>
      <c r="H893" s="9"/>
      <c r="I893" s="9"/>
      <c r="J893" s="9"/>
      <c r="K893" s="9"/>
      <c r="L893" s="9"/>
      <c r="M893" s="9"/>
      <c r="N893" s="9">
        <v>1</v>
      </c>
    </row>
    <row r="894" spans="1:14" ht="60" x14ac:dyDescent="0.25">
      <c r="A894" s="8" t="s">
        <v>714</v>
      </c>
      <c r="B894" s="9">
        <v>1</v>
      </c>
      <c r="C894" s="9">
        <v>1</v>
      </c>
      <c r="D894" s="9"/>
      <c r="E894" s="9"/>
      <c r="F894" s="9"/>
      <c r="G894" s="9"/>
      <c r="H894" s="9"/>
      <c r="I894" s="9"/>
      <c r="J894" s="9"/>
      <c r="K894" s="9"/>
      <c r="L894" s="9"/>
      <c r="M894" s="9"/>
      <c r="N894" s="9">
        <v>1</v>
      </c>
    </row>
    <row r="895" spans="1:14" x14ac:dyDescent="0.25">
      <c r="A895" s="8" t="s">
        <v>804</v>
      </c>
      <c r="B895" s="9">
        <v>1</v>
      </c>
      <c r="C895" s="9">
        <v>1</v>
      </c>
      <c r="D895" s="9"/>
      <c r="E895" s="9"/>
      <c r="F895" s="9"/>
      <c r="G895" s="9"/>
      <c r="H895" s="9"/>
      <c r="I895" s="9"/>
      <c r="J895" s="9"/>
      <c r="K895" s="9"/>
      <c r="L895" s="9"/>
      <c r="M895" s="9"/>
      <c r="N895" s="9">
        <v>1</v>
      </c>
    </row>
    <row r="896" spans="1:14" x14ac:dyDescent="0.25">
      <c r="A896" s="8" t="s">
        <v>1101</v>
      </c>
      <c r="B896" s="9">
        <v>1</v>
      </c>
      <c r="C896" s="9">
        <v>1</v>
      </c>
      <c r="D896" s="9"/>
      <c r="E896" s="9"/>
      <c r="F896" s="9"/>
      <c r="G896" s="9"/>
      <c r="H896" s="9"/>
      <c r="I896" s="9"/>
      <c r="J896" s="9"/>
      <c r="K896" s="9"/>
      <c r="L896" s="9"/>
      <c r="M896" s="9"/>
      <c r="N896" s="9">
        <v>1</v>
      </c>
    </row>
    <row r="897" spans="1:14" ht="45" x14ac:dyDescent="0.25">
      <c r="A897" s="8" t="s">
        <v>716</v>
      </c>
      <c r="B897" s="9">
        <v>1</v>
      </c>
      <c r="C897" s="9">
        <v>1</v>
      </c>
      <c r="D897" s="9"/>
      <c r="E897" s="9"/>
      <c r="F897" s="9"/>
      <c r="G897" s="9"/>
      <c r="H897" s="9"/>
      <c r="I897" s="9"/>
      <c r="J897" s="9"/>
      <c r="K897" s="9"/>
      <c r="L897" s="9"/>
      <c r="M897" s="9"/>
      <c r="N897" s="9">
        <v>1</v>
      </c>
    </row>
    <row r="898" spans="1:14" x14ac:dyDescent="0.25">
      <c r="A898" s="8" t="s">
        <v>804</v>
      </c>
      <c r="B898" s="9">
        <v>1</v>
      </c>
      <c r="C898" s="9">
        <v>1</v>
      </c>
      <c r="D898" s="9"/>
      <c r="E898" s="9"/>
      <c r="F898" s="9"/>
      <c r="G898" s="9"/>
      <c r="H898" s="9"/>
      <c r="I898" s="9"/>
      <c r="J898" s="9"/>
      <c r="K898" s="9"/>
      <c r="L898" s="9"/>
      <c r="M898" s="9"/>
      <c r="N898" s="9">
        <v>1</v>
      </c>
    </row>
    <row r="899" spans="1:14" x14ac:dyDescent="0.25">
      <c r="A899" s="8" t="s">
        <v>1102</v>
      </c>
      <c r="B899" s="9">
        <v>1</v>
      </c>
      <c r="C899" s="9">
        <v>1</v>
      </c>
      <c r="D899" s="9"/>
      <c r="E899" s="9"/>
      <c r="F899" s="9"/>
      <c r="G899" s="9"/>
      <c r="H899" s="9"/>
      <c r="I899" s="9"/>
      <c r="J899" s="9"/>
      <c r="K899" s="9"/>
      <c r="L899" s="9"/>
      <c r="M899" s="9"/>
      <c r="N899" s="9">
        <v>1</v>
      </c>
    </row>
    <row r="900" spans="1:14" ht="45" x14ac:dyDescent="0.25">
      <c r="A900" s="8" t="s">
        <v>719</v>
      </c>
      <c r="B900" s="9">
        <v>1</v>
      </c>
      <c r="C900" s="9">
        <v>1</v>
      </c>
      <c r="D900" s="9"/>
      <c r="E900" s="9"/>
      <c r="F900" s="9"/>
      <c r="G900" s="9"/>
      <c r="H900" s="9"/>
      <c r="I900" s="9"/>
      <c r="J900" s="9"/>
      <c r="K900" s="9"/>
      <c r="L900" s="9"/>
      <c r="M900" s="9"/>
      <c r="N900" s="9">
        <v>1</v>
      </c>
    </row>
    <row r="901" spans="1:14" x14ac:dyDescent="0.25">
      <c r="A901" s="8" t="s">
        <v>804</v>
      </c>
      <c r="B901" s="9">
        <v>1</v>
      </c>
      <c r="C901" s="9">
        <v>1</v>
      </c>
      <c r="D901" s="9"/>
      <c r="E901" s="9"/>
      <c r="F901" s="9"/>
      <c r="G901" s="9"/>
      <c r="H901" s="9"/>
      <c r="I901" s="9"/>
      <c r="J901" s="9"/>
      <c r="K901" s="9"/>
      <c r="L901" s="9"/>
      <c r="M901" s="9"/>
      <c r="N901" s="9">
        <v>1</v>
      </c>
    </row>
    <row r="902" spans="1:14" x14ac:dyDescent="0.25">
      <c r="A902" s="8" t="s">
        <v>1103</v>
      </c>
      <c r="B902" s="9">
        <v>1</v>
      </c>
      <c r="C902" s="9">
        <v>1</v>
      </c>
      <c r="D902" s="9"/>
      <c r="E902" s="9"/>
      <c r="F902" s="9"/>
      <c r="G902" s="9"/>
      <c r="H902" s="9"/>
      <c r="I902" s="9"/>
      <c r="J902" s="9"/>
      <c r="K902" s="9"/>
      <c r="L902" s="9"/>
      <c r="M902" s="9"/>
      <c r="N902" s="9">
        <v>1</v>
      </c>
    </row>
    <row r="903" spans="1:14" ht="45" x14ac:dyDescent="0.25">
      <c r="A903" s="8" t="s">
        <v>720</v>
      </c>
      <c r="B903" s="9">
        <v>1</v>
      </c>
      <c r="C903" s="9">
        <v>1</v>
      </c>
      <c r="D903" s="9"/>
      <c r="E903" s="9"/>
      <c r="F903" s="9"/>
      <c r="G903" s="9"/>
      <c r="H903" s="9"/>
      <c r="I903" s="9"/>
      <c r="J903" s="9"/>
      <c r="K903" s="9"/>
      <c r="L903" s="9"/>
      <c r="M903" s="9"/>
      <c r="N903" s="9">
        <v>1</v>
      </c>
    </row>
    <row r="904" spans="1:14" x14ac:dyDescent="0.25">
      <c r="A904" s="8" t="s">
        <v>804</v>
      </c>
      <c r="B904" s="9">
        <v>1</v>
      </c>
      <c r="C904" s="9">
        <v>1</v>
      </c>
      <c r="D904" s="9"/>
      <c r="E904" s="9"/>
      <c r="F904" s="9"/>
      <c r="G904" s="9"/>
      <c r="H904" s="9"/>
      <c r="I904" s="9"/>
      <c r="J904" s="9"/>
      <c r="K904" s="9"/>
      <c r="L904" s="9"/>
      <c r="M904" s="9"/>
      <c r="N904" s="9">
        <v>1</v>
      </c>
    </row>
    <row r="905" spans="1:14" x14ac:dyDescent="0.25">
      <c r="A905" s="8" t="s">
        <v>1104</v>
      </c>
      <c r="B905" s="9">
        <v>1</v>
      </c>
      <c r="C905" s="9">
        <v>1</v>
      </c>
      <c r="D905" s="9"/>
      <c r="E905" s="9"/>
      <c r="F905" s="9"/>
      <c r="G905" s="9"/>
      <c r="H905" s="9"/>
      <c r="I905" s="9"/>
      <c r="J905" s="9"/>
      <c r="K905" s="9"/>
      <c r="L905" s="9"/>
      <c r="M905" s="9">
        <v>1</v>
      </c>
      <c r="N905" s="9"/>
    </row>
    <row r="906" spans="1:14" ht="60" x14ac:dyDescent="0.25">
      <c r="A906" s="8" t="s">
        <v>725</v>
      </c>
      <c r="B906" s="9">
        <v>1</v>
      </c>
      <c r="C906" s="9">
        <v>1</v>
      </c>
      <c r="D906" s="9"/>
      <c r="E906" s="9"/>
      <c r="F906" s="9"/>
      <c r="G906" s="9"/>
      <c r="H906" s="9"/>
      <c r="I906" s="9"/>
      <c r="J906" s="9"/>
      <c r="K906" s="9"/>
      <c r="L906" s="9"/>
      <c r="M906" s="9">
        <v>1</v>
      </c>
      <c r="N906" s="9"/>
    </row>
    <row r="907" spans="1:14" x14ac:dyDescent="0.25">
      <c r="A907" s="8" t="s">
        <v>804</v>
      </c>
      <c r="B907" s="9">
        <v>1</v>
      </c>
      <c r="C907" s="9">
        <v>1</v>
      </c>
      <c r="D907" s="9"/>
      <c r="E907" s="9"/>
      <c r="F907" s="9"/>
      <c r="G907" s="9"/>
      <c r="H907" s="9"/>
      <c r="I907" s="9"/>
      <c r="J907" s="9"/>
      <c r="K907" s="9"/>
      <c r="L907" s="9"/>
      <c r="M907" s="9">
        <v>1</v>
      </c>
      <c r="N907" s="9"/>
    </row>
    <row r="908" spans="1:14" x14ac:dyDescent="0.25">
      <c r="A908" s="8" t="s">
        <v>1105</v>
      </c>
      <c r="B908" s="9">
        <v>1</v>
      </c>
      <c r="C908" s="9">
        <v>1</v>
      </c>
      <c r="D908" s="9"/>
      <c r="E908" s="9"/>
      <c r="F908" s="9"/>
      <c r="G908" s="9"/>
      <c r="H908" s="9"/>
      <c r="I908" s="9"/>
      <c r="J908" s="9">
        <v>1</v>
      </c>
      <c r="K908" s="9"/>
      <c r="L908" s="9"/>
      <c r="M908" s="9"/>
      <c r="N908" s="9"/>
    </row>
    <row r="909" spans="1:14" ht="30" x14ac:dyDescent="0.25">
      <c r="A909" s="8" t="s">
        <v>731</v>
      </c>
      <c r="B909" s="9">
        <v>1</v>
      </c>
      <c r="C909" s="9">
        <v>1</v>
      </c>
      <c r="D909" s="9"/>
      <c r="E909" s="9"/>
      <c r="F909" s="9"/>
      <c r="G909" s="9"/>
      <c r="H909" s="9"/>
      <c r="I909" s="9"/>
      <c r="J909" s="9">
        <v>1</v>
      </c>
      <c r="K909" s="9"/>
      <c r="L909" s="9"/>
      <c r="M909" s="9"/>
      <c r="N909" s="9"/>
    </row>
    <row r="910" spans="1:14" x14ac:dyDescent="0.25">
      <c r="A910" s="8" t="s">
        <v>804</v>
      </c>
      <c r="B910" s="9">
        <v>1</v>
      </c>
      <c r="C910" s="9">
        <v>1</v>
      </c>
      <c r="D910" s="9"/>
      <c r="E910" s="9"/>
      <c r="F910" s="9"/>
      <c r="G910" s="9"/>
      <c r="H910" s="9"/>
      <c r="I910" s="9"/>
      <c r="J910" s="9">
        <v>1</v>
      </c>
      <c r="K910" s="9"/>
      <c r="L910" s="9"/>
      <c r="M910" s="9"/>
      <c r="N910" s="9"/>
    </row>
    <row r="911" spans="1:14" x14ac:dyDescent="0.25">
      <c r="A911" s="8" t="s">
        <v>1106</v>
      </c>
      <c r="B911" s="9">
        <v>1</v>
      </c>
      <c r="C911" s="9">
        <v>1</v>
      </c>
      <c r="D911" s="9"/>
      <c r="E911" s="9"/>
      <c r="F911" s="9"/>
      <c r="G911" s="9"/>
      <c r="H911" s="9"/>
      <c r="I911" s="9"/>
      <c r="J911" s="9"/>
      <c r="K911" s="9"/>
      <c r="L911" s="9"/>
      <c r="M911" s="9"/>
      <c r="N911" s="9">
        <v>1</v>
      </c>
    </row>
    <row r="912" spans="1:14" ht="45" x14ac:dyDescent="0.25">
      <c r="A912" s="8" t="s">
        <v>733</v>
      </c>
      <c r="B912" s="9">
        <v>1</v>
      </c>
      <c r="C912" s="9">
        <v>1</v>
      </c>
      <c r="D912" s="9"/>
      <c r="E912" s="9"/>
      <c r="F912" s="9"/>
      <c r="G912" s="9"/>
      <c r="H912" s="9"/>
      <c r="I912" s="9"/>
      <c r="J912" s="9"/>
      <c r="K912" s="9"/>
      <c r="L912" s="9"/>
      <c r="M912" s="9"/>
      <c r="N912" s="9">
        <v>1</v>
      </c>
    </row>
    <row r="913" spans="1:14" x14ac:dyDescent="0.25">
      <c r="A913" s="8" t="s">
        <v>804</v>
      </c>
      <c r="B913" s="9">
        <v>1</v>
      </c>
      <c r="C913" s="9">
        <v>1</v>
      </c>
      <c r="D913" s="9"/>
      <c r="E913" s="9"/>
      <c r="F913" s="9"/>
      <c r="G913" s="9"/>
      <c r="H913" s="9"/>
      <c r="I913" s="9"/>
      <c r="J913" s="9"/>
      <c r="K913" s="9"/>
      <c r="L913" s="9"/>
      <c r="M913" s="9"/>
      <c r="N913" s="9">
        <v>1</v>
      </c>
    </row>
    <row r="914" spans="1:14" x14ac:dyDescent="0.25">
      <c r="A914" s="8" t="s">
        <v>1107</v>
      </c>
      <c r="B914" s="9">
        <v>1</v>
      </c>
      <c r="C914" s="9">
        <v>1</v>
      </c>
      <c r="D914" s="9"/>
      <c r="E914" s="9"/>
      <c r="F914" s="9"/>
      <c r="G914" s="9"/>
      <c r="H914" s="9"/>
      <c r="I914" s="9"/>
      <c r="J914" s="9"/>
      <c r="K914" s="9"/>
      <c r="L914" s="9"/>
      <c r="M914" s="9"/>
      <c r="N914" s="9">
        <v>1</v>
      </c>
    </row>
    <row r="915" spans="1:14" ht="75" x14ac:dyDescent="0.25">
      <c r="A915" s="8" t="s">
        <v>734</v>
      </c>
      <c r="B915" s="9">
        <v>1</v>
      </c>
      <c r="C915" s="9">
        <v>1</v>
      </c>
      <c r="D915" s="9"/>
      <c r="E915" s="9"/>
      <c r="F915" s="9"/>
      <c r="G915" s="9"/>
      <c r="H915" s="9"/>
      <c r="I915" s="9"/>
      <c r="J915" s="9"/>
      <c r="K915" s="9"/>
      <c r="L915" s="9"/>
      <c r="M915" s="9"/>
      <c r="N915" s="9">
        <v>1</v>
      </c>
    </row>
    <row r="916" spans="1:14" x14ac:dyDescent="0.25">
      <c r="A916" s="8" t="s">
        <v>804</v>
      </c>
      <c r="B916" s="9">
        <v>1</v>
      </c>
      <c r="C916" s="9">
        <v>1</v>
      </c>
      <c r="D916" s="9"/>
      <c r="E916" s="9"/>
      <c r="F916" s="9"/>
      <c r="G916" s="9"/>
      <c r="H916" s="9"/>
      <c r="I916" s="9"/>
      <c r="J916" s="9"/>
      <c r="K916" s="9"/>
      <c r="L916" s="9"/>
      <c r="M916" s="9"/>
      <c r="N916" s="9">
        <v>1</v>
      </c>
    </row>
    <row r="917" spans="1:14" x14ac:dyDescent="0.25">
      <c r="A917" s="8" t="s">
        <v>1108</v>
      </c>
      <c r="B917" s="9">
        <v>1</v>
      </c>
      <c r="C917" s="9">
        <v>1</v>
      </c>
      <c r="D917" s="9"/>
      <c r="E917" s="9"/>
      <c r="F917" s="9"/>
      <c r="G917" s="9"/>
      <c r="H917" s="9"/>
      <c r="I917" s="9"/>
      <c r="J917" s="9"/>
      <c r="K917" s="9"/>
      <c r="L917" s="9"/>
      <c r="M917" s="9"/>
      <c r="N917" s="9">
        <v>1</v>
      </c>
    </row>
    <row r="918" spans="1:14" ht="60" x14ac:dyDescent="0.25">
      <c r="A918" s="8" t="s">
        <v>737</v>
      </c>
      <c r="B918" s="9">
        <v>1</v>
      </c>
      <c r="C918" s="9">
        <v>1</v>
      </c>
      <c r="D918" s="9"/>
      <c r="E918" s="9"/>
      <c r="F918" s="9"/>
      <c r="G918" s="9"/>
      <c r="H918" s="9"/>
      <c r="I918" s="9"/>
      <c r="J918" s="9"/>
      <c r="K918" s="9"/>
      <c r="L918" s="9"/>
      <c r="M918" s="9"/>
      <c r="N918" s="9">
        <v>1</v>
      </c>
    </row>
    <row r="919" spans="1:14" x14ac:dyDescent="0.25">
      <c r="A919" s="8" t="s">
        <v>804</v>
      </c>
      <c r="B919" s="9">
        <v>1</v>
      </c>
      <c r="C919" s="9">
        <v>1</v>
      </c>
      <c r="D919" s="9"/>
      <c r="E919" s="9"/>
      <c r="F919" s="9"/>
      <c r="G919" s="9"/>
      <c r="H919" s="9"/>
      <c r="I919" s="9"/>
      <c r="J919" s="9"/>
      <c r="K919" s="9"/>
      <c r="L919" s="9"/>
      <c r="M919" s="9"/>
      <c r="N919" s="9">
        <v>1</v>
      </c>
    </row>
    <row r="920" spans="1:14" x14ac:dyDescent="0.25">
      <c r="A920" s="8" t="s">
        <v>1109</v>
      </c>
      <c r="B920" s="9">
        <v>1</v>
      </c>
      <c r="C920" s="9">
        <v>1</v>
      </c>
      <c r="D920" s="9"/>
      <c r="E920" s="9"/>
      <c r="F920" s="9"/>
      <c r="G920" s="9"/>
      <c r="H920" s="9"/>
      <c r="I920" s="9"/>
      <c r="J920" s="9"/>
      <c r="K920" s="9"/>
      <c r="L920" s="9"/>
      <c r="M920" s="9"/>
      <c r="N920" s="9">
        <v>1</v>
      </c>
    </row>
    <row r="921" spans="1:14" ht="60" x14ac:dyDescent="0.25">
      <c r="A921" s="8" t="s">
        <v>740</v>
      </c>
      <c r="B921" s="9">
        <v>1</v>
      </c>
      <c r="C921" s="9">
        <v>1</v>
      </c>
      <c r="D921" s="9"/>
      <c r="E921" s="9"/>
      <c r="F921" s="9"/>
      <c r="G921" s="9"/>
      <c r="H921" s="9"/>
      <c r="I921" s="9"/>
      <c r="J921" s="9"/>
      <c r="K921" s="9"/>
      <c r="L921" s="9"/>
      <c r="M921" s="9"/>
      <c r="N921" s="9">
        <v>1</v>
      </c>
    </row>
    <row r="922" spans="1:14" x14ac:dyDescent="0.25">
      <c r="A922" s="8" t="s">
        <v>804</v>
      </c>
      <c r="B922" s="9">
        <v>1</v>
      </c>
      <c r="C922" s="9">
        <v>1</v>
      </c>
      <c r="D922" s="9"/>
      <c r="E922" s="9"/>
      <c r="F922" s="9"/>
      <c r="G922" s="9"/>
      <c r="H922" s="9"/>
      <c r="I922" s="9"/>
      <c r="J922" s="9"/>
      <c r="K922" s="9"/>
      <c r="L922" s="9"/>
      <c r="M922" s="9"/>
      <c r="N922" s="9">
        <v>1</v>
      </c>
    </row>
    <row r="923" spans="1:14" x14ac:dyDescent="0.25">
      <c r="A923" s="8" t="s">
        <v>1110</v>
      </c>
      <c r="B923" s="9">
        <v>1</v>
      </c>
      <c r="C923" s="9">
        <v>1</v>
      </c>
      <c r="D923" s="9"/>
      <c r="E923" s="9"/>
      <c r="F923" s="9"/>
      <c r="G923" s="9"/>
      <c r="H923" s="9"/>
      <c r="I923" s="9"/>
      <c r="J923" s="9">
        <v>1</v>
      </c>
      <c r="K923" s="9"/>
      <c r="L923" s="9"/>
      <c r="M923" s="9"/>
      <c r="N923" s="9"/>
    </row>
    <row r="924" spans="1:14" ht="60" x14ac:dyDescent="0.25">
      <c r="A924" s="8" t="s">
        <v>741</v>
      </c>
      <c r="B924" s="9">
        <v>1</v>
      </c>
      <c r="C924" s="9">
        <v>1</v>
      </c>
      <c r="D924" s="9"/>
      <c r="E924" s="9"/>
      <c r="F924" s="9"/>
      <c r="G924" s="9"/>
      <c r="H924" s="9"/>
      <c r="I924" s="9"/>
      <c r="J924" s="9">
        <v>1</v>
      </c>
      <c r="K924" s="9"/>
      <c r="L924" s="9"/>
      <c r="M924" s="9"/>
      <c r="N924" s="9"/>
    </row>
    <row r="925" spans="1:14" x14ac:dyDescent="0.25">
      <c r="A925" s="8" t="s">
        <v>804</v>
      </c>
      <c r="B925" s="9">
        <v>1</v>
      </c>
      <c r="C925" s="9">
        <v>1</v>
      </c>
      <c r="D925" s="9"/>
      <c r="E925" s="9"/>
      <c r="F925" s="9"/>
      <c r="G925" s="9"/>
      <c r="H925" s="9"/>
      <c r="I925" s="9"/>
      <c r="J925" s="9">
        <v>1</v>
      </c>
      <c r="K925" s="9"/>
      <c r="L925" s="9"/>
      <c r="M925" s="9"/>
      <c r="N925" s="9"/>
    </row>
    <row r="926" spans="1:14" x14ac:dyDescent="0.25">
      <c r="A926" s="8" t="s">
        <v>1111</v>
      </c>
      <c r="B926" s="9">
        <v>1</v>
      </c>
      <c r="C926" s="9">
        <v>1</v>
      </c>
      <c r="D926" s="9"/>
      <c r="E926" s="9"/>
      <c r="F926" s="9"/>
      <c r="G926" s="9"/>
      <c r="H926" s="9"/>
      <c r="I926" s="9"/>
      <c r="J926" s="9"/>
      <c r="K926" s="9"/>
      <c r="L926" s="9">
        <v>1</v>
      </c>
      <c r="M926" s="9"/>
      <c r="N926" s="9"/>
    </row>
    <row r="927" spans="1:14" ht="60" x14ac:dyDescent="0.25">
      <c r="A927" s="8" t="s">
        <v>743</v>
      </c>
      <c r="B927" s="9">
        <v>1</v>
      </c>
      <c r="C927" s="9">
        <v>1</v>
      </c>
      <c r="D927" s="9"/>
      <c r="E927" s="9"/>
      <c r="F927" s="9"/>
      <c r="G927" s="9"/>
      <c r="H927" s="9"/>
      <c r="I927" s="9"/>
      <c r="J927" s="9"/>
      <c r="K927" s="9"/>
      <c r="L927" s="9">
        <v>1</v>
      </c>
      <c r="M927" s="9"/>
      <c r="N927" s="9"/>
    </row>
    <row r="928" spans="1:14" x14ac:dyDescent="0.25">
      <c r="A928" s="8" t="s">
        <v>804</v>
      </c>
      <c r="B928" s="9">
        <v>1</v>
      </c>
      <c r="C928" s="9">
        <v>1</v>
      </c>
      <c r="D928" s="9"/>
      <c r="E928" s="9"/>
      <c r="F928" s="9"/>
      <c r="G928" s="9"/>
      <c r="H928" s="9"/>
      <c r="I928" s="9"/>
      <c r="J928" s="9"/>
      <c r="K928" s="9"/>
      <c r="L928" s="9">
        <v>1</v>
      </c>
      <c r="M928" s="9"/>
      <c r="N928" s="9"/>
    </row>
    <row r="929" spans="1:14" x14ac:dyDescent="0.25">
      <c r="A929" s="8" t="s">
        <v>1112</v>
      </c>
      <c r="B929" s="9">
        <v>1</v>
      </c>
      <c r="C929" s="9">
        <v>1</v>
      </c>
      <c r="D929" s="9"/>
      <c r="E929" s="9"/>
      <c r="F929" s="9"/>
      <c r="G929" s="9"/>
      <c r="H929" s="9"/>
      <c r="I929" s="9"/>
      <c r="J929" s="9"/>
      <c r="K929" s="9"/>
      <c r="L929" s="9"/>
      <c r="M929" s="9"/>
      <c r="N929" s="9">
        <v>1</v>
      </c>
    </row>
    <row r="930" spans="1:14" x14ac:dyDescent="0.25">
      <c r="A930" s="8" t="s">
        <v>746</v>
      </c>
      <c r="B930" s="9">
        <v>1</v>
      </c>
      <c r="C930" s="9">
        <v>1</v>
      </c>
      <c r="D930" s="9"/>
      <c r="E930" s="9"/>
      <c r="F930" s="9"/>
      <c r="G930" s="9"/>
      <c r="H930" s="9"/>
      <c r="I930" s="9"/>
      <c r="J930" s="9"/>
      <c r="K930" s="9"/>
      <c r="L930" s="9"/>
      <c r="M930" s="9"/>
      <c r="N930" s="9">
        <v>1</v>
      </c>
    </row>
    <row r="931" spans="1:14" x14ac:dyDescent="0.25">
      <c r="A931" s="8" t="s">
        <v>804</v>
      </c>
      <c r="B931" s="9">
        <v>1</v>
      </c>
      <c r="C931" s="9">
        <v>1</v>
      </c>
      <c r="D931" s="9"/>
      <c r="E931" s="9"/>
      <c r="F931" s="9"/>
      <c r="G931" s="9"/>
      <c r="H931" s="9"/>
      <c r="I931" s="9"/>
      <c r="J931" s="9"/>
      <c r="K931" s="9"/>
      <c r="L931" s="9"/>
      <c r="M931" s="9"/>
      <c r="N931" s="9">
        <v>1</v>
      </c>
    </row>
    <row r="932" spans="1:14" x14ac:dyDescent="0.25">
      <c r="A932" s="8" t="s">
        <v>1113</v>
      </c>
      <c r="B932" s="9">
        <v>1</v>
      </c>
      <c r="C932" s="9">
        <v>1</v>
      </c>
      <c r="D932" s="9"/>
      <c r="E932" s="9"/>
      <c r="F932" s="9"/>
      <c r="G932" s="9"/>
      <c r="H932" s="9"/>
      <c r="I932" s="9"/>
      <c r="J932" s="9">
        <v>1</v>
      </c>
      <c r="K932" s="9"/>
      <c r="L932" s="9"/>
      <c r="M932" s="9"/>
      <c r="N932" s="9"/>
    </row>
    <row r="933" spans="1:14" ht="60" x14ac:dyDescent="0.25">
      <c r="A933" s="8" t="s">
        <v>747</v>
      </c>
      <c r="B933" s="9">
        <v>1</v>
      </c>
      <c r="C933" s="9">
        <v>1</v>
      </c>
      <c r="D933" s="9"/>
      <c r="E933" s="9"/>
      <c r="F933" s="9"/>
      <c r="G933" s="9"/>
      <c r="H933" s="9"/>
      <c r="I933" s="9"/>
      <c r="J933" s="9">
        <v>1</v>
      </c>
      <c r="K933" s="9"/>
      <c r="L933" s="9"/>
      <c r="M933" s="9"/>
      <c r="N933" s="9"/>
    </row>
    <row r="934" spans="1:14" x14ac:dyDescent="0.25">
      <c r="A934" s="8" t="s">
        <v>804</v>
      </c>
      <c r="B934" s="9">
        <v>1</v>
      </c>
      <c r="C934" s="9">
        <v>1</v>
      </c>
      <c r="D934" s="9"/>
      <c r="E934" s="9"/>
      <c r="F934" s="9"/>
      <c r="G934" s="9"/>
      <c r="H934" s="9"/>
      <c r="I934" s="9"/>
      <c r="J934" s="9">
        <v>1</v>
      </c>
      <c r="K934" s="9"/>
      <c r="L934" s="9"/>
      <c r="M934" s="9"/>
      <c r="N934" s="9"/>
    </row>
    <row r="935" spans="1:14" x14ac:dyDescent="0.25">
      <c r="A935" s="8" t="s">
        <v>1114</v>
      </c>
      <c r="B935" s="9">
        <v>1</v>
      </c>
      <c r="C935" s="9">
        <v>1</v>
      </c>
      <c r="D935" s="9"/>
      <c r="E935" s="9"/>
      <c r="F935" s="9"/>
      <c r="G935" s="9"/>
      <c r="H935" s="9"/>
      <c r="I935" s="9"/>
      <c r="J935" s="9">
        <v>1</v>
      </c>
      <c r="K935" s="9"/>
      <c r="L935" s="9"/>
      <c r="M935" s="9"/>
      <c r="N935" s="9"/>
    </row>
    <row r="936" spans="1:14" ht="30" x14ac:dyDescent="0.25">
      <c r="A936" s="8" t="s">
        <v>748</v>
      </c>
      <c r="B936" s="9">
        <v>1</v>
      </c>
      <c r="C936" s="9">
        <v>1</v>
      </c>
      <c r="D936" s="9"/>
      <c r="E936" s="9"/>
      <c r="F936" s="9"/>
      <c r="G936" s="9"/>
      <c r="H936" s="9"/>
      <c r="I936" s="9"/>
      <c r="J936" s="9">
        <v>1</v>
      </c>
      <c r="K936" s="9"/>
      <c r="L936" s="9"/>
      <c r="M936" s="9"/>
      <c r="N936" s="9"/>
    </row>
    <row r="937" spans="1:14" x14ac:dyDescent="0.25">
      <c r="A937" s="8" t="s">
        <v>804</v>
      </c>
      <c r="B937" s="9">
        <v>1</v>
      </c>
      <c r="C937" s="9">
        <v>1</v>
      </c>
      <c r="D937" s="9"/>
      <c r="E937" s="9"/>
      <c r="F937" s="9"/>
      <c r="G937" s="9"/>
      <c r="H937" s="9"/>
      <c r="I937" s="9"/>
      <c r="J937" s="9">
        <v>1</v>
      </c>
      <c r="K937" s="9"/>
      <c r="L937" s="9"/>
      <c r="M937" s="9"/>
      <c r="N937" s="9"/>
    </row>
    <row r="938" spans="1:14" x14ac:dyDescent="0.25">
      <c r="A938" s="8" t="s">
        <v>1115</v>
      </c>
      <c r="B938" s="9">
        <v>1</v>
      </c>
      <c r="C938" s="9">
        <v>1</v>
      </c>
      <c r="D938" s="9"/>
      <c r="E938" s="9"/>
      <c r="F938" s="9"/>
      <c r="G938" s="9"/>
      <c r="H938" s="9"/>
      <c r="I938" s="9"/>
      <c r="J938" s="9"/>
      <c r="K938" s="9"/>
      <c r="L938" s="9">
        <v>1</v>
      </c>
      <c r="M938" s="9"/>
      <c r="N938" s="9"/>
    </row>
    <row r="939" spans="1:14" ht="30" x14ac:dyDescent="0.25">
      <c r="A939" s="8" t="s">
        <v>749</v>
      </c>
      <c r="B939" s="9">
        <v>1</v>
      </c>
      <c r="C939" s="9">
        <v>1</v>
      </c>
      <c r="D939" s="9"/>
      <c r="E939" s="9"/>
      <c r="F939" s="9"/>
      <c r="G939" s="9"/>
      <c r="H939" s="9"/>
      <c r="I939" s="9"/>
      <c r="J939" s="9"/>
      <c r="K939" s="9"/>
      <c r="L939" s="9">
        <v>1</v>
      </c>
      <c r="M939" s="9"/>
      <c r="N939" s="9"/>
    </row>
    <row r="940" spans="1:14" x14ac:dyDescent="0.25">
      <c r="A940" s="8" t="s">
        <v>804</v>
      </c>
      <c r="B940" s="9">
        <v>1</v>
      </c>
      <c r="C940" s="9">
        <v>1</v>
      </c>
      <c r="D940" s="9"/>
      <c r="E940" s="9"/>
      <c r="F940" s="9"/>
      <c r="G940" s="9"/>
      <c r="H940" s="9"/>
      <c r="I940" s="9"/>
      <c r="J940" s="9"/>
      <c r="K940" s="9"/>
      <c r="L940" s="9">
        <v>1</v>
      </c>
      <c r="M940" s="9"/>
      <c r="N940" s="9"/>
    </row>
    <row r="941" spans="1:14" x14ac:dyDescent="0.25">
      <c r="A941" s="8" t="s">
        <v>1116</v>
      </c>
      <c r="B941" s="9">
        <v>1</v>
      </c>
      <c r="C941" s="9">
        <v>1</v>
      </c>
      <c r="D941" s="9">
        <v>1</v>
      </c>
      <c r="E941" s="9"/>
      <c r="F941" s="9"/>
      <c r="G941" s="9"/>
      <c r="H941" s="9"/>
      <c r="I941" s="9"/>
      <c r="J941" s="9"/>
      <c r="K941" s="9"/>
      <c r="L941" s="9">
        <v>1</v>
      </c>
      <c r="M941" s="9"/>
      <c r="N941" s="9"/>
    </row>
    <row r="942" spans="1:14" ht="75" x14ac:dyDescent="0.25">
      <c r="A942" s="8" t="s">
        <v>751</v>
      </c>
      <c r="B942" s="9">
        <v>1</v>
      </c>
      <c r="C942" s="9">
        <v>1</v>
      </c>
      <c r="D942" s="9">
        <v>1</v>
      </c>
      <c r="E942" s="9"/>
      <c r="F942" s="9"/>
      <c r="G942" s="9"/>
      <c r="H942" s="9"/>
      <c r="I942" s="9"/>
      <c r="J942" s="9"/>
      <c r="K942" s="9"/>
      <c r="L942" s="9">
        <v>1</v>
      </c>
      <c r="M942" s="9"/>
      <c r="N942" s="9"/>
    </row>
    <row r="943" spans="1:14" x14ac:dyDescent="0.25">
      <c r="A943" s="8" t="s">
        <v>804</v>
      </c>
      <c r="B943" s="9">
        <v>1</v>
      </c>
      <c r="C943" s="9">
        <v>1</v>
      </c>
      <c r="D943" s="9">
        <v>1</v>
      </c>
      <c r="E943" s="9"/>
      <c r="F943" s="9"/>
      <c r="G943" s="9"/>
      <c r="H943" s="9"/>
      <c r="I943" s="9"/>
      <c r="J943" s="9"/>
      <c r="K943" s="9"/>
      <c r="L943" s="9">
        <v>1</v>
      </c>
      <c r="M943" s="9"/>
      <c r="N943" s="9"/>
    </row>
    <row r="944" spans="1:14" x14ac:dyDescent="0.25">
      <c r="A944" s="8" t="s">
        <v>1117</v>
      </c>
      <c r="B944" s="9">
        <v>1</v>
      </c>
      <c r="C944" s="9">
        <v>1</v>
      </c>
      <c r="D944" s="9"/>
      <c r="E944" s="9"/>
      <c r="F944" s="9"/>
      <c r="G944" s="9"/>
      <c r="H944" s="9"/>
      <c r="I944" s="9"/>
      <c r="J944" s="9"/>
      <c r="K944" s="9"/>
      <c r="L944" s="9"/>
      <c r="M944" s="9"/>
      <c r="N944" s="9">
        <v>1</v>
      </c>
    </row>
    <row r="945" spans="1:14" ht="30" x14ac:dyDescent="0.25">
      <c r="A945" s="8" t="s">
        <v>753</v>
      </c>
      <c r="B945" s="9">
        <v>1</v>
      </c>
      <c r="C945" s="9">
        <v>1</v>
      </c>
      <c r="D945" s="9"/>
      <c r="E945" s="9"/>
      <c r="F945" s="9"/>
      <c r="G945" s="9"/>
      <c r="H945" s="9"/>
      <c r="I945" s="9"/>
      <c r="J945" s="9"/>
      <c r="K945" s="9"/>
      <c r="L945" s="9"/>
      <c r="M945" s="9"/>
      <c r="N945" s="9">
        <v>1</v>
      </c>
    </row>
    <row r="946" spans="1:14" x14ac:dyDescent="0.25">
      <c r="A946" s="8" t="s">
        <v>804</v>
      </c>
      <c r="B946" s="9">
        <v>1</v>
      </c>
      <c r="C946" s="9">
        <v>1</v>
      </c>
      <c r="D946" s="9"/>
      <c r="E946" s="9"/>
      <c r="F946" s="9"/>
      <c r="G946" s="9"/>
      <c r="H946" s="9"/>
      <c r="I946" s="9"/>
      <c r="J946" s="9"/>
      <c r="K946" s="9"/>
      <c r="L946" s="9"/>
      <c r="M946" s="9"/>
      <c r="N946" s="9">
        <v>1</v>
      </c>
    </row>
    <row r="947" spans="1:14" x14ac:dyDescent="0.25">
      <c r="A947" s="8" t="s">
        <v>1118</v>
      </c>
      <c r="B947" s="9">
        <v>1</v>
      </c>
      <c r="C947" s="9">
        <v>1</v>
      </c>
      <c r="D947" s="9"/>
      <c r="E947" s="9"/>
      <c r="F947" s="9"/>
      <c r="G947" s="9"/>
      <c r="H947" s="9"/>
      <c r="I947" s="9"/>
      <c r="J947" s="9"/>
      <c r="K947" s="9"/>
      <c r="L947" s="9"/>
      <c r="M947" s="9"/>
      <c r="N947" s="9">
        <v>1</v>
      </c>
    </row>
    <row r="948" spans="1:14" ht="45" x14ac:dyDescent="0.25">
      <c r="A948" s="8" t="s">
        <v>754</v>
      </c>
      <c r="B948" s="9">
        <v>1</v>
      </c>
      <c r="C948" s="9">
        <v>1</v>
      </c>
      <c r="D948" s="9"/>
      <c r="E948" s="9"/>
      <c r="F948" s="9"/>
      <c r="G948" s="9"/>
      <c r="H948" s="9"/>
      <c r="I948" s="9"/>
      <c r="J948" s="9"/>
      <c r="K948" s="9"/>
      <c r="L948" s="9"/>
      <c r="M948" s="9"/>
      <c r="N948" s="9">
        <v>1</v>
      </c>
    </row>
    <row r="949" spans="1:14" x14ac:dyDescent="0.25">
      <c r="A949" s="8" t="s">
        <v>804</v>
      </c>
      <c r="B949" s="9">
        <v>1</v>
      </c>
      <c r="C949" s="9">
        <v>1</v>
      </c>
      <c r="D949" s="9"/>
      <c r="E949" s="9"/>
      <c r="F949" s="9"/>
      <c r="G949" s="9"/>
      <c r="H949" s="9"/>
      <c r="I949" s="9"/>
      <c r="J949" s="9"/>
      <c r="K949" s="9"/>
      <c r="L949" s="9"/>
      <c r="M949" s="9"/>
      <c r="N949" s="9">
        <v>1</v>
      </c>
    </row>
    <row r="950" spans="1:14" x14ac:dyDescent="0.25">
      <c r="A950" s="8" t="s">
        <v>1119</v>
      </c>
      <c r="B950" s="9">
        <v>1</v>
      </c>
      <c r="C950" s="9">
        <v>1</v>
      </c>
      <c r="D950" s="9">
        <v>1</v>
      </c>
      <c r="E950" s="9"/>
      <c r="F950" s="9"/>
      <c r="G950" s="9"/>
      <c r="H950" s="9"/>
      <c r="I950" s="9"/>
      <c r="J950" s="9"/>
      <c r="K950" s="9"/>
      <c r="L950" s="9">
        <v>1</v>
      </c>
      <c r="M950" s="9"/>
      <c r="N950" s="9"/>
    </row>
    <row r="951" spans="1:14" ht="30" x14ac:dyDescent="0.25">
      <c r="A951" s="8" t="s">
        <v>755</v>
      </c>
      <c r="B951" s="9">
        <v>1</v>
      </c>
      <c r="C951" s="9">
        <v>1</v>
      </c>
      <c r="D951" s="9">
        <v>1</v>
      </c>
      <c r="E951" s="9"/>
      <c r="F951" s="9"/>
      <c r="G951" s="9"/>
      <c r="H951" s="9"/>
      <c r="I951" s="9"/>
      <c r="J951" s="9"/>
      <c r="K951" s="9"/>
      <c r="L951" s="9">
        <v>1</v>
      </c>
      <c r="M951" s="9"/>
      <c r="N951" s="9"/>
    </row>
    <row r="952" spans="1:14" x14ac:dyDescent="0.25">
      <c r="A952" s="8" t="s">
        <v>804</v>
      </c>
      <c r="B952" s="9">
        <v>1</v>
      </c>
      <c r="C952" s="9">
        <v>1</v>
      </c>
      <c r="D952" s="9">
        <v>1</v>
      </c>
      <c r="E952" s="9"/>
      <c r="F952" s="9"/>
      <c r="G952" s="9"/>
      <c r="H952" s="9"/>
      <c r="I952" s="9"/>
      <c r="J952" s="9"/>
      <c r="K952" s="9"/>
      <c r="L952" s="9">
        <v>1</v>
      </c>
      <c r="M952" s="9"/>
      <c r="N952" s="9"/>
    </row>
    <row r="953" spans="1:14" x14ac:dyDescent="0.25">
      <c r="A953" s="8" t="s">
        <v>1120</v>
      </c>
      <c r="B953" s="9">
        <v>1</v>
      </c>
      <c r="C953" s="9">
        <v>1</v>
      </c>
      <c r="D953" s="9"/>
      <c r="E953" s="9"/>
      <c r="F953" s="9"/>
      <c r="G953" s="9"/>
      <c r="H953" s="9"/>
      <c r="I953" s="9"/>
      <c r="J953" s="9"/>
      <c r="K953" s="9"/>
      <c r="L953" s="9"/>
      <c r="M953" s="9"/>
      <c r="N953" s="9">
        <v>1</v>
      </c>
    </row>
    <row r="954" spans="1:14" ht="60" x14ac:dyDescent="0.25">
      <c r="A954" s="8" t="s">
        <v>756</v>
      </c>
      <c r="B954" s="9">
        <v>1</v>
      </c>
      <c r="C954" s="9">
        <v>1</v>
      </c>
      <c r="D954" s="9"/>
      <c r="E954" s="9"/>
      <c r="F954" s="9"/>
      <c r="G954" s="9"/>
      <c r="H954" s="9"/>
      <c r="I954" s="9"/>
      <c r="J954" s="9"/>
      <c r="K954" s="9"/>
      <c r="L954" s="9"/>
      <c r="M954" s="9"/>
      <c r="N954" s="9">
        <v>1</v>
      </c>
    </row>
    <row r="955" spans="1:14" x14ac:dyDescent="0.25">
      <c r="A955" s="8" t="s">
        <v>804</v>
      </c>
      <c r="B955" s="9">
        <v>1</v>
      </c>
      <c r="C955" s="9">
        <v>1</v>
      </c>
      <c r="D955" s="9"/>
      <c r="E955" s="9"/>
      <c r="F955" s="9"/>
      <c r="G955" s="9"/>
      <c r="H955" s="9"/>
      <c r="I955" s="9"/>
      <c r="J955" s="9"/>
      <c r="K955" s="9"/>
      <c r="L955" s="9"/>
      <c r="M955" s="9"/>
      <c r="N955" s="9">
        <v>1</v>
      </c>
    </row>
    <row r="956" spans="1:14" x14ac:dyDescent="0.25">
      <c r="A956" s="8" t="s">
        <v>1121</v>
      </c>
      <c r="B956" s="9">
        <v>1</v>
      </c>
      <c r="C956" s="9">
        <v>1</v>
      </c>
      <c r="D956" s="9">
        <v>1</v>
      </c>
      <c r="E956" s="9">
        <v>1</v>
      </c>
      <c r="F956" s="9">
        <v>1</v>
      </c>
      <c r="G956" s="9"/>
      <c r="H956" s="9"/>
      <c r="I956" s="9"/>
      <c r="J956" s="9">
        <v>1</v>
      </c>
      <c r="K956" s="9"/>
      <c r="L956" s="9"/>
      <c r="M956" s="9"/>
      <c r="N956" s="9"/>
    </row>
    <row r="957" spans="1:14" ht="90" x14ac:dyDescent="0.25">
      <c r="A957" s="8" t="s">
        <v>757</v>
      </c>
      <c r="B957" s="9">
        <v>1</v>
      </c>
      <c r="C957" s="9">
        <v>1</v>
      </c>
      <c r="D957" s="9">
        <v>1</v>
      </c>
      <c r="E957" s="9">
        <v>1</v>
      </c>
      <c r="F957" s="9">
        <v>1</v>
      </c>
      <c r="G957" s="9"/>
      <c r="H957" s="9"/>
      <c r="I957" s="9"/>
      <c r="J957" s="9">
        <v>1</v>
      </c>
      <c r="K957" s="9"/>
      <c r="L957" s="9"/>
      <c r="M957" s="9"/>
      <c r="N957" s="9"/>
    </row>
    <row r="958" spans="1:14" x14ac:dyDescent="0.25">
      <c r="A958" s="8" t="s">
        <v>804</v>
      </c>
      <c r="B958" s="9">
        <v>1</v>
      </c>
      <c r="C958" s="9">
        <v>1</v>
      </c>
      <c r="D958" s="9">
        <v>1</v>
      </c>
      <c r="E958" s="9">
        <v>1</v>
      </c>
      <c r="F958" s="9">
        <v>1</v>
      </c>
      <c r="G958" s="9"/>
      <c r="H958" s="9"/>
      <c r="I958" s="9"/>
      <c r="J958" s="9">
        <v>1</v>
      </c>
      <c r="K958" s="9"/>
      <c r="L958" s="9"/>
      <c r="M958" s="9"/>
      <c r="N958" s="9"/>
    </row>
    <row r="959" spans="1:14" x14ac:dyDescent="0.25">
      <c r="A959" s="8" t="s">
        <v>1122</v>
      </c>
      <c r="B959" s="9">
        <v>1</v>
      </c>
      <c r="C959" s="9">
        <v>1</v>
      </c>
      <c r="D959" s="9">
        <v>1</v>
      </c>
      <c r="E959" s="9">
        <v>1</v>
      </c>
      <c r="F959" s="9"/>
      <c r="G959" s="9">
        <v>1</v>
      </c>
      <c r="H959" s="9"/>
      <c r="I959" s="9"/>
      <c r="J959" s="9"/>
      <c r="K959" s="9"/>
      <c r="L959" s="9">
        <v>1</v>
      </c>
      <c r="M959" s="9"/>
      <c r="N959" s="9"/>
    </row>
    <row r="960" spans="1:14" ht="60" x14ac:dyDescent="0.25">
      <c r="A960" s="8" t="s">
        <v>758</v>
      </c>
      <c r="B960" s="9">
        <v>1</v>
      </c>
      <c r="C960" s="9">
        <v>1</v>
      </c>
      <c r="D960" s="9">
        <v>1</v>
      </c>
      <c r="E960" s="9">
        <v>1</v>
      </c>
      <c r="F960" s="9"/>
      <c r="G960" s="9">
        <v>1</v>
      </c>
      <c r="H960" s="9"/>
      <c r="I960" s="9"/>
      <c r="J960" s="9"/>
      <c r="K960" s="9"/>
      <c r="L960" s="9">
        <v>1</v>
      </c>
      <c r="M960" s="9"/>
      <c r="N960" s="9"/>
    </row>
    <row r="961" spans="1:14" x14ac:dyDescent="0.25">
      <c r="A961" s="8" t="s">
        <v>804</v>
      </c>
      <c r="B961" s="9">
        <v>1</v>
      </c>
      <c r="C961" s="9">
        <v>1</v>
      </c>
      <c r="D961" s="9">
        <v>1</v>
      </c>
      <c r="E961" s="9">
        <v>1</v>
      </c>
      <c r="F961" s="9"/>
      <c r="G961" s="9">
        <v>1</v>
      </c>
      <c r="H961" s="9"/>
      <c r="I961" s="9"/>
      <c r="J961" s="9"/>
      <c r="K961" s="9"/>
      <c r="L961" s="9">
        <v>1</v>
      </c>
      <c r="M961" s="9"/>
      <c r="N961" s="9"/>
    </row>
    <row r="962" spans="1:14" x14ac:dyDescent="0.25">
      <c r="A962" s="8" t="s">
        <v>1123</v>
      </c>
      <c r="B962" s="9">
        <v>1</v>
      </c>
      <c r="C962" s="9">
        <v>1</v>
      </c>
      <c r="D962" s="9">
        <v>1</v>
      </c>
      <c r="E962" s="9"/>
      <c r="F962" s="9"/>
      <c r="G962" s="9"/>
      <c r="H962" s="9"/>
      <c r="I962" s="9"/>
      <c r="J962" s="9"/>
      <c r="K962" s="9"/>
      <c r="L962" s="9">
        <v>1</v>
      </c>
      <c r="M962" s="9"/>
      <c r="N962" s="9"/>
    </row>
    <row r="963" spans="1:14" ht="75" x14ac:dyDescent="0.25">
      <c r="A963" s="8" t="s">
        <v>759</v>
      </c>
      <c r="B963" s="9">
        <v>1</v>
      </c>
      <c r="C963" s="9">
        <v>1</v>
      </c>
      <c r="D963" s="9">
        <v>1</v>
      </c>
      <c r="E963" s="9"/>
      <c r="F963" s="9"/>
      <c r="G963" s="9"/>
      <c r="H963" s="9"/>
      <c r="I963" s="9"/>
      <c r="J963" s="9"/>
      <c r="K963" s="9"/>
      <c r="L963" s="9">
        <v>1</v>
      </c>
      <c r="M963" s="9"/>
      <c r="N963" s="9"/>
    </row>
    <row r="964" spans="1:14" x14ac:dyDescent="0.25">
      <c r="A964" s="8" t="s">
        <v>804</v>
      </c>
      <c r="B964" s="9">
        <v>1</v>
      </c>
      <c r="C964" s="9">
        <v>1</v>
      </c>
      <c r="D964" s="9">
        <v>1</v>
      </c>
      <c r="E964" s="9"/>
      <c r="F964" s="9"/>
      <c r="G964" s="9"/>
      <c r="H964" s="9"/>
      <c r="I964" s="9"/>
      <c r="J964" s="9"/>
      <c r="K964" s="9"/>
      <c r="L964" s="9">
        <v>1</v>
      </c>
      <c r="M964" s="9"/>
      <c r="N964" s="9"/>
    </row>
    <row r="965" spans="1:14" x14ac:dyDescent="0.25">
      <c r="A965" s="8" t="s">
        <v>1124</v>
      </c>
      <c r="B965" s="9">
        <v>1</v>
      </c>
      <c r="C965" s="9">
        <v>1</v>
      </c>
      <c r="D965" s="9"/>
      <c r="E965" s="9"/>
      <c r="F965" s="9"/>
      <c r="G965" s="9"/>
      <c r="H965" s="9"/>
      <c r="I965" s="9"/>
      <c r="J965" s="9"/>
      <c r="K965" s="9"/>
      <c r="L965" s="9"/>
      <c r="M965" s="9"/>
      <c r="N965" s="9">
        <v>1</v>
      </c>
    </row>
    <row r="966" spans="1:14" ht="45" x14ac:dyDescent="0.25">
      <c r="A966" s="8" t="s">
        <v>760</v>
      </c>
      <c r="B966" s="9">
        <v>1</v>
      </c>
      <c r="C966" s="9">
        <v>1</v>
      </c>
      <c r="D966" s="9"/>
      <c r="E966" s="9"/>
      <c r="F966" s="9"/>
      <c r="G966" s="9"/>
      <c r="H966" s="9"/>
      <c r="I966" s="9"/>
      <c r="J966" s="9"/>
      <c r="K966" s="9"/>
      <c r="L966" s="9"/>
      <c r="M966" s="9"/>
      <c r="N966" s="9">
        <v>1</v>
      </c>
    </row>
    <row r="967" spans="1:14" x14ac:dyDescent="0.25">
      <c r="A967" s="8" t="s">
        <v>804</v>
      </c>
      <c r="B967" s="9">
        <v>1</v>
      </c>
      <c r="C967" s="9">
        <v>1</v>
      </c>
      <c r="D967" s="9"/>
      <c r="E967" s="9"/>
      <c r="F967" s="9"/>
      <c r="G967" s="9"/>
      <c r="H967" s="9"/>
      <c r="I967" s="9"/>
      <c r="J967" s="9"/>
      <c r="K967" s="9"/>
      <c r="L967" s="9"/>
      <c r="M967" s="9"/>
      <c r="N967" s="9">
        <v>1</v>
      </c>
    </row>
    <row r="968" spans="1:14" x14ac:dyDescent="0.25">
      <c r="A968" s="8" t="s">
        <v>1125</v>
      </c>
      <c r="B968" s="9">
        <v>1</v>
      </c>
      <c r="C968" s="9">
        <v>1</v>
      </c>
      <c r="D968" s="9"/>
      <c r="E968" s="9"/>
      <c r="F968" s="9"/>
      <c r="G968" s="9"/>
      <c r="H968" s="9"/>
      <c r="I968" s="9"/>
      <c r="J968" s="9"/>
      <c r="K968" s="9"/>
      <c r="L968" s="9">
        <v>1</v>
      </c>
      <c r="M968" s="9"/>
      <c r="N968" s="9"/>
    </row>
    <row r="969" spans="1:14" ht="60" x14ac:dyDescent="0.25">
      <c r="A969" s="8" t="s">
        <v>762</v>
      </c>
      <c r="B969" s="9">
        <v>1</v>
      </c>
      <c r="C969" s="9">
        <v>1</v>
      </c>
      <c r="D969" s="9"/>
      <c r="E969" s="9"/>
      <c r="F969" s="9"/>
      <c r="G969" s="9"/>
      <c r="H969" s="9"/>
      <c r="I969" s="9"/>
      <c r="J969" s="9"/>
      <c r="K969" s="9"/>
      <c r="L969" s="9">
        <v>1</v>
      </c>
      <c r="M969" s="9"/>
      <c r="N969" s="9"/>
    </row>
    <row r="970" spans="1:14" x14ac:dyDescent="0.25">
      <c r="A970" s="8" t="s">
        <v>804</v>
      </c>
      <c r="B970" s="9">
        <v>1</v>
      </c>
      <c r="C970" s="9">
        <v>1</v>
      </c>
      <c r="D970" s="9"/>
      <c r="E970" s="9"/>
      <c r="F970" s="9"/>
      <c r="G970" s="9"/>
      <c r="H970" s="9"/>
      <c r="I970" s="9"/>
      <c r="J970" s="9"/>
      <c r="K970" s="9"/>
      <c r="L970" s="9">
        <v>1</v>
      </c>
      <c r="M970" s="9"/>
      <c r="N970" s="9"/>
    </row>
    <row r="971" spans="1:14" x14ac:dyDescent="0.25">
      <c r="A971" s="8" t="s">
        <v>1126</v>
      </c>
      <c r="B971" s="9">
        <v>1</v>
      </c>
      <c r="C971" s="9">
        <v>1</v>
      </c>
      <c r="D971" s="9"/>
      <c r="E971" s="9"/>
      <c r="F971" s="9"/>
      <c r="G971" s="9"/>
      <c r="H971" s="9"/>
      <c r="I971" s="9"/>
      <c r="J971" s="9"/>
      <c r="K971" s="9"/>
      <c r="L971" s="9"/>
      <c r="M971" s="9"/>
      <c r="N971" s="9">
        <v>1</v>
      </c>
    </row>
    <row r="972" spans="1:14" ht="30" x14ac:dyDescent="0.25">
      <c r="A972" s="8" t="s">
        <v>764</v>
      </c>
      <c r="B972" s="9">
        <v>1</v>
      </c>
      <c r="C972" s="9">
        <v>1</v>
      </c>
      <c r="D972" s="9"/>
      <c r="E972" s="9"/>
      <c r="F972" s="9"/>
      <c r="G972" s="9"/>
      <c r="H972" s="9"/>
      <c r="I972" s="9"/>
      <c r="J972" s="9"/>
      <c r="K972" s="9"/>
      <c r="L972" s="9"/>
      <c r="M972" s="9"/>
      <c r="N972" s="9">
        <v>1</v>
      </c>
    </row>
    <row r="973" spans="1:14" x14ac:dyDescent="0.25">
      <c r="A973" s="8" t="s">
        <v>804</v>
      </c>
      <c r="B973" s="9">
        <v>1</v>
      </c>
      <c r="C973" s="9">
        <v>1</v>
      </c>
      <c r="D973" s="9"/>
      <c r="E973" s="9"/>
      <c r="F973" s="9"/>
      <c r="G973" s="9"/>
      <c r="H973" s="9"/>
      <c r="I973" s="9"/>
      <c r="J973" s="9"/>
      <c r="K973" s="9"/>
      <c r="L973" s="9"/>
      <c r="M973" s="9"/>
      <c r="N973" s="9">
        <v>1</v>
      </c>
    </row>
    <row r="974" spans="1:14" x14ac:dyDescent="0.25">
      <c r="A974" s="8" t="s">
        <v>1127</v>
      </c>
      <c r="B974" s="9">
        <v>1</v>
      </c>
      <c r="C974" s="9">
        <v>1</v>
      </c>
      <c r="D974" s="9"/>
      <c r="E974" s="9"/>
      <c r="F974" s="9"/>
      <c r="G974" s="9"/>
      <c r="H974" s="9"/>
      <c r="I974" s="9"/>
      <c r="J974" s="9"/>
      <c r="K974" s="9"/>
      <c r="L974" s="9"/>
      <c r="M974" s="9"/>
      <c r="N974" s="9">
        <v>1</v>
      </c>
    </row>
    <row r="975" spans="1:14" ht="30" x14ac:dyDescent="0.25">
      <c r="A975" s="8" t="s">
        <v>765</v>
      </c>
      <c r="B975" s="9">
        <v>1</v>
      </c>
      <c r="C975" s="9">
        <v>1</v>
      </c>
      <c r="D975" s="9"/>
      <c r="E975" s="9"/>
      <c r="F975" s="9"/>
      <c r="G975" s="9"/>
      <c r="H975" s="9"/>
      <c r="I975" s="9"/>
      <c r="J975" s="9"/>
      <c r="K975" s="9"/>
      <c r="L975" s="9"/>
      <c r="M975" s="9"/>
      <c r="N975" s="9">
        <v>1</v>
      </c>
    </row>
    <row r="976" spans="1:14" x14ac:dyDescent="0.25">
      <c r="A976" s="8" t="s">
        <v>804</v>
      </c>
      <c r="B976" s="9">
        <v>1</v>
      </c>
      <c r="C976" s="9">
        <v>1</v>
      </c>
      <c r="D976" s="9"/>
      <c r="E976" s="9"/>
      <c r="F976" s="9"/>
      <c r="G976" s="9"/>
      <c r="H976" s="9"/>
      <c r="I976" s="9"/>
      <c r="J976" s="9"/>
      <c r="K976" s="9"/>
      <c r="L976" s="9"/>
      <c r="M976" s="9"/>
      <c r="N976" s="9">
        <v>1</v>
      </c>
    </row>
    <row r="977" spans="1:14" x14ac:dyDescent="0.25">
      <c r="A977" s="8" t="s">
        <v>1128</v>
      </c>
      <c r="B977" s="9">
        <v>1</v>
      </c>
      <c r="C977" s="9">
        <v>1</v>
      </c>
      <c r="D977" s="9"/>
      <c r="E977" s="9"/>
      <c r="F977" s="9"/>
      <c r="G977" s="9"/>
      <c r="H977" s="9"/>
      <c r="I977" s="9"/>
      <c r="J977" s="9"/>
      <c r="K977" s="9"/>
      <c r="L977" s="9"/>
      <c r="M977" s="9"/>
      <c r="N977" s="9">
        <v>1</v>
      </c>
    </row>
    <row r="978" spans="1:14" ht="45" x14ac:dyDescent="0.25">
      <c r="A978" s="8" t="s">
        <v>766</v>
      </c>
      <c r="B978" s="9">
        <v>1</v>
      </c>
      <c r="C978" s="9">
        <v>1</v>
      </c>
      <c r="D978" s="9"/>
      <c r="E978" s="9"/>
      <c r="F978" s="9"/>
      <c r="G978" s="9"/>
      <c r="H978" s="9"/>
      <c r="I978" s="9"/>
      <c r="J978" s="9"/>
      <c r="K978" s="9"/>
      <c r="L978" s="9"/>
      <c r="M978" s="9"/>
      <c r="N978" s="9">
        <v>1</v>
      </c>
    </row>
    <row r="979" spans="1:14" x14ac:dyDescent="0.25">
      <c r="A979" s="8" t="s">
        <v>804</v>
      </c>
      <c r="B979" s="9">
        <v>1</v>
      </c>
      <c r="C979" s="9">
        <v>1</v>
      </c>
      <c r="D979" s="9"/>
      <c r="E979" s="9"/>
      <c r="F979" s="9"/>
      <c r="G979" s="9"/>
      <c r="H979" s="9"/>
      <c r="I979" s="9"/>
      <c r="J979" s="9"/>
      <c r="K979" s="9"/>
      <c r="L979" s="9"/>
      <c r="M979" s="9"/>
      <c r="N979" s="9">
        <v>1</v>
      </c>
    </row>
    <row r="980" spans="1:14" x14ac:dyDescent="0.25">
      <c r="A980" s="8" t="s">
        <v>1129</v>
      </c>
      <c r="B980" s="9">
        <v>1</v>
      </c>
      <c r="C980" s="9">
        <v>1</v>
      </c>
      <c r="D980" s="9"/>
      <c r="E980" s="9"/>
      <c r="F980" s="9"/>
      <c r="G980" s="9"/>
      <c r="H980" s="9"/>
      <c r="I980" s="9"/>
      <c r="J980" s="9"/>
      <c r="K980" s="9"/>
      <c r="L980" s="9"/>
      <c r="M980" s="9">
        <v>1</v>
      </c>
      <c r="N980" s="9"/>
    </row>
    <row r="981" spans="1:14" ht="30" x14ac:dyDescent="0.25">
      <c r="A981" s="8" t="s">
        <v>767</v>
      </c>
      <c r="B981" s="9">
        <v>1</v>
      </c>
      <c r="C981" s="9">
        <v>1</v>
      </c>
      <c r="D981" s="9"/>
      <c r="E981" s="9"/>
      <c r="F981" s="9"/>
      <c r="G981" s="9"/>
      <c r="H981" s="9"/>
      <c r="I981" s="9"/>
      <c r="J981" s="9"/>
      <c r="K981" s="9"/>
      <c r="L981" s="9"/>
      <c r="M981" s="9">
        <v>1</v>
      </c>
      <c r="N981" s="9"/>
    </row>
    <row r="982" spans="1:14" x14ac:dyDescent="0.25">
      <c r="A982" s="8" t="s">
        <v>804</v>
      </c>
      <c r="B982" s="9">
        <v>1</v>
      </c>
      <c r="C982" s="9">
        <v>1</v>
      </c>
      <c r="D982" s="9"/>
      <c r="E982" s="9"/>
      <c r="F982" s="9"/>
      <c r="G982" s="9"/>
      <c r="H982" s="9"/>
      <c r="I982" s="9"/>
      <c r="J982" s="9"/>
      <c r="K982" s="9"/>
      <c r="L982" s="9"/>
      <c r="M982" s="9">
        <v>1</v>
      </c>
      <c r="N982" s="9"/>
    </row>
    <row r="983" spans="1:14" x14ac:dyDescent="0.25">
      <c r="A983" s="8" t="s">
        <v>1130</v>
      </c>
      <c r="B983" s="9">
        <v>1</v>
      </c>
      <c r="C983" s="9">
        <v>1</v>
      </c>
      <c r="D983" s="9"/>
      <c r="E983" s="9"/>
      <c r="F983" s="9"/>
      <c r="G983" s="9"/>
      <c r="H983" s="9"/>
      <c r="I983" s="9"/>
      <c r="J983" s="9"/>
      <c r="K983" s="9"/>
      <c r="L983" s="9"/>
      <c r="M983" s="9"/>
      <c r="N983" s="9">
        <v>1</v>
      </c>
    </row>
    <row r="984" spans="1:14" ht="30" x14ac:dyDescent="0.25">
      <c r="A984" s="8" t="s">
        <v>768</v>
      </c>
      <c r="B984" s="9">
        <v>1</v>
      </c>
      <c r="C984" s="9">
        <v>1</v>
      </c>
      <c r="D984" s="9"/>
      <c r="E984" s="9"/>
      <c r="F984" s="9"/>
      <c r="G984" s="9"/>
      <c r="H984" s="9"/>
      <c r="I984" s="9"/>
      <c r="J984" s="9"/>
      <c r="K984" s="9"/>
      <c r="L984" s="9"/>
      <c r="M984" s="9"/>
      <c r="N984" s="9">
        <v>1</v>
      </c>
    </row>
    <row r="985" spans="1:14" x14ac:dyDescent="0.25">
      <c r="A985" s="8" t="s">
        <v>804</v>
      </c>
      <c r="B985" s="9">
        <v>1</v>
      </c>
      <c r="C985" s="9">
        <v>1</v>
      </c>
      <c r="D985" s="9"/>
      <c r="E985" s="9"/>
      <c r="F985" s="9"/>
      <c r="G985" s="9"/>
      <c r="H985" s="9"/>
      <c r="I985" s="9"/>
      <c r="J985" s="9"/>
      <c r="K985" s="9"/>
      <c r="L985" s="9"/>
      <c r="M985" s="9"/>
      <c r="N985" s="9">
        <v>1</v>
      </c>
    </row>
    <row r="986" spans="1:14" x14ac:dyDescent="0.25">
      <c r="A986" s="8" t="s">
        <v>1131</v>
      </c>
      <c r="B986" s="9">
        <v>1</v>
      </c>
      <c r="C986" s="9">
        <v>1</v>
      </c>
      <c r="D986" s="9"/>
      <c r="E986" s="9"/>
      <c r="F986" s="9"/>
      <c r="G986" s="9"/>
      <c r="H986" s="9"/>
      <c r="I986" s="9"/>
      <c r="J986" s="9"/>
      <c r="K986" s="9"/>
      <c r="L986" s="9"/>
      <c r="M986" s="9"/>
      <c r="N986" s="9">
        <v>1</v>
      </c>
    </row>
    <row r="987" spans="1:14" ht="75" x14ac:dyDescent="0.25">
      <c r="A987" s="8" t="s">
        <v>769</v>
      </c>
      <c r="B987" s="9">
        <v>1</v>
      </c>
      <c r="C987" s="9">
        <v>1</v>
      </c>
      <c r="D987" s="9"/>
      <c r="E987" s="9"/>
      <c r="F987" s="9"/>
      <c r="G987" s="9"/>
      <c r="H987" s="9"/>
      <c r="I987" s="9"/>
      <c r="J987" s="9"/>
      <c r="K987" s="9"/>
      <c r="L987" s="9"/>
      <c r="M987" s="9"/>
      <c r="N987" s="9">
        <v>1</v>
      </c>
    </row>
    <row r="988" spans="1:14" x14ac:dyDescent="0.25">
      <c r="A988" s="8" t="s">
        <v>804</v>
      </c>
      <c r="B988" s="9">
        <v>1</v>
      </c>
      <c r="C988" s="9">
        <v>1</v>
      </c>
      <c r="D988" s="9"/>
      <c r="E988" s="9"/>
      <c r="F988" s="9"/>
      <c r="G988" s="9"/>
      <c r="H988" s="9"/>
      <c r="I988" s="9"/>
      <c r="J988" s="9"/>
      <c r="K988" s="9"/>
      <c r="L988" s="9"/>
      <c r="M988" s="9"/>
      <c r="N988" s="9">
        <v>1</v>
      </c>
    </row>
    <row r="989" spans="1:14" x14ac:dyDescent="0.25">
      <c r="A989" s="8" t="s">
        <v>1132</v>
      </c>
      <c r="B989" s="9">
        <v>1</v>
      </c>
      <c r="C989" s="9">
        <v>1</v>
      </c>
      <c r="D989" s="9"/>
      <c r="E989" s="9"/>
      <c r="F989" s="9"/>
      <c r="G989" s="9"/>
      <c r="H989" s="9"/>
      <c r="I989" s="9"/>
      <c r="J989" s="9"/>
      <c r="K989" s="9"/>
      <c r="L989" s="9"/>
      <c r="M989" s="9"/>
      <c r="N989" s="9">
        <v>1</v>
      </c>
    </row>
    <row r="990" spans="1:14" ht="30" x14ac:dyDescent="0.25">
      <c r="A990" s="8" t="s">
        <v>770</v>
      </c>
      <c r="B990" s="9">
        <v>1</v>
      </c>
      <c r="C990" s="9">
        <v>1</v>
      </c>
      <c r="D990" s="9"/>
      <c r="E990" s="9"/>
      <c r="F990" s="9"/>
      <c r="G990" s="9"/>
      <c r="H990" s="9"/>
      <c r="I990" s="9"/>
      <c r="J990" s="9"/>
      <c r="K990" s="9"/>
      <c r="L990" s="9"/>
      <c r="M990" s="9"/>
      <c r="N990" s="9">
        <v>1</v>
      </c>
    </row>
    <row r="991" spans="1:14" x14ac:dyDescent="0.25">
      <c r="A991" s="8" t="s">
        <v>804</v>
      </c>
      <c r="B991" s="9">
        <v>1</v>
      </c>
      <c r="C991" s="9">
        <v>1</v>
      </c>
      <c r="D991" s="9"/>
      <c r="E991" s="9"/>
      <c r="F991" s="9"/>
      <c r="G991" s="9"/>
      <c r="H991" s="9"/>
      <c r="I991" s="9"/>
      <c r="J991" s="9"/>
      <c r="K991" s="9"/>
      <c r="L991" s="9"/>
      <c r="M991" s="9"/>
      <c r="N991" s="9">
        <v>1</v>
      </c>
    </row>
    <row r="992" spans="1:14" x14ac:dyDescent="0.25">
      <c r="A992" s="8" t="s">
        <v>1133</v>
      </c>
      <c r="B992" s="9">
        <v>1</v>
      </c>
      <c r="C992" s="9">
        <v>1</v>
      </c>
      <c r="D992" s="9"/>
      <c r="E992" s="9"/>
      <c r="F992" s="9"/>
      <c r="G992" s="9"/>
      <c r="H992" s="9"/>
      <c r="I992" s="9"/>
      <c r="J992" s="9"/>
      <c r="K992" s="9"/>
      <c r="L992" s="9"/>
      <c r="M992" s="9"/>
      <c r="N992" s="9">
        <v>1</v>
      </c>
    </row>
    <row r="993" spans="1:14" ht="45" x14ac:dyDescent="0.25">
      <c r="A993" s="8" t="s">
        <v>771</v>
      </c>
      <c r="B993" s="9">
        <v>1</v>
      </c>
      <c r="C993" s="9">
        <v>1</v>
      </c>
      <c r="D993" s="9"/>
      <c r="E993" s="9"/>
      <c r="F993" s="9"/>
      <c r="G993" s="9"/>
      <c r="H993" s="9"/>
      <c r="I993" s="9"/>
      <c r="J993" s="9"/>
      <c r="K993" s="9"/>
      <c r="L993" s="9"/>
      <c r="M993" s="9"/>
      <c r="N993" s="9">
        <v>1</v>
      </c>
    </row>
    <row r="994" spans="1:14" x14ac:dyDescent="0.25">
      <c r="A994" s="8" t="s">
        <v>804</v>
      </c>
      <c r="B994" s="9">
        <v>1</v>
      </c>
      <c r="C994" s="9">
        <v>1</v>
      </c>
      <c r="D994" s="9"/>
      <c r="E994" s="9"/>
      <c r="F994" s="9"/>
      <c r="G994" s="9"/>
      <c r="H994" s="9"/>
      <c r="I994" s="9"/>
      <c r="J994" s="9"/>
      <c r="K994" s="9"/>
      <c r="L994" s="9"/>
      <c r="M994" s="9"/>
      <c r="N994" s="9">
        <v>1</v>
      </c>
    </row>
    <row r="995" spans="1:14" x14ac:dyDescent="0.25">
      <c r="A995" s="8" t="s">
        <v>1134</v>
      </c>
      <c r="B995" s="9">
        <v>1</v>
      </c>
      <c r="C995" s="9">
        <v>1</v>
      </c>
      <c r="D995" s="9"/>
      <c r="E995" s="9"/>
      <c r="F995" s="9"/>
      <c r="G995" s="9"/>
      <c r="H995" s="9"/>
      <c r="I995" s="9"/>
      <c r="J995" s="9"/>
      <c r="K995" s="9"/>
      <c r="L995" s="9"/>
      <c r="M995" s="9"/>
      <c r="N995" s="9">
        <v>1</v>
      </c>
    </row>
    <row r="996" spans="1:14" ht="30" x14ac:dyDescent="0.25">
      <c r="A996" s="8" t="s">
        <v>772</v>
      </c>
      <c r="B996" s="9">
        <v>1</v>
      </c>
      <c r="C996" s="9">
        <v>1</v>
      </c>
      <c r="D996" s="9"/>
      <c r="E996" s="9"/>
      <c r="F996" s="9"/>
      <c r="G996" s="9"/>
      <c r="H996" s="9"/>
      <c r="I996" s="9"/>
      <c r="J996" s="9"/>
      <c r="K996" s="9"/>
      <c r="L996" s="9"/>
      <c r="M996" s="9"/>
      <c r="N996" s="9">
        <v>1</v>
      </c>
    </row>
    <row r="997" spans="1:14" x14ac:dyDescent="0.25">
      <c r="A997" s="8" t="s">
        <v>804</v>
      </c>
      <c r="B997" s="9">
        <v>1</v>
      </c>
      <c r="C997" s="9">
        <v>1</v>
      </c>
      <c r="D997" s="9"/>
      <c r="E997" s="9"/>
      <c r="F997" s="9"/>
      <c r="G997" s="9"/>
      <c r="H997" s="9"/>
      <c r="I997" s="9"/>
      <c r="J997" s="9"/>
      <c r="K997" s="9"/>
      <c r="L997" s="9"/>
      <c r="M997" s="9"/>
      <c r="N997" s="9">
        <v>1</v>
      </c>
    </row>
    <row r="998" spans="1:14" x14ac:dyDescent="0.25">
      <c r="A998" s="8" t="s">
        <v>1135</v>
      </c>
      <c r="B998" s="9">
        <v>1</v>
      </c>
      <c r="C998" s="9">
        <v>1</v>
      </c>
      <c r="D998" s="9"/>
      <c r="E998" s="9"/>
      <c r="F998" s="9"/>
      <c r="G998" s="9"/>
      <c r="H998" s="9"/>
      <c r="I998" s="9"/>
      <c r="J998" s="9"/>
      <c r="K998" s="9"/>
      <c r="L998" s="9"/>
      <c r="M998" s="9"/>
      <c r="N998" s="9">
        <v>1</v>
      </c>
    </row>
    <row r="999" spans="1:14" ht="90" x14ac:dyDescent="0.25">
      <c r="A999" s="8" t="s">
        <v>775</v>
      </c>
      <c r="B999" s="9">
        <v>1</v>
      </c>
      <c r="C999" s="9">
        <v>1</v>
      </c>
      <c r="D999" s="9"/>
      <c r="E999" s="9"/>
      <c r="F999" s="9"/>
      <c r="G999" s="9"/>
      <c r="H999" s="9"/>
      <c r="I999" s="9"/>
      <c r="J999" s="9"/>
      <c r="K999" s="9"/>
      <c r="L999" s="9"/>
      <c r="M999" s="9"/>
      <c r="N999" s="9">
        <v>1</v>
      </c>
    </row>
    <row r="1000" spans="1:14" x14ac:dyDescent="0.25">
      <c r="A1000" s="8" t="s">
        <v>804</v>
      </c>
      <c r="B1000" s="9">
        <v>1</v>
      </c>
      <c r="C1000" s="9">
        <v>1</v>
      </c>
      <c r="D1000" s="9"/>
      <c r="E1000" s="9"/>
      <c r="F1000" s="9"/>
      <c r="G1000" s="9"/>
      <c r="H1000" s="9"/>
      <c r="I1000" s="9"/>
      <c r="J1000" s="9"/>
      <c r="K1000" s="9"/>
      <c r="L1000" s="9"/>
      <c r="M1000" s="9"/>
      <c r="N1000" s="9">
        <v>1</v>
      </c>
    </row>
    <row r="1001" spans="1:14" x14ac:dyDescent="0.25">
      <c r="A1001" s="8" t="s">
        <v>1136</v>
      </c>
      <c r="B1001" s="9">
        <v>1</v>
      </c>
      <c r="C1001" s="9">
        <v>1</v>
      </c>
      <c r="D1001" s="9"/>
      <c r="E1001" s="9"/>
      <c r="F1001" s="9"/>
      <c r="G1001" s="9"/>
      <c r="H1001" s="9"/>
      <c r="I1001" s="9"/>
      <c r="J1001" s="9"/>
      <c r="K1001" s="9"/>
      <c r="L1001" s="9">
        <v>1</v>
      </c>
      <c r="M1001" s="9"/>
      <c r="N1001" s="9"/>
    </row>
    <row r="1002" spans="1:14" ht="30" x14ac:dyDescent="0.25">
      <c r="A1002" s="8" t="s">
        <v>777</v>
      </c>
      <c r="B1002" s="9">
        <v>1</v>
      </c>
      <c r="C1002" s="9">
        <v>1</v>
      </c>
      <c r="D1002" s="9"/>
      <c r="E1002" s="9"/>
      <c r="F1002" s="9"/>
      <c r="G1002" s="9"/>
      <c r="H1002" s="9"/>
      <c r="I1002" s="9"/>
      <c r="J1002" s="9"/>
      <c r="K1002" s="9"/>
      <c r="L1002" s="9">
        <v>1</v>
      </c>
      <c r="M1002" s="9"/>
      <c r="N1002" s="9"/>
    </row>
    <row r="1003" spans="1:14" x14ac:dyDescent="0.25">
      <c r="A1003" s="8" t="s">
        <v>804</v>
      </c>
      <c r="B1003" s="9">
        <v>1</v>
      </c>
      <c r="C1003" s="9">
        <v>1</v>
      </c>
      <c r="D1003" s="9"/>
      <c r="E1003" s="9"/>
      <c r="F1003" s="9"/>
      <c r="G1003" s="9"/>
      <c r="H1003" s="9"/>
      <c r="I1003" s="9"/>
      <c r="J1003" s="9"/>
      <c r="K1003" s="9"/>
      <c r="L1003" s="9">
        <v>1</v>
      </c>
      <c r="M1003" s="9"/>
      <c r="N1003" s="9"/>
    </row>
    <row r="1004" spans="1:14" x14ac:dyDescent="0.25">
      <c r="A1004" s="8" t="s">
        <v>1137</v>
      </c>
      <c r="B1004" s="9">
        <v>1</v>
      </c>
      <c r="C1004" s="9">
        <v>1</v>
      </c>
      <c r="D1004" s="9"/>
      <c r="E1004" s="9"/>
      <c r="F1004" s="9"/>
      <c r="G1004" s="9"/>
      <c r="H1004" s="9"/>
      <c r="I1004" s="9"/>
      <c r="J1004" s="9"/>
      <c r="K1004" s="9"/>
      <c r="L1004" s="9"/>
      <c r="M1004" s="9"/>
      <c r="N1004" s="9">
        <v>1</v>
      </c>
    </row>
    <row r="1005" spans="1:14" ht="45" x14ac:dyDescent="0.25">
      <c r="A1005" s="8" t="s">
        <v>778</v>
      </c>
      <c r="B1005" s="9">
        <v>1</v>
      </c>
      <c r="C1005" s="9">
        <v>1</v>
      </c>
      <c r="D1005" s="9"/>
      <c r="E1005" s="9"/>
      <c r="F1005" s="9"/>
      <c r="G1005" s="9"/>
      <c r="H1005" s="9"/>
      <c r="I1005" s="9"/>
      <c r="J1005" s="9"/>
      <c r="K1005" s="9"/>
      <c r="L1005" s="9"/>
      <c r="M1005" s="9"/>
      <c r="N1005" s="9">
        <v>1</v>
      </c>
    </row>
    <row r="1006" spans="1:14" x14ac:dyDescent="0.25">
      <c r="A1006" s="8" t="s">
        <v>804</v>
      </c>
      <c r="B1006" s="9">
        <v>1</v>
      </c>
      <c r="C1006" s="9">
        <v>1</v>
      </c>
      <c r="D1006" s="9"/>
      <c r="E1006" s="9"/>
      <c r="F1006" s="9"/>
      <c r="G1006" s="9"/>
      <c r="H1006" s="9"/>
      <c r="I1006" s="9"/>
      <c r="J1006" s="9"/>
      <c r="K1006" s="9"/>
      <c r="L1006" s="9"/>
      <c r="M1006" s="9"/>
      <c r="N1006" s="9">
        <v>1</v>
      </c>
    </row>
    <row r="1007" spans="1:14" x14ac:dyDescent="0.25">
      <c r="A1007" s="8" t="s">
        <v>1138</v>
      </c>
      <c r="B1007" s="9">
        <v>1</v>
      </c>
      <c r="C1007" s="9">
        <v>1</v>
      </c>
      <c r="D1007" s="9"/>
      <c r="E1007" s="9"/>
      <c r="F1007" s="9"/>
      <c r="G1007" s="9"/>
      <c r="H1007" s="9"/>
      <c r="I1007" s="9"/>
      <c r="J1007" s="9"/>
      <c r="K1007" s="9"/>
      <c r="L1007" s="9">
        <v>1</v>
      </c>
      <c r="M1007" s="9"/>
      <c r="N1007" s="9"/>
    </row>
    <row r="1008" spans="1:14" ht="30" x14ac:dyDescent="0.25">
      <c r="A1008" s="8" t="s">
        <v>781</v>
      </c>
      <c r="B1008" s="9">
        <v>1</v>
      </c>
      <c r="C1008" s="9">
        <v>1</v>
      </c>
      <c r="D1008" s="9"/>
      <c r="E1008" s="9"/>
      <c r="F1008" s="9"/>
      <c r="G1008" s="9"/>
      <c r="H1008" s="9"/>
      <c r="I1008" s="9"/>
      <c r="J1008" s="9"/>
      <c r="K1008" s="9"/>
      <c r="L1008" s="9">
        <v>1</v>
      </c>
      <c r="M1008" s="9"/>
      <c r="N1008" s="9"/>
    </row>
    <row r="1009" spans="1:14" x14ac:dyDescent="0.25">
      <c r="A1009" s="8" t="s">
        <v>804</v>
      </c>
      <c r="B1009" s="9">
        <v>1</v>
      </c>
      <c r="C1009" s="9">
        <v>1</v>
      </c>
      <c r="D1009" s="9"/>
      <c r="E1009" s="9"/>
      <c r="F1009" s="9"/>
      <c r="G1009" s="9"/>
      <c r="H1009" s="9"/>
      <c r="I1009" s="9"/>
      <c r="J1009" s="9"/>
      <c r="K1009" s="9"/>
      <c r="L1009" s="9">
        <v>1</v>
      </c>
      <c r="M1009" s="9"/>
      <c r="N1009" s="9"/>
    </row>
    <row r="1010" spans="1:14" x14ac:dyDescent="0.25">
      <c r="A1010" s="8" t="s">
        <v>1139</v>
      </c>
      <c r="B1010" s="9">
        <v>1</v>
      </c>
      <c r="C1010" s="9">
        <v>1</v>
      </c>
      <c r="D1010" s="9"/>
      <c r="E1010" s="9"/>
      <c r="F1010" s="9"/>
      <c r="G1010" s="9"/>
      <c r="H1010" s="9"/>
      <c r="I1010" s="9"/>
      <c r="J1010" s="9"/>
      <c r="K1010" s="9">
        <v>1</v>
      </c>
      <c r="L1010" s="9"/>
      <c r="M1010" s="9"/>
      <c r="N1010" s="9"/>
    </row>
    <row r="1011" spans="1:14" ht="60" x14ac:dyDescent="0.25">
      <c r="A1011" s="8" t="s">
        <v>782</v>
      </c>
      <c r="B1011" s="9">
        <v>1</v>
      </c>
      <c r="C1011" s="9">
        <v>1</v>
      </c>
      <c r="D1011" s="9"/>
      <c r="E1011" s="9"/>
      <c r="F1011" s="9"/>
      <c r="G1011" s="9"/>
      <c r="H1011" s="9"/>
      <c r="I1011" s="9"/>
      <c r="J1011" s="9"/>
      <c r="K1011" s="9">
        <v>1</v>
      </c>
      <c r="L1011" s="9"/>
      <c r="M1011" s="9"/>
      <c r="N1011" s="9"/>
    </row>
    <row r="1012" spans="1:14" x14ac:dyDescent="0.25">
      <c r="A1012" s="8" t="s">
        <v>804</v>
      </c>
      <c r="B1012" s="9">
        <v>1</v>
      </c>
      <c r="C1012" s="9">
        <v>1</v>
      </c>
      <c r="D1012" s="9"/>
      <c r="E1012" s="9"/>
      <c r="F1012" s="9"/>
      <c r="G1012" s="9"/>
      <c r="H1012" s="9"/>
      <c r="I1012" s="9"/>
      <c r="J1012" s="9"/>
      <c r="K1012" s="9">
        <v>1</v>
      </c>
      <c r="L1012" s="9"/>
      <c r="M1012" s="9"/>
      <c r="N1012" s="9"/>
    </row>
    <row r="1013" spans="1:14" x14ac:dyDescent="0.25">
      <c r="A1013" s="8" t="s">
        <v>1140</v>
      </c>
      <c r="B1013" s="9">
        <v>1</v>
      </c>
      <c r="C1013" s="9">
        <v>1</v>
      </c>
      <c r="D1013" s="9"/>
      <c r="E1013" s="9"/>
      <c r="F1013" s="9"/>
      <c r="G1013" s="9"/>
      <c r="H1013" s="9"/>
      <c r="I1013" s="9"/>
      <c r="J1013" s="9"/>
      <c r="K1013" s="9"/>
      <c r="L1013" s="9"/>
      <c r="M1013" s="9"/>
      <c r="N1013" s="9">
        <v>1</v>
      </c>
    </row>
    <row r="1014" spans="1:14" ht="30" x14ac:dyDescent="0.25">
      <c r="A1014" s="8" t="s">
        <v>786</v>
      </c>
      <c r="B1014" s="9">
        <v>1</v>
      </c>
      <c r="C1014" s="9">
        <v>1</v>
      </c>
      <c r="D1014" s="9"/>
      <c r="E1014" s="9"/>
      <c r="F1014" s="9"/>
      <c r="G1014" s="9"/>
      <c r="H1014" s="9"/>
      <c r="I1014" s="9"/>
      <c r="J1014" s="9"/>
      <c r="K1014" s="9"/>
      <c r="L1014" s="9"/>
      <c r="M1014" s="9"/>
      <c r="N1014" s="9">
        <v>1</v>
      </c>
    </row>
    <row r="1015" spans="1:14" x14ac:dyDescent="0.25">
      <c r="A1015" s="8" t="s">
        <v>804</v>
      </c>
      <c r="B1015" s="9">
        <v>1</v>
      </c>
      <c r="C1015" s="9">
        <v>1</v>
      </c>
      <c r="D1015" s="9"/>
      <c r="E1015" s="9"/>
      <c r="F1015" s="9"/>
      <c r="G1015" s="9"/>
      <c r="H1015" s="9"/>
      <c r="I1015" s="9"/>
      <c r="J1015" s="9"/>
      <c r="K1015" s="9"/>
      <c r="L1015" s="9"/>
      <c r="M1015" s="9"/>
      <c r="N1015" s="9">
        <v>1</v>
      </c>
    </row>
    <row r="1016" spans="1:14" x14ac:dyDescent="0.25">
      <c r="A1016" s="8" t="s">
        <v>1141</v>
      </c>
      <c r="B1016" s="9">
        <v>1</v>
      </c>
      <c r="C1016" s="9">
        <v>1</v>
      </c>
      <c r="D1016" s="9"/>
      <c r="E1016" s="9"/>
      <c r="F1016" s="9"/>
      <c r="G1016" s="9"/>
      <c r="H1016" s="9"/>
      <c r="I1016" s="9"/>
      <c r="J1016" s="9"/>
      <c r="K1016" s="9"/>
      <c r="L1016" s="9"/>
      <c r="M1016" s="9"/>
      <c r="N1016" s="9">
        <v>1</v>
      </c>
    </row>
    <row r="1017" spans="1:14" ht="30" x14ac:dyDescent="0.25">
      <c r="A1017" s="8" t="s">
        <v>790</v>
      </c>
      <c r="B1017" s="9">
        <v>1</v>
      </c>
      <c r="C1017" s="9">
        <v>1</v>
      </c>
      <c r="D1017" s="9"/>
      <c r="E1017" s="9"/>
      <c r="F1017" s="9"/>
      <c r="G1017" s="9"/>
      <c r="H1017" s="9"/>
      <c r="I1017" s="9"/>
      <c r="J1017" s="9"/>
      <c r="K1017" s="9"/>
      <c r="L1017" s="9"/>
      <c r="M1017" s="9"/>
      <c r="N1017" s="9">
        <v>1</v>
      </c>
    </row>
    <row r="1018" spans="1:14" x14ac:dyDescent="0.25">
      <c r="A1018" s="8" t="s">
        <v>804</v>
      </c>
      <c r="B1018" s="9">
        <v>1</v>
      </c>
      <c r="C1018" s="9">
        <v>1</v>
      </c>
      <c r="D1018" s="9"/>
      <c r="E1018" s="9"/>
      <c r="F1018" s="9"/>
      <c r="G1018" s="9"/>
      <c r="H1018" s="9"/>
      <c r="I1018" s="9"/>
      <c r="J1018" s="9"/>
      <c r="K1018" s="9"/>
      <c r="L1018" s="9"/>
      <c r="M1018" s="9"/>
      <c r="N1018" s="9">
        <v>1</v>
      </c>
    </row>
    <row r="1019" spans="1:14" x14ac:dyDescent="0.25">
      <c r="A1019" s="8" t="s">
        <v>1142</v>
      </c>
      <c r="B1019" s="9">
        <v>1</v>
      </c>
      <c r="C1019" s="9">
        <v>1</v>
      </c>
      <c r="D1019" s="9"/>
      <c r="E1019" s="9"/>
      <c r="F1019" s="9"/>
      <c r="G1019" s="9"/>
      <c r="H1019" s="9"/>
      <c r="I1019" s="9"/>
      <c r="J1019" s="9"/>
      <c r="K1019" s="9"/>
      <c r="L1019" s="9"/>
      <c r="M1019" s="9"/>
      <c r="N1019" s="9">
        <v>1</v>
      </c>
    </row>
    <row r="1020" spans="1:14" ht="30" x14ac:dyDescent="0.25">
      <c r="A1020" s="8" t="s">
        <v>791</v>
      </c>
      <c r="B1020" s="9">
        <v>1</v>
      </c>
      <c r="C1020" s="9">
        <v>1</v>
      </c>
      <c r="D1020" s="9"/>
      <c r="E1020" s="9"/>
      <c r="F1020" s="9"/>
      <c r="G1020" s="9"/>
      <c r="H1020" s="9"/>
      <c r="I1020" s="9"/>
      <c r="J1020" s="9"/>
      <c r="K1020" s="9"/>
      <c r="L1020" s="9"/>
      <c r="M1020" s="9"/>
      <c r="N1020" s="9">
        <v>1</v>
      </c>
    </row>
    <row r="1021" spans="1:14" x14ac:dyDescent="0.25">
      <c r="A1021" s="8" t="s">
        <v>804</v>
      </c>
      <c r="B1021" s="9">
        <v>1</v>
      </c>
      <c r="C1021" s="9">
        <v>1</v>
      </c>
      <c r="D1021" s="9"/>
      <c r="E1021" s="9"/>
      <c r="F1021" s="9"/>
      <c r="G1021" s="9"/>
      <c r="H1021" s="9"/>
      <c r="I1021" s="9"/>
      <c r="J1021" s="9"/>
      <c r="K1021" s="9"/>
      <c r="L1021" s="9"/>
      <c r="M1021" s="9"/>
      <c r="N1021" s="9">
        <v>1</v>
      </c>
    </row>
    <row r="1022" spans="1:14" x14ac:dyDescent="0.25">
      <c r="A1022" s="8" t="s">
        <v>1143</v>
      </c>
      <c r="B1022" s="9">
        <v>1</v>
      </c>
      <c r="C1022" s="9">
        <v>1</v>
      </c>
      <c r="D1022" s="9"/>
      <c r="E1022" s="9"/>
      <c r="F1022" s="9"/>
      <c r="G1022" s="9"/>
      <c r="H1022" s="9"/>
      <c r="I1022" s="9"/>
      <c r="J1022" s="9"/>
      <c r="K1022" s="9"/>
      <c r="L1022" s="9"/>
      <c r="M1022" s="9"/>
      <c r="N1022" s="9">
        <v>1</v>
      </c>
    </row>
    <row r="1023" spans="1:14" ht="30" x14ac:dyDescent="0.25">
      <c r="A1023" s="8" t="s">
        <v>792</v>
      </c>
      <c r="B1023" s="9">
        <v>1</v>
      </c>
      <c r="C1023" s="9">
        <v>1</v>
      </c>
      <c r="D1023" s="9"/>
      <c r="E1023" s="9"/>
      <c r="F1023" s="9"/>
      <c r="G1023" s="9"/>
      <c r="H1023" s="9"/>
      <c r="I1023" s="9"/>
      <c r="J1023" s="9"/>
      <c r="K1023" s="9"/>
      <c r="L1023" s="9"/>
      <c r="M1023" s="9"/>
      <c r="N1023" s="9">
        <v>1</v>
      </c>
    </row>
    <row r="1024" spans="1:14" x14ac:dyDescent="0.25">
      <c r="A1024" s="8" t="s">
        <v>804</v>
      </c>
      <c r="B1024" s="9">
        <v>1</v>
      </c>
      <c r="C1024" s="9">
        <v>1</v>
      </c>
      <c r="D1024" s="9"/>
      <c r="E1024" s="9"/>
      <c r="F1024" s="9"/>
      <c r="G1024" s="9"/>
      <c r="H1024" s="9"/>
      <c r="I1024" s="9"/>
      <c r="J1024" s="9"/>
      <c r="K1024" s="9"/>
      <c r="L1024" s="9"/>
      <c r="M1024" s="9"/>
      <c r="N1024" s="9">
        <v>1</v>
      </c>
    </row>
    <row r="1025" spans="1:14" x14ac:dyDescent="0.25">
      <c r="A1025" s="8" t="s">
        <v>1144</v>
      </c>
      <c r="B1025" s="9">
        <v>1</v>
      </c>
      <c r="C1025" s="9">
        <v>1</v>
      </c>
      <c r="D1025" s="9"/>
      <c r="E1025" s="9"/>
      <c r="F1025" s="9"/>
      <c r="G1025" s="9"/>
      <c r="H1025" s="9"/>
      <c r="I1025" s="9"/>
      <c r="J1025" s="9"/>
      <c r="K1025" s="9"/>
      <c r="L1025" s="9"/>
      <c r="M1025" s="9"/>
      <c r="N1025" s="9">
        <v>1</v>
      </c>
    </row>
    <row r="1026" spans="1:14" ht="30" x14ac:dyDescent="0.25">
      <c r="A1026" s="8" t="s">
        <v>795</v>
      </c>
      <c r="B1026" s="9">
        <v>1</v>
      </c>
      <c r="C1026" s="9">
        <v>1</v>
      </c>
      <c r="D1026" s="9"/>
      <c r="E1026" s="9"/>
      <c r="F1026" s="9"/>
      <c r="G1026" s="9"/>
      <c r="H1026" s="9"/>
      <c r="I1026" s="9"/>
      <c r="J1026" s="9"/>
      <c r="K1026" s="9"/>
      <c r="L1026" s="9"/>
      <c r="M1026" s="9"/>
      <c r="N1026" s="9">
        <v>1</v>
      </c>
    </row>
    <row r="1027" spans="1:14" x14ac:dyDescent="0.25">
      <c r="A1027" s="8" t="s">
        <v>804</v>
      </c>
      <c r="B1027" s="9">
        <v>1</v>
      </c>
      <c r="C1027" s="9">
        <v>1</v>
      </c>
      <c r="D1027" s="9"/>
      <c r="E1027" s="9"/>
      <c r="F1027" s="9"/>
      <c r="G1027" s="9"/>
      <c r="H1027" s="9"/>
      <c r="I1027" s="9"/>
      <c r="J1027" s="9"/>
      <c r="K1027" s="9"/>
      <c r="L1027" s="9"/>
      <c r="M1027" s="9"/>
      <c r="N1027" s="9">
        <v>1</v>
      </c>
    </row>
    <row r="1028" spans="1:14" x14ac:dyDescent="0.25">
      <c r="A1028" s="8" t="s">
        <v>1145</v>
      </c>
      <c r="B1028" s="9">
        <v>1</v>
      </c>
      <c r="C1028" s="9">
        <v>1</v>
      </c>
      <c r="D1028" s="9"/>
      <c r="E1028" s="9"/>
      <c r="F1028" s="9"/>
      <c r="G1028" s="9"/>
      <c r="H1028" s="9"/>
      <c r="I1028" s="9"/>
      <c r="J1028" s="9"/>
      <c r="K1028" s="9"/>
      <c r="L1028" s="9"/>
      <c r="M1028" s="9"/>
      <c r="N1028" s="9">
        <v>1</v>
      </c>
    </row>
    <row r="1029" spans="1:14" ht="45" x14ac:dyDescent="0.25">
      <c r="A1029" s="8" t="s">
        <v>796</v>
      </c>
      <c r="B1029" s="9">
        <v>1</v>
      </c>
      <c r="C1029" s="9">
        <v>1</v>
      </c>
      <c r="D1029" s="9"/>
      <c r="E1029" s="9"/>
      <c r="F1029" s="9"/>
      <c r="G1029" s="9"/>
      <c r="H1029" s="9"/>
      <c r="I1029" s="9"/>
      <c r="J1029" s="9"/>
      <c r="K1029" s="9"/>
      <c r="L1029" s="9"/>
      <c r="M1029" s="9"/>
      <c r="N1029" s="9">
        <v>1</v>
      </c>
    </row>
    <row r="1030" spans="1:14" x14ac:dyDescent="0.25">
      <c r="A1030" s="8" t="s">
        <v>804</v>
      </c>
      <c r="B1030" s="9">
        <v>1</v>
      </c>
      <c r="C1030" s="9">
        <v>1</v>
      </c>
      <c r="D1030" s="9"/>
      <c r="E1030" s="9"/>
      <c r="F1030" s="9"/>
      <c r="G1030" s="9"/>
      <c r="H1030" s="9"/>
      <c r="I1030" s="9"/>
      <c r="J1030" s="9"/>
      <c r="K1030" s="9"/>
      <c r="L1030" s="9"/>
      <c r="M1030" s="9"/>
      <c r="N1030" s="9">
        <v>1</v>
      </c>
    </row>
    <row r="1031" spans="1:14" x14ac:dyDescent="0.25">
      <c r="A1031" s="8" t="s">
        <v>1146</v>
      </c>
      <c r="B1031" s="9">
        <v>1</v>
      </c>
      <c r="C1031" s="9">
        <v>1</v>
      </c>
      <c r="D1031" s="9"/>
      <c r="E1031" s="9"/>
      <c r="F1031" s="9"/>
      <c r="G1031" s="9"/>
      <c r="H1031" s="9"/>
      <c r="I1031" s="9"/>
      <c r="J1031" s="9"/>
      <c r="K1031" s="9"/>
      <c r="L1031" s="9"/>
      <c r="M1031" s="9"/>
      <c r="N1031" s="9">
        <v>1</v>
      </c>
    </row>
    <row r="1032" spans="1:14" ht="30" x14ac:dyDescent="0.25">
      <c r="A1032" s="8" t="s">
        <v>797</v>
      </c>
      <c r="B1032" s="9">
        <v>1</v>
      </c>
      <c r="C1032" s="9">
        <v>1</v>
      </c>
      <c r="D1032" s="9"/>
      <c r="E1032" s="9"/>
      <c r="F1032" s="9"/>
      <c r="G1032" s="9"/>
      <c r="H1032" s="9"/>
      <c r="I1032" s="9"/>
      <c r="J1032" s="9"/>
      <c r="K1032" s="9"/>
      <c r="L1032" s="9"/>
      <c r="M1032" s="9"/>
      <c r="N1032" s="9">
        <v>1</v>
      </c>
    </row>
    <row r="1033" spans="1:14" x14ac:dyDescent="0.25">
      <c r="A1033" s="8" t="s">
        <v>804</v>
      </c>
      <c r="B1033" s="9">
        <v>1</v>
      </c>
      <c r="C1033" s="9">
        <v>1</v>
      </c>
      <c r="D1033" s="9"/>
      <c r="E1033" s="9"/>
      <c r="F1033" s="9"/>
      <c r="G1033" s="9"/>
      <c r="H1033" s="9"/>
      <c r="I1033" s="9"/>
      <c r="J1033" s="9"/>
      <c r="K1033" s="9"/>
      <c r="L1033" s="9"/>
      <c r="M1033" s="9"/>
      <c r="N1033" s="9">
        <v>1</v>
      </c>
    </row>
    <row r="1034" spans="1:14" x14ac:dyDescent="0.25">
      <c r="A1034" s="8" t="s">
        <v>1147</v>
      </c>
      <c r="B1034" s="9">
        <v>1</v>
      </c>
      <c r="C1034" s="9">
        <v>1</v>
      </c>
      <c r="D1034" s="9"/>
      <c r="E1034" s="9"/>
      <c r="F1034" s="9"/>
      <c r="G1034" s="9"/>
      <c r="H1034" s="9"/>
      <c r="I1034" s="9"/>
      <c r="J1034" s="9"/>
      <c r="K1034" s="9"/>
      <c r="L1034" s="9"/>
      <c r="M1034" s="9"/>
      <c r="N1034" s="9">
        <v>1</v>
      </c>
    </row>
    <row r="1035" spans="1:14" ht="30" x14ac:dyDescent="0.25">
      <c r="A1035" s="8" t="s">
        <v>798</v>
      </c>
      <c r="B1035" s="9">
        <v>1</v>
      </c>
      <c r="C1035" s="9">
        <v>1</v>
      </c>
      <c r="D1035" s="9"/>
      <c r="E1035" s="9"/>
      <c r="F1035" s="9"/>
      <c r="G1035" s="9"/>
      <c r="H1035" s="9"/>
      <c r="I1035" s="9"/>
      <c r="J1035" s="9"/>
      <c r="K1035" s="9"/>
      <c r="L1035" s="9"/>
      <c r="M1035" s="9"/>
      <c r="N1035" s="9">
        <v>1</v>
      </c>
    </row>
    <row r="1036" spans="1:14" x14ac:dyDescent="0.25">
      <c r="A1036" s="8" t="s">
        <v>804</v>
      </c>
      <c r="B1036" s="9">
        <v>1</v>
      </c>
      <c r="C1036" s="9">
        <v>1</v>
      </c>
      <c r="D1036" s="9"/>
      <c r="E1036" s="9"/>
      <c r="F1036" s="9"/>
      <c r="G1036" s="9"/>
      <c r="H1036" s="9"/>
      <c r="I1036" s="9"/>
      <c r="J1036" s="9"/>
      <c r="K1036" s="9"/>
      <c r="L1036" s="9"/>
      <c r="M1036" s="9"/>
      <c r="N1036" s="9">
        <v>1</v>
      </c>
    </row>
    <row r="1037" spans="1:14" x14ac:dyDescent="0.25">
      <c r="A1037" s="8" t="s">
        <v>1148</v>
      </c>
      <c r="B1037" s="9">
        <v>1</v>
      </c>
      <c r="C1037" s="9">
        <v>1</v>
      </c>
      <c r="D1037" s="9"/>
      <c r="E1037" s="9"/>
      <c r="F1037" s="9"/>
      <c r="G1037" s="9"/>
      <c r="H1037" s="9"/>
      <c r="I1037" s="9"/>
      <c r="J1037" s="9"/>
      <c r="K1037" s="9"/>
      <c r="L1037" s="9"/>
      <c r="M1037" s="9"/>
      <c r="N1037" s="9">
        <v>1</v>
      </c>
    </row>
    <row r="1038" spans="1:14" ht="30" x14ac:dyDescent="0.25">
      <c r="A1038" s="8" t="s">
        <v>799</v>
      </c>
      <c r="B1038" s="9">
        <v>1</v>
      </c>
      <c r="C1038" s="9">
        <v>1</v>
      </c>
      <c r="D1038" s="9"/>
      <c r="E1038" s="9"/>
      <c r="F1038" s="9"/>
      <c r="G1038" s="9"/>
      <c r="H1038" s="9"/>
      <c r="I1038" s="9"/>
      <c r="J1038" s="9"/>
      <c r="K1038" s="9"/>
      <c r="L1038" s="9"/>
      <c r="M1038" s="9"/>
      <c r="N1038" s="9">
        <v>1</v>
      </c>
    </row>
    <row r="1039" spans="1:14" x14ac:dyDescent="0.25">
      <c r="A1039" s="8" t="s">
        <v>804</v>
      </c>
      <c r="B1039" s="9">
        <v>1</v>
      </c>
      <c r="C1039" s="9">
        <v>1</v>
      </c>
      <c r="D1039" s="9"/>
      <c r="E1039" s="9"/>
      <c r="F1039" s="9"/>
      <c r="G1039" s="9"/>
      <c r="H1039" s="9"/>
      <c r="I1039" s="9"/>
      <c r="J1039" s="9"/>
      <c r="K1039" s="9"/>
      <c r="L1039" s="9"/>
      <c r="M1039" s="9"/>
      <c r="N1039" s="9">
        <v>1</v>
      </c>
    </row>
    <row r="1040" spans="1:14" x14ac:dyDescent="0.25">
      <c r="A1040" s="8" t="s">
        <v>1149</v>
      </c>
      <c r="B1040" s="9">
        <v>1</v>
      </c>
      <c r="C1040" s="9">
        <v>1</v>
      </c>
      <c r="D1040" s="9"/>
      <c r="E1040" s="9"/>
      <c r="F1040" s="9"/>
      <c r="G1040" s="9"/>
      <c r="H1040" s="9"/>
      <c r="I1040" s="9"/>
      <c r="J1040" s="9"/>
      <c r="K1040" s="9"/>
      <c r="L1040" s="9"/>
      <c r="M1040" s="9"/>
      <c r="N1040" s="9">
        <v>1</v>
      </c>
    </row>
    <row r="1041" spans="1:14" ht="45" x14ac:dyDescent="0.25">
      <c r="A1041" s="8" t="s">
        <v>800</v>
      </c>
      <c r="B1041" s="9">
        <v>1</v>
      </c>
      <c r="C1041" s="9">
        <v>1</v>
      </c>
      <c r="D1041" s="9"/>
      <c r="E1041" s="9"/>
      <c r="F1041" s="9"/>
      <c r="G1041" s="9"/>
      <c r="H1041" s="9"/>
      <c r="I1041" s="9"/>
      <c r="J1041" s="9"/>
      <c r="K1041" s="9"/>
      <c r="L1041" s="9"/>
      <c r="M1041" s="9"/>
      <c r="N1041" s="9">
        <v>1</v>
      </c>
    </row>
    <row r="1042" spans="1:14" x14ac:dyDescent="0.25">
      <c r="A1042" s="8" t="s">
        <v>804</v>
      </c>
      <c r="B1042" s="9">
        <v>1</v>
      </c>
      <c r="C1042" s="9">
        <v>1</v>
      </c>
      <c r="D1042" s="9"/>
      <c r="E1042" s="9"/>
      <c r="F1042" s="9"/>
      <c r="G1042" s="9"/>
      <c r="H1042" s="9"/>
      <c r="I1042" s="9"/>
      <c r="J1042" s="9"/>
      <c r="K1042" s="9"/>
      <c r="L1042" s="9"/>
      <c r="M1042" s="9"/>
      <c r="N1042" s="9">
        <v>1</v>
      </c>
    </row>
    <row r="1043" spans="1:14" x14ac:dyDescent="0.25">
      <c r="A1043" s="8" t="s">
        <v>805</v>
      </c>
      <c r="B1043" s="9">
        <v>343</v>
      </c>
      <c r="C1043" s="9">
        <v>343</v>
      </c>
      <c r="D1043" s="9">
        <v>90</v>
      </c>
      <c r="E1043" s="9">
        <v>47</v>
      </c>
      <c r="F1043" s="9">
        <v>25</v>
      </c>
      <c r="G1043" s="9">
        <v>19</v>
      </c>
      <c r="H1043" s="9">
        <v>3</v>
      </c>
      <c r="I1043" s="9"/>
      <c r="J1043" s="9">
        <v>48</v>
      </c>
      <c r="K1043" s="9">
        <v>26</v>
      </c>
      <c r="L1043" s="9">
        <v>88</v>
      </c>
      <c r="M1043" s="9">
        <v>27</v>
      </c>
      <c r="N1043" s="9">
        <v>154</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codeName="Hoja2">
    <pageSetUpPr fitToPage="1"/>
  </sheetPr>
  <dimension ref="A1:B30"/>
  <sheetViews>
    <sheetView view="pageBreakPreview" zoomScale="90" zoomScaleNormal="100" zoomScaleSheetLayoutView="90" workbookViewId="0">
      <selection activeCell="A33" sqref="A33"/>
    </sheetView>
  </sheetViews>
  <sheetFormatPr baseColWidth="10" defaultRowHeight="15" x14ac:dyDescent="0.25"/>
  <cols>
    <col min="1" max="1" width="46.28515625" bestFit="1" customWidth="1"/>
  </cols>
  <sheetData>
    <row r="1" spans="1:2" ht="15.75" x14ac:dyDescent="0.25">
      <c r="A1" s="23"/>
      <c r="B1" s="23"/>
    </row>
    <row r="2" spans="1:2" ht="15.75" x14ac:dyDescent="0.25">
      <c r="A2" s="23"/>
      <c r="B2" s="23"/>
    </row>
    <row r="3" spans="1:2" ht="15.75" x14ac:dyDescent="0.25">
      <c r="A3" s="23"/>
      <c r="B3" s="23"/>
    </row>
    <row r="4" spans="1:2" ht="15.75" x14ac:dyDescent="0.25">
      <c r="A4" s="23"/>
      <c r="B4" s="23"/>
    </row>
    <row r="5" spans="1:2" ht="15.75" x14ac:dyDescent="0.25">
      <c r="A5" s="23"/>
      <c r="B5" s="23"/>
    </row>
    <row r="6" spans="1:2" ht="15.75" x14ac:dyDescent="0.25">
      <c r="A6" s="23"/>
      <c r="B6" s="23"/>
    </row>
    <row r="7" spans="1:2" ht="15.75" x14ac:dyDescent="0.25">
      <c r="A7" s="23"/>
      <c r="B7" s="23"/>
    </row>
    <row r="8" spans="1:2" ht="15.75" x14ac:dyDescent="0.25">
      <c r="A8" s="23"/>
      <c r="B8" s="23"/>
    </row>
    <row r="9" spans="1:2" ht="15.75" x14ac:dyDescent="0.25">
      <c r="A9" s="23"/>
      <c r="B9" s="23"/>
    </row>
    <row r="10" spans="1:2" ht="15.75" x14ac:dyDescent="0.25">
      <c r="A10" s="23"/>
      <c r="B10" s="23"/>
    </row>
    <row r="11" spans="1:2" ht="15.75" x14ac:dyDescent="0.25">
      <c r="A11" s="23"/>
      <c r="B11" s="23"/>
    </row>
    <row r="12" spans="1:2" ht="15.75" x14ac:dyDescent="0.25">
      <c r="A12" s="23"/>
      <c r="B12" s="23"/>
    </row>
    <row r="13" spans="1:2" ht="15.75" x14ac:dyDescent="0.25">
      <c r="A13" s="23"/>
      <c r="B13" s="23"/>
    </row>
    <row r="14" spans="1:2" ht="15.75" x14ac:dyDescent="0.25">
      <c r="A14" s="23"/>
      <c r="B14" s="23"/>
    </row>
    <row r="15" spans="1:2" ht="15.75" x14ac:dyDescent="0.25">
      <c r="A15" s="23"/>
      <c r="B15" s="23"/>
    </row>
    <row r="16" spans="1:2" ht="15.75" x14ac:dyDescent="0.25">
      <c r="A16" s="23"/>
      <c r="B16" s="23"/>
    </row>
    <row r="17" spans="1:2" ht="15.75" x14ac:dyDescent="0.25">
      <c r="A17" s="23"/>
      <c r="B17" s="23"/>
    </row>
    <row r="18" spans="1:2" ht="15.75" x14ac:dyDescent="0.25">
      <c r="A18" s="23"/>
      <c r="B18" s="23"/>
    </row>
    <row r="19" spans="1:2" ht="15.75" x14ac:dyDescent="0.25">
      <c r="A19" s="23"/>
      <c r="B19" s="23"/>
    </row>
    <row r="20" spans="1:2" ht="15.75" x14ac:dyDescent="0.25">
      <c r="A20" s="23"/>
      <c r="B20" s="23"/>
    </row>
    <row r="21" spans="1:2" ht="15.75" x14ac:dyDescent="0.25">
      <c r="A21" s="23"/>
      <c r="B21" s="23"/>
    </row>
    <row r="22" spans="1:2" ht="15.75" x14ac:dyDescent="0.25">
      <c r="A22" s="23"/>
      <c r="B22" s="23"/>
    </row>
    <row r="23" spans="1:2" ht="15.75" x14ac:dyDescent="0.25">
      <c r="A23" s="3" t="s">
        <v>1241</v>
      </c>
      <c r="B23" s="23"/>
    </row>
    <row r="24" spans="1:2" ht="15.75" x14ac:dyDescent="0.25">
      <c r="A24" s="23" t="s">
        <v>1213</v>
      </c>
      <c r="B24" s="23"/>
    </row>
    <row r="25" spans="1:2" ht="15.75" x14ac:dyDescent="0.25">
      <c r="A25" s="23" t="s">
        <v>1214</v>
      </c>
      <c r="B25" s="23"/>
    </row>
    <row r="26" spans="1:2" ht="15.75" x14ac:dyDescent="0.25">
      <c r="A26" s="23" t="s">
        <v>1215</v>
      </c>
      <c r="B26" s="23"/>
    </row>
    <row r="27" spans="1:2" ht="15.75" x14ac:dyDescent="0.25">
      <c r="A27" s="23" t="s">
        <v>1216</v>
      </c>
    </row>
    <row r="28" spans="1:2" ht="15.75" x14ac:dyDescent="0.25">
      <c r="A28" s="23" t="s">
        <v>1203</v>
      </c>
    </row>
    <row r="29" spans="1:2" ht="15.75" x14ac:dyDescent="0.25">
      <c r="A29" s="23" t="s">
        <v>1217</v>
      </c>
    </row>
    <row r="30" spans="1:2" ht="15.75" x14ac:dyDescent="0.25">
      <c r="A30" s="23" t="s">
        <v>1204</v>
      </c>
    </row>
  </sheetData>
  <pageMargins left="0.25" right="0.25" top="0.75" bottom="0.75" header="0.3" footer="0.3"/>
  <pageSetup scale="30" orientation="portrait" r:id="rId1"/>
  <drawing r:id="rId2"/>
  <legacyDrawing r:id="rId3"/>
  <controls>
    <mc:AlternateContent xmlns:mc="http://schemas.openxmlformats.org/markup-compatibility/2006">
      <mc:Choice Requires="x14">
        <control shapeId="11265" r:id="rId4" name="Control 1">
          <controlPr defaultSize="0" r:id="rId5">
            <anchor moveWithCells="1">
              <from>
                <xdr:col>0</xdr:col>
                <xdr:colOff>0</xdr:colOff>
                <xdr:row>5</xdr:row>
                <xdr:rowOff>0</xdr:rowOff>
              </from>
              <to>
                <xdr:col>0</xdr:col>
                <xdr:colOff>228600</xdr:colOff>
                <xdr:row>6</xdr:row>
                <xdr:rowOff>38100</xdr:rowOff>
              </to>
            </anchor>
          </controlPr>
        </control>
      </mc:Choice>
      <mc:Fallback>
        <control shapeId="11265" r:id="rId4" name="Control 1"/>
      </mc:Fallback>
    </mc:AlternateContent>
    <mc:AlternateContent xmlns:mc="http://schemas.openxmlformats.org/markup-compatibility/2006">
      <mc:Choice Requires="x14">
        <control shapeId="11266" r:id="rId6" name="Control 2">
          <controlPr defaultSize="0" r:id="rId7">
            <anchor moveWithCells="1">
              <from>
                <xdr:col>0</xdr:col>
                <xdr:colOff>0</xdr:colOff>
                <xdr:row>5</xdr:row>
                <xdr:rowOff>47625</xdr:rowOff>
              </from>
              <to>
                <xdr:col>0</xdr:col>
                <xdr:colOff>200025</xdr:colOff>
                <xdr:row>6</xdr:row>
                <xdr:rowOff>57150</xdr:rowOff>
              </to>
            </anchor>
          </controlPr>
        </control>
      </mc:Choice>
      <mc:Fallback>
        <control shapeId="11266" r:id="rId6" name="Control 2"/>
      </mc:Fallback>
    </mc:AlternateContent>
    <mc:AlternateContent xmlns:mc="http://schemas.openxmlformats.org/markup-compatibility/2006">
      <mc:Choice Requires="x14">
        <control shapeId="11267" r:id="rId8" name="Control 3">
          <controlPr defaultSize="0" r:id="rId7">
            <anchor moveWithCells="1">
              <from>
                <xdr:col>0</xdr:col>
                <xdr:colOff>0</xdr:colOff>
                <xdr:row>7</xdr:row>
                <xdr:rowOff>114300</xdr:rowOff>
              </from>
              <to>
                <xdr:col>0</xdr:col>
                <xdr:colOff>200025</xdr:colOff>
                <xdr:row>8</xdr:row>
                <xdr:rowOff>123825</xdr:rowOff>
              </to>
            </anchor>
          </controlPr>
        </control>
      </mc:Choice>
      <mc:Fallback>
        <control shapeId="11267" r:id="rId8" name="Control 3"/>
      </mc:Fallback>
    </mc:AlternateContent>
    <mc:AlternateContent xmlns:mc="http://schemas.openxmlformats.org/markup-compatibility/2006">
      <mc:Choice Requires="x14">
        <control shapeId="11268" r:id="rId9" name="Control 4">
          <controlPr defaultSize="0" r:id="rId7">
            <anchor moveWithCells="1">
              <from>
                <xdr:col>0</xdr:col>
                <xdr:colOff>0</xdr:colOff>
                <xdr:row>10</xdr:row>
                <xdr:rowOff>104775</xdr:rowOff>
              </from>
              <to>
                <xdr:col>0</xdr:col>
                <xdr:colOff>200025</xdr:colOff>
                <xdr:row>11</xdr:row>
                <xdr:rowOff>114300</xdr:rowOff>
              </to>
            </anchor>
          </controlPr>
        </control>
      </mc:Choice>
      <mc:Fallback>
        <control shapeId="11268" r:id="rId9" name="Control 4"/>
      </mc:Fallback>
    </mc:AlternateContent>
    <mc:AlternateContent xmlns:mc="http://schemas.openxmlformats.org/markup-compatibility/2006">
      <mc:Choice Requires="x14">
        <control shapeId="11269" r:id="rId10" name="Control 5">
          <controlPr defaultSize="0" r:id="rId7">
            <anchor moveWithCells="1">
              <from>
                <xdr:col>0</xdr:col>
                <xdr:colOff>0</xdr:colOff>
                <xdr:row>12</xdr:row>
                <xdr:rowOff>123825</xdr:rowOff>
              </from>
              <to>
                <xdr:col>0</xdr:col>
                <xdr:colOff>200025</xdr:colOff>
                <xdr:row>13</xdr:row>
                <xdr:rowOff>133350</xdr:rowOff>
              </to>
            </anchor>
          </controlPr>
        </control>
      </mc:Choice>
      <mc:Fallback>
        <control shapeId="11269" r:id="rId10" name="Control 5"/>
      </mc:Fallback>
    </mc:AlternateContent>
    <mc:AlternateContent xmlns:mc="http://schemas.openxmlformats.org/markup-compatibility/2006">
      <mc:Choice Requires="x14">
        <control shapeId="11270" r:id="rId11" name="Control 6">
          <controlPr defaultSize="0" r:id="rId7">
            <anchor moveWithCells="1">
              <from>
                <xdr:col>0</xdr:col>
                <xdr:colOff>0</xdr:colOff>
                <xdr:row>14</xdr:row>
                <xdr:rowOff>28575</xdr:rowOff>
              </from>
              <to>
                <xdr:col>0</xdr:col>
                <xdr:colOff>200025</xdr:colOff>
                <xdr:row>15</xdr:row>
                <xdr:rowOff>38100</xdr:rowOff>
              </to>
            </anchor>
          </controlPr>
        </control>
      </mc:Choice>
      <mc:Fallback>
        <control shapeId="11270" r:id="rId11" name="Control 6"/>
      </mc:Fallback>
    </mc:AlternateContent>
    <mc:AlternateContent xmlns:mc="http://schemas.openxmlformats.org/markup-compatibility/2006">
      <mc:Choice Requires="x14">
        <control shapeId="11271" r:id="rId12" name="Control 7">
          <controlPr defaultSize="0" r:id="rId7">
            <anchor moveWithCells="1">
              <from>
                <xdr:col>0</xdr:col>
                <xdr:colOff>0</xdr:colOff>
                <xdr:row>16</xdr:row>
                <xdr:rowOff>28575</xdr:rowOff>
              </from>
              <to>
                <xdr:col>0</xdr:col>
                <xdr:colOff>200025</xdr:colOff>
                <xdr:row>17</xdr:row>
                <xdr:rowOff>38100</xdr:rowOff>
              </to>
            </anchor>
          </controlPr>
        </control>
      </mc:Choice>
      <mc:Fallback>
        <control shapeId="11271" r:id="rId12" name="Control 7"/>
      </mc:Fallback>
    </mc:AlternateContent>
  </controls>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codeName="Hoja3">
    <pageSetUpPr fitToPage="1"/>
  </sheetPr>
  <dimension ref="N11:Q59"/>
  <sheetViews>
    <sheetView view="pageBreakPreview" zoomScaleNormal="100" zoomScaleSheetLayoutView="100" workbookViewId="0">
      <selection activeCell="N13" sqref="N13"/>
    </sheetView>
  </sheetViews>
  <sheetFormatPr baseColWidth="10" defaultRowHeight="15" x14ac:dyDescent="0.25"/>
  <cols>
    <col min="14" max="14" width="45.42578125" customWidth="1"/>
    <col min="15" max="15" width="198.42578125" customWidth="1"/>
    <col min="16" max="16" width="29.5703125" customWidth="1"/>
    <col min="17" max="17" width="45.42578125" customWidth="1"/>
  </cols>
  <sheetData>
    <row r="11" spans="14:15" ht="92.25" x14ac:dyDescent="0.25">
      <c r="N11" s="12" t="s">
        <v>1205</v>
      </c>
    </row>
    <row r="12" spans="14:15" x14ac:dyDescent="0.25">
      <c r="N12" s="14"/>
    </row>
    <row r="13" spans="14:15" ht="99" x14ac:dyDescent="0.25">
      <c r="N13" s="15" t="s">
        <v>1206</v>
      </c>
      <c r="O13" s="16" t="s">
        <v>1207</v>
      </c>
    </row>
    <row r="14" spans="14:15" ht="33" x14ac:dyDescent="0.25">
      <c r="N14" s="15" t="s">
        <v>1170</v>
      </c>
    </row>
    <row r="15" spans="14:15" x14ac:dyDescent="0.25">
      <c r="N15" s="301"/>
      <c r="O15" s="302" t="s">
        <v>1208</v>
      </c>
    </row>
    <row r="16" spans="14:15" x14ac:dyDescent="0.25">
      <c r="N16" s="301"/>
      <c r="O16" s="302"/>
    </row>
    <row r="17" spans="14:17" x14ac:dyDescent="0.25">
      <c r="N17" s="301"/>
      <c r="O17" s="302"/>
    </row>
    <row r="18" spans="14:17" x14ac:dyDescent="0.25">
      <c r="N18" s="297"/>
      <c r="O18" s="300" t="s">
        <v>1171</v>
      </c>
      <c r="P18" s="297"/>
      <c r="Q18" s="300" t="s">
        <v>1172</v>
      </c>
    </row>
    <row r="19" spans="14:17" x14ac:dyDescent="0.25">
      <c r="N19" s="297"/>
      <c r="O19" s="300"/>
      <c r="P19" s="297"/>
      <c r="Q19" s="300"/>
    </row>
    <row r="20" spans="14:17" x14ac:dyDescent="0.25">
      <c r="N20" s="297"/>
      <c r="O20" s="300"/>
      <c r="P20" s="297"/>
      <c r="Q20" s="300"/>
    </row>
    <row r="21" spans="14:17" ht="16.5" x14ac:dyDescent="0.25">
      <c r="N21" s="18" t="s">
        <v>1173</v>
      </c>
      <c r="O21" s="17" t="s">
        <v>1174</v>
      </c>
      <c r="P21" s="18" t="s">
        <v>1175</v>
      </c>
      <c r="Q21" s="17" t="s">
        <v>1176</v>
      </c>
    </row>
    <row r="22" spans="14:17" ht="16.5" x14ac:dyDescent="0.25">
      <c r="N22" s="18" t="s">
        <v>1177</v>
      </c>
      <c r="O22" s="17"/>
      <c r="P22" s="18" t="s">
        <v>1177</v>
      </c>
      <c r="Q22" s="17"/>
    </row>
    <row r="23" spans="14:17" ht="16.5" x14ac:dyDescent="0.25">
      <c r="N23" s="18" t="s">
        <v>1178</v>
      </c>
      <c r="O23" s="17"/>
      <c r="P23" s="18" t="s">
        <v>1179</v>
      </c>
      <c r="Q23" s="17"/>
    </row>
    <row r="24" spans="14:17" ht="16.5" x14ac:dyDescent="0.25">
      <c r="N24" s="18" t="s">
        <v>1209</v>
      </c>
      <c r="O24" s="17"/>
      <c r="P24" s="18" t="s">
        <v>1209</v>
      </c>
      <c r="Q24" s="17"/>
    </row>
    <row r="25" spans="14:17" x14ac:dyDescent="0.25">
      <c r="N25" s="13"/>
    </row>
    <row r="26" spans="14:17" ht="16.5" x14ac:dyDescent="0.25">
      <c r="N26" s="19"/>
      <c r="O26" s="11"/>
      <c r="P26" s="11"/>
      <c r="Q26" s="11"/>
    </row>
    <row r="27" spans="14:17" ht="16.5" x14ac:dyDescent="0.25">
      <c r="N27" s="19" t="s">
        <v>1180</v>
      </c>
      <c r="O27" s="297"/>
      <c r="P27" s="297"/>
      <c r="Q27" s="297"/>
    </row>
    <row r="28" spans="14:17" ht="16.5" x14ac:dyDescent="0.25">
      <c r="N28" s="19" t="s">
        <v>1181</v>
      </c>
      <c r="O28" s="17"/>
      <c r="P28" s="18" t="s">
        <v>1182</v>
      </c>
      <c r="Q28" s="17"/>
    </row>
    <row r="29" spans="14:17" ht="16.5" x14ac:dyDescent="0.25">
      <c r="N29" s="19" t="s">
        <v>1183</v>
      </c>
      <c r="O29" s="17"/>
      <c r="P29" s="18" t="s">
        <v>1184</v>
      </c>
      <c r="Q29" s="17"/>
    </row>
    <row r="30" spans="14:17" ht="48" customHeight="1" x14ac:dyDescent="0.25">
      <c r="N30" s="298" t="s">
        <v>1210</v>
      </c>
      <c r="O30" s="298"/>
      <c r="P30" s="18" t="s">
        <v>1185</v>
      </c>
      <c r="Q30" s="17"/>
    </row>
    <row r="31" spans="14:17" x14ac:dyDescent="0.25">
      <c r="N31" s="13"/>
    </row>
    <row r="32" spans="14:17" x14ac:dyDescent="0.25">
      <c r="N32" s="296"/>
      <c r="O32" s="299" t="s">
        <v>1186</v>
      </c>
      <c r="P32" s="11"/>
      <c r="Q32" s="11"/>
    </row>
    <row r="33" spans="14:17" x14ac:dyDescent="0.25">
      <c r="N33" s="296"/>
      <c r="O33" s="299"/>
      <c r="P33" s="11"/>
      <c r="Q33" s="11"/>
    </row>
    <row r="34" spans="14:17" ht="16.5" x14ac:dyDescent="0.25">
      <c r="N34" s="19" t="s">
        <v>1187</v>
      </c>
      <c r="O34" s="17"/>
      <c r="P34" s="19" t="s">
        <v>1188</v>
      </c>
      <c r="Q34" s="19"/>
    </row>
    <row r="35" spans="14:17" x14ac:dyDescent="0.25">
      <c r="N35" s="13"/>
    </row>
    <row r="36" spans="14:17" ht="16.5" x14ac:dyDescent="0.25">
      <c r="N36" s="19"/>
      <c r="O36" s="11"/>
    </row>
    <row r="37" spans="14:17" ht="16.5" x14ac:dyDescent="0.25">
      <c r="N37" s="19" t="s">
        <v>1189</v>
      </c>
      <c r="O37" s="19"/>
    </row>
    <row r="38" spans="14:17" ht="16.5" x14ac:dyDescent="0.25">
      <c r="N38" s="19" t="s">
        <v>1190</v>
      </c>
      <c r="O38" s="19"/>
      <c r="P38" s="19" t="s">
        <v>1191</v>
      </c>
      <c r="Q38" s="19" t="s">
        <v>1192</v>
      </c>
    </row>
    <row r="39" spans="14:17" ht="16.5" x14ac:dyDescent="0.25">
      <c r="N39" s="19" t="s">
        <v>1193</v>
      </c>
      <c r="O39" s="19"/>
    </row>
    <row r="40" spans="14:17" x14ac:dyDescent="0.25">
      <c r="N40" s="13"/>
    </row>
    <row r="41" spans="14:17" ht="18" x14ac:dyDescent="0.25">
      <c r="N41" s="20" t="s">
        <v>1194</v>
      </c>
    </row>
    <row r="42" spans="14:17" x14ac:dyDescent="0.25">
      <c r="N42" s="13"/>
    </row>
    <row r="43" spans="14:17" ht="16.5" x14ac:dyDescent="0.25">
      <c r="N43" s="19"/>
      <c r="O43" s="11"/>
      <c r="P43" s="11"/>
    </row>
    <row r="44" spans="14:17" x14ac:dyDescent="0.25">
      <c r="N44" s="295" t="s">
        <v>1195</v>
      </c>
      <c r="O44" s="296" t="s">
        <v>1196</v>
      </c>
      <c r="P44" s="296"/>
    </row>
    <row r="45" spans="14:17" x14ac:dyDescent="0.25">
      <c r="N45" s="295"/>
      <c r="O45" s="296"/>
      <c r="P45" s="296"/>
    </row>
    <row r="46" spans="14:17" ht="16.5" x14ac:dyDescent="0.25">
      <c r="N46" s="19"/>
      <c r="O46" s="19" t="s">
        <v>1197</v>
      </c>
      <c r="P46" s="19"/>
    </row>
    <row r="47" spans="14:17" x14ac:dyDescent="0.25">
      <c r="N47" s="295" t="s">
        <v>1198</v>
      </c>
      <c r="O47" s="296" t="s">
        <v>1199</v>
      </c>
      <c r="P47" s="296"/>
    </row>
    <row r="48" spans="14:17" x14ac:dyDescent="0.25">
      <c r="N48" s="295"/>
      <c r="O48" s="296"/>
      <c r="P48" s="296"/>
    </row>
    <row r="49" spans="14:16" ht="16.5" x14ac:dyDescent="0.25">
      <c r="N49" s="19"/>
      <c r="O49" s="19" t="s">
        <v>1200</v>
      </c>
      <c r="P49" s="19"/>
    </row>
    <row r="50" spans="14:16" x14ac:dyDescent="0.25">
      <c r="N50" s="295" t="s">
        <v>1201</v>
      </c>
      <c r="O50" s="296" t="s">
        <v>1199</v>
      </c>
      <c r="P50" s="296"/>
    </row>
    <row r="51" spans="14:16" x14ac:dyDescent="0.25">
      <c r="N51" s="295"/>
      <c r="O51" s="296"/>
      <c r="P51" s="296"/>
    </row>
    <row r="52" spans="14:16" ht="16.5" x14ac:dyDescent="0.25">
      <c r="N52" s="19"/>
      <c r="O52" s="19" t="s">
        <v>1200</v>
      </c>
      <c r="P52" s="19"/>
    </row>
    <row r="53" spans="14:16" x14ac:dyDescent="0.25">
      <c r="N53" s="13"/>
    </row>
    <row r="54" spans="14:16" ht="16.5" x14ac:dyDescent="0.25">
      <c r="N54" s="19"/>
      <c r="O54" s="11"/>
    </row>
    <row r="55" spans="14:16" x14ac:dyDescent="0.25">
      <c r="N55" s="295" t="s">
        <v>1202</v>
      </c>
      <c r="O55" s="296"/>
    </row>
    <row r="56" spans="14:16" x14ac:dyDescent="0.25">
      <c r="N56" s="295"/>
      <c r="O56" s="296"/>
    </row>
    <row r="57" spans="14:16" ht="16.5" x14ac:dyDescent="0.25">
      <c r="N57" s="19"/>
      <c r="O57" s="21"/>
    </row>
    <row r="58" spans="14:16" x14ac:dyDescent="0.25">
      <c r="N58" s="13"/>
    </row>
    <row r="59" spans="14:16" ht="16.5" x14ac:dyDescent="0.25">
      <c r="N59" s="22"/>
    </row>
  </sheetData>
  <mergeCells count="21">
    <mergeCell ref="Q18:Q20"/>
    <mergeCell ref="N15:N17"/>
    <mergeCell ref="O15:O17"/>
    <mergeCell ref="N18:N20"/>
    <mergeCell ref="O18:O20"/>
    <mergeCell ref="P18:P20"/>
    <mergeCell ref="O27:Q27"/>
    <mergeCell ref="N30:O30"/>
    <mergeCell ref="N32:N33"/>
    <mergeCell ref="O32:O33"/>
    <mergeCell ref="N44:N45"/>
    <mergeCell ref="O44:O45"/>
    <mergeCell ref="P44:P45"/>
    <mergeCell ref="N55:N56"/>
    <mergeCell ref="O55:O56"/>
    <mergeCell ref="N47:N48"/>
    <mergeCell ref="O47:O48"/>
    <mergeCell ref="P47:P48"/>
    <mergeCell ref="N50:N51"/>
    <mergeCell ref="O50:O51"/>
    <mergeCell ref="P50:P51"/>
  </mergeCells>
  <pageMargins left="0.7" right="0.7" top="0.75" bottom="0.75" header="0.3" footer="0.3"/>
  <pageSetup scale="66" orientation="portrait" r:id="rId1"/>
  <drawing r:id="rId2"/>
  <legacyDrawing r:id="rId3"/>
  <controls>
    <mc:AlternateContent xmlns:mc="http://schemas.openxmlformats.org/markup-compatibility/2006">
      <mc:Choice Requires="x14">
        <control shapeId="12331" r:id="rId4" name="Control 43">
          <controlPr defaultSize="0" autoPict="0" r:id="rId5">
            <anchor moveWithCells="1">
              <from>
                <xdr:col>13</xdr:col>
                <xdr:colOff>0</xdr:colOff>
                <xdr:row>12</xdr:row>
                <xdr:rowOff>0</xdr:rowOff>
              </from>
              <to>
                <xdr:col>14</xdr:col>
                <xdr:colOff>7324725</xdr:colOff>
                <xdr:row>12</xdr:row>
                <xdr:rowOff>228600</xdr:rowOff>
              </to>
            </anchor>
          </controlPr>
        </control>
      </mc:Choice>
      <mc:Fallback>
        <control shapeId="12331" r:id="rId4" name="Control 43"/>
      </mc:Fallback>
    </mc:AlternateContent>
    <mc:AlternateContent xmlns:mc="http://schemas.openxmlformats.org/markup-compatibility/2006">
      <mc:Choice Requires="x14">
        <control shapeId="12332" r:id="rId6" name="Control 44">
          <controlPr defaultSize="0" autoPict="0" r:id="rId7">
            <anchor moveWithCells="1">
              <from>
                <xdr:col>14</xdr:col>
                <xdr:colOff>0</xdr:colOff>
                <xdr:row>12</xdr:row>
                <xdr:rowOff>0</xdr:rowOff>
              </from>
              <to>
                <xdr:col>14</xdr:col>
                <xdr:colOff>552450</xdr:colOff>
                <xdr:row>12</xdr:row>
                <xdr:rowOff>228600</xdr:rowOff>
              </to>
            </anchor>
          </controlPr>
        </control>
      </mc:Choice>
      <mc:Fallback>
        <control shapeId="12332" r:id="rId6" name="Control 44"/>
      </mc:Fallback>
    </mc:AlternateContent>
    <mc:AlternateContent xmlns:mc="http://schemas.openxmlformats.org/markup-compatibility/2006">
      <mc:Choice Requires="x14">
        <control shapeId="12333" r:id="rId8" name="Control 45">
          <controlPr defaultSize="0" autoPict="0" r:id="rId9">
            <anchor moveWithCells="1">
              <from>
                <xdr:col>13</xdr:col>
                <xdr:colOff>0</xdr:colOff>
                <xdr:row>14</xdr:row>
                <xdr:rowOff>9525</xdr:rowOff>
              </from>
              <to>
                <xdr:col>13</xdr:col>
                <xdr:colOff>2619375</xdr:colOff>
                <xdr:row>15</xdr:row>
                <xdr:rowOff>47625</xdr:rowOff>
              </to>
            </anchor>
          </controlPr>
        </control>
      </mc:Choice>
      <mc:Fallback>
        <control shapeId="12333" r:id="rId8" name="Control 45"/>
      </mc:Fallback>
    </mc:AlternateContent>
    <mc:AlternateContent xmlns:mc="http://schemas.openxmlformats.org/markup-compatibility/2006">
      <mc:Choice Requires="x14">
        <control shapeId="12334" r:id="rId10" name="Control 46">
          <controlPr defaultSize="0" autoPict="0" r:id="rId11">
            <anchor moveWithCells="1">
              <from>
                <xdr:col>14</xdr:col>
                <xdr:colOff>0</xdr:colOff>
                <xdr:row>15</xdr:row>
                <xdr:rowOff>9525</xdr:rowOff>
              </from>
              <to>
                <xdr:col>14</xdr:col>
                <xdr:colOff>1038225</xdr:colOff>
                <xdr:row>16</xdr:row>
                <xdr:rowOff>47625</xdr:rowOff>
              </to>
            </anchor>
          </controlPr>
        </control>
      </mc:Choice>
      <mc:Fallback>
        <control shapeId="12334" r:id="rId10" name="Control 46"/>
      </mc:Fallback>
    </mc:AlternateContent>
    <mc:AlternateContent xmlns:mc="http://schemas.openxmlformats.org/markup-compatibility/2006">
      <mc:Choice Requires="x14">
        <control shapeId="12338" r:id="rId12" name="Control 50">
          <controlPr defaultSize="0" autoPict="0" r:id="rId13">
            <anchor moveWithCells="1">
              <from>
                <xdr:col>14</xdr:col>
                <xdr:colOff>0</xdr:colOff>
                <xdr:row>20</xdr:row>
                <xdr:rowOff>9525</xdr:rowOff>
              </from>
              <to>
                <xdr:col>15</xdr:col>
                <xdr:colOff>1019175</xdr:colOff>
                <xdr:row>21</xdr:row>
                <xdr:rowOff>28575</xdr:rowOff>
              </to>
            </anchor>
          </controlPr>
        </control>
      </mc:Choice>
      <mc:Fallback>
        <control shapeId="12338" r:id="rId12" name="Control 50"/>
      </mc:Fallback>
    </mc:AlternateContent>
    <mc:AlternateContent xmlns:mc="http://schemas.openxmlformats.org/markup-compatibility/2006">
      <mc:Choice Requires="x14">
        <control shapeId="12339" r:id="rId14" name="Control 51">
          <controlPr defaultSize="0" autoPict="0" r:id="rId15">
            <anchor moveWithCells="1">
              <from>
                <xdr:col>16</xdr:col>
                <xdr:colOff>9525</xdr:colOff>
                <xdr:row>20</xdr:row>
                <xdr:rowOff>9525</xdr:rowOff>
              </from>
              <to>
                <xdr:col>38</xdr:col>
                <xdr:colOff>114300</xdr:colOff>
                <xdr:row>21</xdr:row>
                <xdr:rowOff>28575</xdr:rowOff>
              </to>
            </anchor>
          </controlPr>
        </control>
      </mc:Choice>
      <mc:Fallback>
        <control shapeId="12339" r:id="rId14" name="Control 51"/>
      </mc:Fallback>
    </mc:AlternateContent>
    <mc:AlternateContent xmlns:mc="http://schemas.openxmlformats.org/markup-compatibility/2006">
      <mc:Choice Requires="x14">
        <control shapeId="12340" r:id="rId16" name="Control 52">
          <controlPr defaultSize="0" autoPict="0" r:id="rId17">
            <anchor moveWithCells="1">
              <from>
                <xdr:col>14</xdr:col>
                <xdr:colOff>0</xdr:colOff>
                <xdr:row>21</xdr:row>
                <xdr:rowOff>9525</xdr:rowOff>
              </from>
              <to>
                <xdr:col>14</xdr:col>
                <xdr:colOff>10506075</xdr:colOff>
                <xdr:row>22</xdr:row>
                <xdr:rowOff>28575</xdr:rowOff>
              </to>
            </anchor>
          </controlPr>
        </control>
      </mc:Choice>
      <mc:Fallback>
        <control shapeId="12340" r:id="rId16" name="Control 52"/>
      </mc:Fallback>
    </mc:AlternateContent>
    <mc:AlternateContent xmlns:mc="http://schemas.openxmlformats.org/markup-compatibility/2006">
      <mc:Choice Requires="x14">
        <control shapeId="12341" r:id="rId18" name="Control 53">
          <controlPr defaultSize="0" autoPict="0" r:id="rId19">
            <anchor moveWithCells="1">
              <from>
                <xdr:col>16</xdr:col>
                <xdr:colOff>9525</xdr:colOff>
                <xdr:row>21</xdr:row>
                <xdr:rowOff>9525</xdr:rowOff>
              </from>
              <to>
                <xdr:col>16</xdr:col>
                <xdr:colOff>1133475</xdr:colOff>
                <xdr:row>22</xdr:row>
                <xdr:rowOff>28575</xdr:rowOff>
              </to>
            </anchor>
          </controlPr>
        </control>
      </mc:Choice>
      <mc:Fallback>
        <control shapeId="12341" r:id="rId18" name="Control 53"/>
      </mc:Fallback>
    </mc:AlternateContent>
    <mc:AlternateContent xmlns:mc="http://schemas.openxmlformats.org/markup-compatibility/2006">
      <mc:Choice Requires="x14">
        <control shapeId="12342" r:id="rId20" name="Control 54">
          <controlPr defaultSize="0" autoPict="0" r:id="rId21">
            <anchor moveWithCells="1">
              <from>
                <xdr:col>14</xdr:col>
                <xdr:colOff>0</xdr:colOff>
                <xdr:row>22</xdr:row>
                <xdr:rowOff>9525</xdr:rowOff>
              </from>
              <to>
                <xdr:col>14</xdr:col>
                <xdr:colOff>12649200</xdr:colOff>
                <xdr:row>23</xdr:row>
                <xdr:rowOff>28575</xdr:rowOff>
              </to>
            </anchor>
          </controlPr>
        </control>
      </mc:Choice>
      <mc:Fallback>
        <control shapeId="12342" r:id="rId20" name="Control 54"/>
      </mc:Fallback>
    </mc:AlternateContent>
    <mc:AlternateContent xmlns:mc="http://schemas.openxmlformats.org/markup-compatibility/2006">
      <mc:Choice Requires="x14">
        <control shapeId="12343" r:id="rId22" name="Control 55">
          <controlPr defaultSize="0" autoPict="0" r:id="rId23">
            <anchor moveWithCells="1">
              <from>
                <xdr:col>16</xdr:col>
                <xdr:colOff>9525</xdr:colOff>
                <xdr:row>22</xdr:row>
                <xdr:rowOff>9525</xdr:rowOff>
              </from>
              <to>
                <xdr:col>16</xdr:col>
                <xdr:colOff>1133475</xdr:colOff>
                <xdr:row>23</xdr:row>
                <xdr:rowOff>28575</xdr:rowOff>
              </to>
            </anchor>
          </controlPr>
        </control>
      </mc:Choice>
      <mc:Fallback>
        <control shapeId="12343" r:id="rId22" name="Control 55"/>
      </mc:Fallback>
    </mc:AlternateContent>
    <mc:AlternateContent xmlns:mc="http://schemas.openxmlformats.org/markup-compatibility/2006">
      <mc:Choice Requires="x14">
        <control shapeId="12344" r:id="rId24" name="Control 56">
          <controlPr defaultSize="0" r:id="rId25">
            <anchor moveWithCells="1">
              <from>
                <xdr:col>14</xdr:col>
                <xdr:colOff>0</xdr:colOff>
                <xdr:row>23</xdr:row>
                <xdr:rowOff>76200</xdr:rowOff>
              </from>
              <to>
                <xdr:col>14</xdr:col>
                <xdr:colOff>1781175</xdr:colOff>
                <xdr:row>25</xdr:row>
                <xdr:rowOff>104775</xdr:rowOff>
              </to>
            </anchor>
          </controlPr>
        </control>
      </mc:Choice>
      <mc:Fallback>
        <control shapeId="12344" r:id="rId24" name="Control 56"/>
      </mc:Fallback>
    </mc:AlternateContent>
    <mc:AlternateContent xmlns:mc="http://schemas.openxmlformats.org/markup-compatibility/2006">
      <mc:Choice Requires="x14">
        <control shapeId="12345" r:id="rId26" name="Control 57">
          <controlPr defaultSize="0" r:id="rId25">
            <anchor moveWithCells="1">
              <from>
                <xdr:col>16</xdr:col>
                <xdr:colOff>38100</xdr:colOff>
                <xdr:row>23</xdr:row>
                <xdr:rowOff>76200</xdr:rowOff>
              </from>
              <to>
                <xdr:col>16</xdr:col>
                <xdr:colOff>1819275</xdr:colOff>
                <xdr:row>25</xdr:row>
                <xdr:rowOff>104775</xdr:rowOff>
              </to>
            </anchor>
          </controlPr>
        </control>
      </mc:Choice>
      <mc:Fallback>
        <control shapeId="12345" r:id="rId26" name="Control 57"/>
      </mc:Fallback>
    </mc:AlternateContent>
    <mc:AlternateContent xmlns:mc="http://schemas.openxmlformats.org/markup-compatibility/2006">
      <mc:Choice Requires="x14">
        <control shapeId="12347" r:id="rId27" name="Control 59">
          <controlPr defaultSize="0" r:id="rId28">
            <anchor moveWithCells="1">
              <from>
                <xdr:col>14</xdr:col>
                <xdr:colOff>0</xdr:colOff>
                <xdr:row>26</xdr:row>
                <xdr:rowOff>180975</xdr:rowOff>
              </from>
              <to>
                <xdr:col>14</xdr:col>
                <xdr:colOff>2847975</xdr:colOff>
                <xdr:row>28</xdr:row>
                <xdr:rowOff>190500</xdr:rowOff>
              </to>
            </anchor>
          </controlPr>
        </control>
      </mc:Choice>
      <mc:Fallback>
        <control shapeId="12347" r:id="rId27" name="Control 59"/>
      </mc:Fallback>
    </mc:AlternateContent>
    <mc:AlternateContent xmlns:mc="http://schemas.openxmlformats.org/markup-compatibility/2006">
      <mc:Choice Requires="x14">
        <control shapeId="12348" r:id="rId29" name="Control 60">
          <controlPr defaultSize="0" autoPict="0" r:id="rId30">
            <anchor moveWithCells="1">
              <from>
                <xdr:col>14</xdr:col>
                <xdr:colOff>0</xdr:colOff>
                <xdr:row>27</xdr:row>
                <xdr:rowOff>28575</xdr:rowOff>
              </from>
              <to>
                <xdr:col>14</xdr:col>
                <xdr:colOff>1952625</xdr:colOff>
                <xdr:row>28</xdr:row>
                <xdr:rowOff>47625</xdr:rowOff>
              </to>
            </anchor>
          </controlPr>
        </control>
      </mc:Choice>
      <mc:Fallback>
        <control shapeId="12348" r:id="rId29" name="Control 60"/>
      </mc:Fallback>
    </mc:AlternateContent>
    <mc:AlternateContent xmlns:mc="http://schemas.openxmlformats.org/markup-compatibility/2006">
      <mc:Choice Requires="x14">
        <control shapeId="12349" r:id="rId31" name="Control 61">
          <controlPr defaultSize="0" autoPict="0" r:id="rId32">
            <anchor moveWithCells="1">
              <from>
                <xdr:col>16</xdr:col>
                <xdr:colOff>9525</xdr:colOff>
                <xdr:row>27</xdr:row>
                <xdr:rowOff>28575</xdr:rowOff>
              </from>
              <to>
                <xdr:col>16</xdr:col>
                <xdr:colOff>1962150</xdr:colOff>
                <xdr:row>28</xdr:row>
                <xdr:rowOff>47625</xdr:rowOff>
              </to>
            </anchor>
          </controlPr>
        </control>
      </mc:Choice>
      <mc:Fallback>
        <control shapeId="12349" r:id="rId31" name="Control 61"/>
      </mc:Fallback>
    </mc:AlternateContent>
    <mc:AlternateContent xmlns:mc="http://schemas.openxmlformats.org/markup-compatibility/2006">
      <mc:Choice Requires="x14">
        <control shapeId="12350" r:id="rId33" name="Control 62">
          <controlPr defaultSize="0" autoPict="0" r:id="rId34">
            <anchor moveWithCells="1">
              <from>
                <xdr:col>14</xdr:col>
                <xdr:colOff>0</xdr:colOff>
                <xdr:row>28</xdr:row>
                <xdr:rowOff>28575</xdr:rowOff>
              </from>
              <to>
                <xdr:col>14</xdr:col>
                <xdr:colOff>1952625</xdr:colOff>
                <xdr:row>29</xdr:row>
                <xdr:rowOff>47625</xdr:rowOff>
              </to>
            </anchor>
          </controlPr>
        </control>
      </mc:Choice>
      <mc:Fallback>
        <control shapeId="12350" r:id="rId33" name="Control 62"/>
      </mc:Fallback>
    </mc:AlternateContent>
    <mc:AlternateContent xmlns:mc="http://schemas.openxmlformats.org/markup-compatibility/2006">
      <mc:Choice Requires="x14">
        <control shapeId="12351" r:id="rId35" name="Control 63">
          <controlPr defaultSize="0" autoPict="0" r:id="rId36">
            <anchor moveWithCells="1">
              <from>
                <xdr:col>16</xdr:col>
                <xdr:colOff>9525</xdr:colOff>
                <xdr:row>28</xdr:row>
                <xdr:rowOff>28575</xdr:rowOff>
              </from>
              <to>
                <xdr:col>16</xdr:col>
                <xdr:colOff>1962150</xdr:colOff>
                <xdr:row>29</xdr:row>
                <xdr:rowOff>47625</xdr:rowOff>
              </to>
            </anchor>
          </controlPr>
        </control>
      </mc:Choice>
      <mc:Fallback>
        <control shapeId="12351" r:id="rId35" name="Control 63"/>
      </mc:Fallback>
    </mc:AlternateContent>
    <mc:AlternateContent xmlns:mc="http://schemas.openxmlformats.org/markup-compatibility/2006">
      <mc:Choice Requires="x14">
        <control shapeId="12352" r:id="rId37" name="Control 64">
          <controlPr defaultSize="0" autoPict="0" r:id="rId38">
            <anchor moveWithCells="1">
              <from>
                <xdr:col>13</xdr:col>
                <xdr:colOff>0</xdr:colOff>
                <xdr:row>29</xdr:row>
                <xdr:rowOff>28575</xdr:rowOff>
              </from>
              <to>
                <xdr:col>13</xdr:col>
                <xdr:colOff>1123950</xdr:colOff>
                <xdr:row>29</xdr:row>
                <xdr:rowOff>257175</xdr:rowOff>
              </to>
            </anchor>
          </controlPr>
        </control>
      </mc:Choice>
      <mc:Fallback>
        <control shapeId="12352" r:id="rId37" name="Control 64"/>
      </mc:Fallback>
    </mc:AlternateContent>
    <mc:AlternateContent xmlns:mc="http://schemas.openxmlformats.org/markup-compatibility/2006">
      <mc:Choice Requires="x14">
        <control shapeId="12353" r:id="rId39" name="Control 65">
          <controlPr defaultSize="0" autoPict="0" r:id="rId40">
            <anchor moveWithCells="1">
              <from>
                <xdr:col>14</xdr:col>
                <xdr:colOff>0</xdr:colOff>
                <xdr:row>29</xdr:row>
                <xdr:rowOff>28575</xdr:rowOff>
              </from>
              <to>
                <xdr:col>14</xdr:col>
                <xdr:colOff>1504950</xdr:colOff>
                <xdr:row>29</xdr:row>
                <xdr:rowOff>257175</xdr:rowOff>
              </to>
            </anchor>
          </controlPr>
        </control>
      </mc:Choice>
      <mc:Fallback>
        <control shapeId="12353" r:id="rId39" name="Control 65"/>
      </mc:Fallback>
    </mc:AlternateContent>
    <mc:AlternateContent xmlns:mc="http://schemas.openxmlformats.org/markup-compatibility/2006">
      <mc:Choice Requires="x14">
        <control shapeId="12354" r:id="rId41" name="Control 66">
          <controlPr defaultSize="0" r:id="rId25">
            <anchor moveWithCells="1">
              <from>
                <xdr:col>16</xdr:col>
                <xdr:colOff>38100</xdr:colOff>
                <xdr:row>29</xdr:row>
                <xdr:rowOff>114300</xdr:rowOff>
              </from>
              <to>
                <xdr:col>16</xdr:col>
                <xdr:colOff>1819275</xdr:colOff>
                <xdr:row>29</xdr:row>
                <xdr:rowOff>542925</xdr:rowOff>
              </to>
            </anchor>
          </controlPr>
        </control>
      </mc:Choice>
      <mc:Fallback>
        <control shapeId="12354" r:id="rId41" name="Control 66"/>
      </mc:Fallback>
    </mc:AlternateContent>
    <mc:AlternateContent xmlns:mc="http://schemas.openxmlformats.org/markup-compatibility/2006">
      <mc:Choice Requires="x14">
        <control shapeId="12356" r:id="rId42" name="Control 68">
          <controlPr defaultSize="0" r:id="rId25">
            <anchor moveWithCells="1">
              <from>
                <xdr:col>14</xdr:col>
                <xdr:colOff>0</xdr:colOff>
                <xdr:row>33</xdr:row>
                <xdr:rowOff>152400</xdr:rowOff>
              </from>
              <to>
                <xdr:col>14</xdr:col>
                <xdr:colOff>1781175</xdr:colOff>
                <xdr:row>35</xdr:row>
                <xdr:rowOff>180975</xdr:rowOff>
              </to>
            </anchor>
          </controlPr>
        </control>
      </mc:Choice>
      <mc:Fallback>
        <control shapeId="12356" r:id="rId42" name="Control 68"/>
      </mc:Fallback>
    </mc:AlternateContent>
    <mc:AlternateContent xmlns:mc="http://schemas.openxmlformats.org/markup-compatibility/2006">
      <mc:Choice Requires="x14">
        <control shapeId="12357" r:id="rId43" name="Control 69">
          <controlPr defaultSize="0" r:id="rId25">
            <anchor moveWithCells="1">
              <from>
                <xdr:col>16</xdr:col>
                <xdr:colOff>38100</xdr:colOff>
                <xdr:row>33</xdr:row>
                <xdr:rowOff>152400</xdr:rowOff>
              </from>
              <to>
                <xdr:col>16</xdr:col>
                <xdr:colOff>1819275</xdr:colOff>
                <xdr:row>35</xdr:row>
                <xdr:rowOff>180975</xdr:rowOff>
              </to>
            </anchor>
          </controlPr>
        </control>
      </mc:Choice>
      <mc:Fallback>
        <control shapeId="12357" r:id="rId43" name="Control 69"/>
      </mc:Fallback>
    </mc:AlternateContent>
    <mc:AlternateContent xmlns:mc="http://schemas.openxmlformats.org/markup-compatibility/2006">
      <mc:Choice Requires="x14">
        <control shapeId="12359" r:id="rId44" name="Control 71">
          <controlPr defaultSize="0" autoPict="0" r:id="rId45">
            <anchor moveWithCells="1">
              <from>
                <xdr:col>14</xdr:col>
                <xdr:colOff>0</xdr:colOff>
                <xdr:row>36</xdr:row>
                <xdr:rowOff>152400</xdr:rowOff>
              </from>
              <to>
                <xdr:col>14</xdr:col>
                <xdr:colOff>2619375</xdr:colOff>
                <xdr:row>37</xdr:row>
                <xdr:rowOff>171450</xdr:rowOff>
              </to>
            </anchor>
          </controlPr>
        </control>
      </mc:Choice>
      <mc:Fallback>
        <control shapeId="12359" r:id="rId44" name="Control 71"/>
      </mc:Fallback>
    </mc:AlternateContent>
    <mc:AlternateContent xmlns:mc="http://schemas.openxmlformats.org/markup-compatibility/2006">
      <mc:Choice Requires="x14">
        <control shapeId="12360" r:id="rId46" name="Control 72">
          <controlPr defaultSize="0" autoPict="0" r:id="rId47">
            <anchor moveWithCells="1">
              <from>
                <xdr:col>14</xdr:col>
                <xdr:colOff>0</xdr:colOff>
                <xdr:row>37</xdr:row>
                <xdr:rowOff>47625</xdr:rowOff>
              </from>
              <to>
                <xdr:col>14</xdr:col>
                <xdr:colOff>2619375</xdr:colOff>
                <xdr:row>38</xdr:row>
                <xdr:rowOff>66675</xdr:rowOff>
              </to>
            </anchor>
          </controlPr>
        </control>
      </mc:Choice>
      <mc:Fallback>
        <control shapeId="12360" r:id="rId46" name="Control 72"/>
      </mc:Fallback>
    </mc:AlternateContent>
    <mc:AlternateContent xmlns:mc="http://schemas.openxmlformats.org/markup-compatibility/2006">
      <mc:Choice Requires="x14">
        <control shapeId="12361" r:id="rId48" name="Control 73">
          <controlPr defaultSize="0" autoPict="0" r:id="rId49">
            <anchor moveWithCells="1">
              <from>
                <xdr:col>16</xdr:col>
                <xdr:colOff>9525</xdr:colOff>
                <xdr:row>37</xdr:row>
                <xdr:rowOff>47625</xdr:rowOff>
              </from>
              <to>
                <xdr:col>16</xdr:col>
                <xdr:colOff>2581275</xdr:colOff>
                <xdr:row>38</xdr:row>
                <xdr:rowOff>66675</xdr:rowOff>
              </to>
            </anchor>
          </controlPr>
        </control>
      </mc:Choice>
      <mc:Fallback>
        <control shapeId="12361" r:id="rId48" name="Control 73"/>
      </mc:Fallback>
    </mc:AlternateContent>
    <mc:AlternateContent xmlns:mc="http://schemas.openxmlformats.org/markup-compatibility/2006">
      <mc:Choice Requires="x14">
        <control shapeId="12362" r:id="rId50" name="Control 74">
          <controlPr defaultSize="0" autoPict="0" r:id="rId51">
            <anchor moveWithCells="1">
              <from>
                <xdr:col>14</xdr:col>
                <xdr:colOff>0</xdr:colOff>
                <xdr:row>38</xdr:row>
                <xdr:rowOff>47625</xdr:rowOff>
              </from>
              <to>
                <xdr:col>14</xdr:col>
                <xdr:colOff>2619375</xdr:colOff>
                <xdr:row>39</xdr:row>
                <xdr:rowOff>66675</xdr:rowOff>
              </to>
            </anchor>
          </controlPr>
        </control>
      </mc:Choice>
      <mc:Fallback>
        <control shapeId="12362" r:id="rId50" name="Control 74"/>
      </mc:Fallback>
    </mc:AlternateContent>
    <mc:AlternateContent xmlns:mc="http://schemas.openxmlformats.org/markup-compatibility/2006">
      <mc:Choice Requires="x14">
        <control shapeId="12364" r:id="rId52" name="Control 76">
          <controlPr defaultSize="0" autoPict="0" r:id="rId53">
            <anchor moveWithCells="1">
              <from>
                <xdr:col>15</xdr:col>
                <xdr:colOff>0</xdr:colOff>
                <xdr:row>43</xdr:row>
                <xdr:rowOff>66675</xdr:rowOff>
              </from>
              <to>
                <xdr:col>16</xdr:col>
                <xdr:colOff>647700</xdr:colOff>
                <xdr:row>44</xdr:row>
                <xdr:rowOff>104775</xdr:rowOff>
              </to>
            </anchor>
          </controlPr>
        </control>
      </mc:Choice>
      <mc:Fallback>
        <control shapeId="12364" r:id="rId52" name="Control 76"/>
      </mc:Fallback>
    </mc:AlternateContent>
    <mc:AlternateContent xmlns:mc="http://schemas.openxmlformats.org/markup-compatibility/2006">
      <mc:Choice Requires="x14">
        <control shapeId="12365" r:id="rId54" name="Control 77">
          <controlPr defaultSize="0" autoPict="0" r:id="rId55">
            <anchor moveWithCells="1">
              <from>
                <xdr:col>15</xdr:col>
                <xdr:colOff>0</xdr:colOff>
                <xdr:row>45</xdr:row>
                <xdr:rowOff>66675</xdr:rowOff>
              </from>
              <to>
                <xdr:col>16</xdr:col>
                <xdr:colOff>647700</xdr:colOff>
                <xdr:row>46</xdr:row>
                <xdr:rowOff>85725</xdr:rowOff>
              </to>
            </anchor>
          </controlPr>
        </control>
      </mc:Choice>
      <mc:Fallback>
        <control shapeId="12365" r:id="rId54" name="Control 77"/>
      </mc:Fallback>
    </mc:AlternateContent>
    <mc:AlternateContent xmlns:mc="http://schemas.openxmlformats.org/markup-compatibility/2006">
      <mc:Choice Requires="x14">
        <control shapeId="12366" r:id="rId56" name="Control 78">
          <controlPr defaultSize="0" autoPict="0" r:id="rId57">
            <anchor moveWithCells="1">
              <from>
                <xdr:col>15</xdr:col>
                <xdr:colOff>0</xdr:colOff>
                <xdr:row>46</xdr:row>
                <xdr:rowOff>66675</xdr:rowOff>
              </from>
              <to>
                <xdr:col>16</xdr:col>
                <xdr:colOff>647700</xdr:colOff>
                <xdr:row>47</xdr:row>
                <xdr:rowOff>104775</xdr:rowOff>
              </to>
            </anchor>
          </controlPr>
        </control>
      </mc:Choice>
      <mc:Fallback>
        <control shapeId="12366" r:id="rId56" name="Control 78"/>
      </mc:Fallback>
    </mc:AlternateContent>
    <mc:AlternateContent xmlns:mc="http://schemas.openxmlformats.org/markup-compatibility/2006">
      <mc:Choice Requires="x14">
        <control shapeId="12367" r:id="rId58" name="Control 79">
          <controlPr defaultSize="0" autoPict="0" r:id="rId55">
            <anchor moveWithCells="1">
              <from>
                <xdr:col>15</xdr:col>
                <xdr:colOff>0</xdr:colOff>
                <xdr:row>48</xdr:row>
                <xdr:rowOff>66675</xdr:rowOff>
              </from>
              <to>
                <xdr:col>16</xdr:col>
                <xdr:colOff>647700</xdr:colOff>
                <xdr:row>49</xdr:row>
                <xdr:rowOff>85725</xdr:rowOff>
              </to>
            </anchor>
          </controlPr>
        </control>
      </mc:Choice>
      <mc:Fallback>
        <control shapeId="12367" r:id="rId58" name="Control 79"/>
      </mc:Fallback>
    </mc:AlternateContent>
    <mc:AlternateContent xmlns:mc="http://schemas.openxmlformats.org/markup-compatibility/2006">
      <mc:Choice Requires="x14">
        <control shapeId="12368" r:id="rId59" name="Control 80">
          <controlPr defaultSize="0" autoPict="0" r:id="rId55">
            <anchor moveWithCells="1">
              <from>
                <xdr:col>15</xdr:col>
                <xdr:colOff>0</xdr:colOff>
                <xdr:row>49</xdr:row>
                <xdr:rowOff>66675</xdr:rowOff>
              </from>
              <to>
                <xdr:col>16</xdr:col>
                <xdr:colOff>647700</xdr:colOff>
                <xdr:row>50</xdr:row>
                <xdr:rowOff>104775</xdr:rowOff>
              </to>
            </anchor>
          </controlPr>
        </control>
      </mc:Choice>
      <mc:Fallback>
        <control shapeId="12368" r:id="rId59" name="Control 80"/>
      </mc:Fallback>
    </mc:AlternateContent>
    <mc:AlternateContent xmlns:mc="http://schemas.openxmlformats.org/markup-compatibility/2006">
      <mc:Choice Requires="x14">
        <control shapeId="12369" r:id="rId60" name="Control 81">
          <controlPr defaultSize="0" autoPict="0" r:id="rId55">
            <anchor moveWithCells="1">
              <from>
                <xdr:col>15</xdr:col>
                <xdr:colOff>0</xdr:colOff>
                <xdr:row>51</xdr:row>
                <xdr:rowOff>66675</xdr:rowOff>
              </from>
              <to>
                <xdr:col>16</xdr:col>
                <xdr:colOff>647700</xdr:colOff>
                <xdr:row>52</xdr:row>
                <xdr:rowOff>85725</xdr:rowOff>
              </to>
            </anchor>
          </controlPr>
        </control>
      </mc:Choice>
      <mc:Fallback>
        <control shapeId="12369" r:id="rId60" name="Control 81"/>
      </mc:Fallback>
    </mc:AlternateContent>
    <mc:AlternateContent xmlns:mc="http://schemas.openxmlformats.org/markup-compatibility/2006">
      <mc:Choice Requires="x14">
        <control shapeId="12371" r:id="rId61" name="Control 83">
          <controlPr defaultSize="0" r:id="rId28">
            <anchor moveWithCells="1">
              <from>
                <xdr:col>14</xdr:col>
                <xdr:colOff>0</xdr:colOff>
                <xdr:row>55</xdr:row>
                <xdr:rowOff>114300</xdr:rowOff>
              </from>
              <to>
                <xdr:col>14</xdr:col>
                <xdr:colOff>2847975</xdr:colOff>
                <xdr:row>57</xdr:row>
                <xdr:rowOff>142875</xdr:rowOff>
              </to>
            </anchor>
          </controlPr>
        </control>
      </mc:Choice>
      <mc:Fallback>
        <control shapeId="12371" r:id="rId61" name="Control 83"/>
      </mc:Fallback>
    </mc:AlternateContent>
    <mc:AlternateContent xmlns:mc="http://schemas.openxmlformats.org/markup-compatibility/2006">
      <mc:Choice Requires="x14">
        <control shapeId="12372" r:id="rId62" name="Control 84">
          <controlPr defaultSize="0" autoPict="0" r:id="rId63">
            <anchor moveWithCells="1">
              <from>
                <xdr:col>13</xdr:col>
                <xdr:colOff>0</xdr:colOff>
                <xdr:row>58</xdr:row>
                <xdr:rowOff>76200</xdr:rowOff>
              </from>
              <to>
                <xdr:col>13</xdr:col>
                <xdr:colOff>1257300</xdr:colOff>
                <xdr:row>60</xdr:row>
                <xdr:rowOff>19050</xdr:rowOff>
              </to>
            </anchor>
          </controlPr>
        </control>
      </mc:Choice>
      <mc:Fallback>
        <control shapeId="12372" r:id="rId62" name="Control 84"/>
      </mc:Fallback>
    </mc:AlternateContent>
  </control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
  <sheetViews>
    <sheetView workbookViewId="0">
      <selection activeCell="G40" sqref="G40"/>
    </sheetView>
  </sheetViews>
  <sheetFormatPr baseColWidth="10" defaultRowHeight="15" x14ac:dyDescent="0.25"/>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B2:B3"/>
  <sheetViews>
    <sheetView topLeftCell="A4" workbookViewId="0">
      <selection activeCell="O39" sqref="O39"/>
    </sheetView>
  </sheetViews>
  <sheetFormatPr baseColWidth="10" defaultRowHeight="15" x14ac:dyDescent="0.25"/>
  <cols>
    <col min="1" max="1" width="4.5703125" customWidth="1"/>
    <col min="2" max="2" width="40" bestFit="1" customWidth="1"/>
  </cols>
  <sheetData>
    <row r="2" spans="2:2" ht="15.75" x14ac:dyDescent="0.25">
      <c r="B2" s="23" t="s">
        <v>1211</v>
      </c>
    </row>
    <row r="3" spans="2:2" ht="15.75" x14ac:dyDescent="0.25">
      <c r="B3" s="23" t="s">
        <v>1212</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Hojas de cálculo</vt:lpstr>
      </vt:variant>
      <vt:variant>
        <vt:i4>10</vt:i4>
      </vt:variant>
      <vt:variant>
        <vt:lpstr>Rangos con nombre</vt:lpstr>
      </vt:variant>
      <vt:variant>
        <vt:i4>1</vt:i4>
      </vt:variant>
    </vt:vector>
  </HeadingPairs>
  <TitlesOfParts>
    <vt:vector size="11" baseType="lpstr">
      <vt:lpstr>Subcomisiones</vt:lpstr>
      <vt:lpstr>pilar</vt:lpstr>
      <vt:lpstr>Hoja2</vt:lpstr>
      <vt:lpstr>Hoja3</vt:lpstr>
      <vt:lpstr>Matriz_Metadatos_Todo</vt:lpstr>
      <vt:lpstr>TablaDinamica</vt:lpstr>
      <vt:lpstr>Ficha_P21</vt:lpstr>
      <vt:lpstr>Ficha_INE_PDES</vt:lpstr>
      <vt:lpstr>Diseño_Ficha_Indicador</vt:lpstr>
      <vt:lpstr>Diseño_Ficha_FuenteDatos</vt:lpstr>
      <vt:lpstr>Ficha_INE_PDES!Área_de_impresión</vt:lpstr>
    </vt:vector>
  </TitlesOfParts>
  <Company>INE</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Carmen Maria Ugarteche Soriano</dc:creator>
  <cp:lastModifiedBy>Christiam M. Cordero Rocha</cp:lastModifiedBy>
  <cp:lastPrinted>2018-03-22T01:41:37Z</cp:lastPrinted>
  <dcterms:created xsi:type="dcterms:W3CDTF">2018-03-15T23:35:04Z</dcterms:created>
  <dcterms:modified xsi:type="dcterms:W3CDTF">2018-06-13T12:47:42Z</dcterms:modified>
</cp:coreProperties>
</file>