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nt\Dropbox\NOMAD\Python\reference_files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4" i="1"/>
  <c r="G29" i="1" l="1"/>
  <c r="G28" i="1"/>
  <c r="C24" i="1"/>
  <c r="D24" i="1"/>
  <c r="D33" i="1"/>
  <c r="C33" i="1"/>
  <c r="E21" i="1"/>
  <c r="E32" i="1" s="1"/>
  <c r="D25" i="1"/>
  <c r="C25" i="1"/>
  <c r="D23" i="1"/>
  <c r="C23" i="1"/>
  <c r="C26" i="1" s="1"/>
  <c r="G42" i="1"/>
  <c r="G46" i="1" s="1"/>
  <c r="I46" i="1" s="1"/>
  <c r="C42" i="1"/>
  <c r="C46" i="1" s="1"/>
  <c r="D32" i="1"/>
  <c r="C32" i="1"/>
  <c r="E33" i="1" l="1"/>
  <c r="F20" i="1"/>
  <c r="F19" i="1"/>
  <c r="C44" i="1"/>
  <c r="C48" i="1" s="1"/>
  <c r="D26" i="1"/>
  <c r="F21" i="1"/>
  <c r="C45" i="1"/>
  <c r="G44" i="1"/>
  <c r="G45" i="1"/>
  <c r="I45" i="1" s="1"/>
  <c r="I44" i="1" l="1"/>
  <c r="G48" i="1"/>
  <c r="F23" i="1"/>
  <c r="F32" i="1"/>
  <c r="F33" i="1" s="1"/>
  <c r="F24" i="1"/>
</calcChain>
</file>

<file path=xl/sharedStrings.xml><?xml version="1.0" encoding="utf-8"?>
<sst xmlns="http://schemas.openxmlformats.org/spreadsheetml/2006/main" count="51" uniqueCount="43">
  <si>
    <t>-0.9218973, -0.38738526, 0.00616719</t>
  </si>
  <si>
    <t>-0.922221097920913,  -0.386613383297695,   0.006207330031467</t>
  </si>
  <si>
    <t>SO</t>
  </si>
  <si>
    <t>UVIS</t>
  </si>
  <si>
    <t>-0.9215, -0.3884, -0.0003</t>
  </si>
  <si>
    <t>MIR</t>
  </si>
  <si>
    <t>MTP040 boresight</t>
  </si>
  <si>
    <t>NOTE THAT X-Y IN SO FRAME IS FLIPPED</t>
  </si>
  <si>
    <t>X = LONG EDGE OF SLIT</t>
  </si>
  <si>
    <t>Y = SHORT EDGE OF SLIT</t>
  </si>
  <si>
    <t>Y (SHORT)</t>
  </si>
  <si>
    <t>Calculated delta</t>
  </si>
  <si>
    <t>2021 APR 30 10:22:53.429659</t>
  </si>
  <si>
    <t>Closest point to origin</t>
  </si>
  <si>
    <t>Boresight at closest point</t>
  </si>
  <si>
    <t>X</t>
  </si>
  <si>
    <t>Y</t>
  </si>
  <si>
    <t>Z</t>
  </si>
  <si>
    <t>X (LONG) =</t>
  </si>
  <si>
    <t>State Vector</t>
  </si>
  <si>
    <t>Magnitude</t>
  </si>
  <si>
    <t>Closest to new best point</t>
  </si>
  <si>
    <t>2021 MAY 02 01:35:38.013899</t>
  </si>
  <si>
    <t>Convert to SPICE</t>
  </si>
  <si>
    <t>State Vector TGO frame</t>
  </si>
  <si>
    <t>Old MTP001</t>
  </si>
  <si>
    <t>Convert to SPICE Y rotation</t>
  </si>
  <si>
    <t>New</t>
  </si>
  <si>
    <t>FOV too high</t>
  </si>
  <si>
    <t>Lower signal top bin</t>
  </si>
  <si>
    <t>Sun too low</t>
  </si>
  <si>
    <t>Lower signal last bin</t>
  </si>
  <si>
    <t>FOV too low</t>
  </si>
  <si>
    <t>Sun too high</t>
  </si>
  <si>
    <t>1-Magnitude</t>
  </si>
  <si>
    <t>Old MTP040</t>
  </si>
  <si>
    <t>New normalised MTP049</t>
  </si>
  <si>
    <t>Change from MTP040</t>
  </si>
  <si>
    <t>deg</t>
  </si>
  <si>
    <t>arcminutes</t>
  </si>
  <si>
    <t>&lt;-put these new values in SPICE fk kernel, then move to time closest to max signal</t>
  </si>
  <si>
    <t>If boresight centred on the sun at that location then all good</t>
  </si>
  <si>
    <t>Note that order is actually (Z,Y,X) above!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</si>
</sst>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"/>
    <numFmt numFmtId="165" formatCode="0.000000000000"/>
    <numFmt numFmtId="166" formatCode="0.000000000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0" xfId="1"/>
    <xf numFmtId="0" fontId="2" fillId="0" borderId="0" xfId="0" applyFont="1"/>
    <xf numFmtId="164" fontId="2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304800</xdr:colOff>
      <xdr:row>12</xdr:row>
      <xdr:rowOff>114300</xdr:rowOff>
    </xdr:to>
    <xdr:sp macro="" textlink="">
      <xdr:nvSpPr>
        <xdr:cNvPr id="1025" name="AutoShape 1" descr="boresight-socc-v1_0-zoom.pn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304800</xdr:colOff>
      <xdr:row>7</xdr:row>
      <xdr:rowOff>114300</xdr:rowOff>
    </xdr:to>
    <xdr:sp macro="" textlink="">
      <xdr:nvSpPr>
        <xdr:cNvPr id="1028" name="AutoShape 4" descr="https://issues.cosmos.esa.int/exomarswiki/download/attachments/11470249/boresight-socc-v1_0-zoom.png?version=1&amp;modificationDate=1605882333000&amp;api=v2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257174</xdr:colOff>
      <xdr:row>1</xdr:row>
      <xdr:rowOff>28574</xdr:rowOff>
    </xdr:from>
    <xdr:to>
      <xdr:col>25</xdr:col>
      <xdr:colOff>152399</xdr:colOff>
      <xdr:row>32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174" y="219074"/>
          <a:ext cx="5991225" cy="5991225"/>
        </a:xfrm>
        <a:prstGeom prst="rect">
          <a:avLst/>
        </a:prstGeom>
      </xdr:spPr>
    </xdr:pic>
    <xdr:clientData/>
  </xdr:twoCellAnchor>
  <xdr:twoCellAnchor editAs="oneCell">
    <xdr:from>
      <xdr:col>16</xdr:col>
      <xdr:colOff>200836</xdr:colOff>
      <xdr:row>31</xdr:row>
      <xdr:rowOff>28575</xdr:rowOff>
    </xdr:from>
    <xdr:to>
      <xdr:col>26</xdr:col>
      <xdr:colOff>589324</xdr:colOff>
      <xdr:row>56</xdr:row>
      <xdr:rowOff>151476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31486" y="5934075"/>
          <a:ext cx="6484488" cy="4885401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48</xdr:row>
      <xdr:rowOff>123824</xdr:rowOff>
    </xdr:from>
    <xdr:to>
      <xdr:col>24</xdr:col>
      <xdr:colOff>338931</xdr:colOff>
      <xdr:row>79</xdr:row>
      <xdr:rowOff>140342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20125" y="8886824"/>
          <a:ext cx="7501731" cy="5922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8"/>
  <sheetViews>
    <sheetView tabSelected="1" topLeftCell="A7" workbookViewId="0">
      <selection activeCell="F25" sqref="F25"/>
    </sheetView>
  </sheetViews>
  <sheetFormatPr defaultRowHeight="15" x14ac:dyDescent="0.25"/>
  <cols>
    <col min="2" max="2" width="37.28515625" customWidth="1"/>
    <col min="3" max="3" width="26.28515625" customWidth="1"/>
    <col min="4" max="4" width="18.85546875" bestFit="1" customWidth="1"/>
    <col min="5" max="5" width="19.85546875" customWidth="1"/>
    <col min="6" max="6" width="25.85546875" customWidth="1"/>
    <col min="7" max="7" width="29.85546875" customWidth="1"/>
    <col min="9" max="9" width="19.28515625" customWidth="1"/>
  </cols>
  <sheetData>
    <row r="2" spans="2:7" x14ac:dyDescent="0.25">
      <c r="B2" t="s">
        <v>7</v>
      </c>
    </row>
    <row r="3" spans="2:7" x14ac:dyDescent="0.25">
      <c r="B3" t="s">
        <v>8</v>
      </c>
    </row>
    <row r="4" spans="2:7" x14ac:dyDescent="0.25">
      <c r="B4" t="s">
        <v>9</v>
      </c>
    </row>
    <row r="5" spans="2:7" x14ac:dyDescent="0.25">
      <c r="E5" s="1">
        <v>43264</v>
      </c>
      <c r="F5" t="s">
        <v>2</v>
      </c>
      <c r="G5" t="s">
        <v>0</v>
      </c>
    </row>
    <row r="6" spans="2:7" x14ac:dyDescent="0.25">
      <c r="F6" t="s">
        <v>3</v>
      </c>
      <c r="G6" t="s">
        <v>1</v>
      </c>
    </row>
    <row r="7" spans="2:7" x14ac:dyDescent="0.25">
      <c r="F7" t="s">
        <v>5</v>
      </c>
      <c r="G7" t="s">
        <v>4</v>
      </c>
    </row>
    <row r="12" spans="2:7" x14ac:dyDescent="0.25">
      <c r="C12" t="s">
        <v>6</v>
      </c>
    </row>
    <row r="14" spans="2:7" x14ac:dyDescent="0.25">
      <c r="B14" t="s">
        <v>11</v>
      </c>
      <c r="E14" s="2">
        <f>D19-F19</f>
        <v>-1.2506354273100762E-4</v>
      </c>
    </row>
    <row r="15" spans="2:7" x14ac:dyDescent="0.25">
      <c r="B15" t="s">
        <v>18</v>
      </c>
      <c r="C15" s="4">
        <v>-2.4594354812210802E-4</v>
      </c>
      <c r="E15" s="2">
        <f t="shared" ref="E15:E16" si="0">D20-F20</f>
        <v>2.9748386097577795E-4</v>
      </c>
    </row>
    <row r="16" spans="2:7" x14ac:dyDescent="0.25">
      <c r="B16" t="s">
        <v>10</v>
      </c>
      <c r="C16" s="4">
        <v>5.2572414605900397E-5</v>
      </c>
      <c r="E16" s="2">
        <f t="shared" si="0"/>
        <v>1.9057815143705414E-9</v>
      </c>
    </row>
    <row r="18" spans="2:8" x14ac:dyDescent="0.25">
      <c r="B18" t="s">
        <v>2</v>
      </c>
      <c r="C18" t="s">
        <v>25</v>
      </c>
      <c r="D18" t="s">
        <v>35</v>
      </c>
      <c r="E18" s="7" t="s">
        <v>27</v>
      </c>
      <c r="F18" s="6" t="s">
        <v>36</v>
      </c>
    </row>
    <row r="19" spans="2:8" x14ac:dyDescent="0.25">
      <c r="C19" s="2">
        <v>-0.92156000000000005</v>
      </c>
      <c r="D19" s="2">
        <v>-0.92189730000000003</v>
      </c>
      <c r="E19" s="7">
        <v>-0.92177252130288445</v>
      </c>
      <c r="F19" s="6">
        <f>E19/E32</f>
        <v>-0.92177223645726902</v>
      </c>
    </row>
    <row r="20" spans="2:8" x14ac:dyDescent="0.25">
      <c r="C20" s="2">
        <v>-0.38818999999999998</v>
      </c>
      <c r="D20" s="2">
        <v>-0.38738526000000001</v>
      </c>
      <c r="E20" s="7">
        <v>-0.38768286366251181</v>
      </c>
      <c r="F20" s="6">
        <f>E20/E32</f>
        <v>-0.38768274386097579</v>
      </c>
    </row>
    <row r="21" spans="2:8" x14ac:dyDescent="0.25">
      <c r="C21" s="2">
        <v>6.1799999999999997E-3</v>
      </c>
      <c r="D21" s="2">
        <v>6.1671900000000003E-3</v>
      </c>
      <c r="E21" s="8">
        <f>D21</f>
        <v>6.1671900000000003E-3</v>
      </c>
      <c r="F21" s="6">
        <f>E21/E32</f>
        <v>6.167188094218486E-3</v>
      </c>
    </row>
    <row r="23" spans="2:8" x14ac:dyDescent="0.25">
      <c r="B23" t="s">
        <v>26</v>
      </c>
      <c r="C23">
        <f>ASIN(C19) * 180 / PI()</f>
        <v>-67.155219411155898</v>
      </c>
      <c r="D23">
        <f>ASIN(D19) * 180 / PI()</f>
        <v>-67.205049512972394</v>
      </c>
      <c r="F23">
        <f>ASIN(F19) * 180 / PI()</f>
        <v>-67.186561571388054</v>
      </c>
      <c r="G23" s="6" t="s">
        <v>40</v>
      </c>
    </row>
    <row r="24" spans="2:8" x14ac:dyDescent="0.25">
      <c r="B24" t="s">
        <v>42</v>
      </c>
      <c r="C24">
        <f>ATAN(-1*C20/C21) * 180 / PI()</f>
        <v>89.087925995802976</v>
      </c>
      <c r="D24">
        <f>ATAN(-1*D20/D21) * 180 / PI()</f>
        <v>89.087925775140405</v>
      </c>
      <c r="F24">
        <f t="shared" ref="F24" si="1">ATAN(-1*F20/F21) * 180 / PI()</f>
        <v>89.088625808220911</v>
      </c>
      <c r="G24" s="6" t="s">
        <v>41</v>
      </c>
    </row>
    <row r="25" spans="2:8" x14ac:dyDescent="0.25">
      <c r="C25">
        <f>ASIN(C20) * 180 / PI()</f>
        <v>-22.841922704823286</v>
      </c>
      <c r="D25">
        <f>ASIN(D20) * 180 / PI()</f>
        <v>-22.791900171070186</v>
      </c>
    </row>
    <row r="26" spans="2:8" x14ac:dyDescent="0.25">
      <c r="C26">
        <f>C23+C25</f>
        <v>-89.997142115979187</v>
      </c>
      <c r="D26">
        <f>D23+D25</f>
        <v>-89.996949684042576</v>
      </c>
    </row>
    <row r="27" spans="2:8" x14ac:dyDescent="0.25">
      <c r="G27" s="6" t="s">
        <v>37</v>
      </c>
      <c r="H27" s="6"/>
    </row>
    <row r="28" spans="2:8" x14ac:dyDescent="0.25">
      <c r="C28" t="s">
        <v>29</v>
      </c>
      <c r="D28" t="s">
        <v>31</v>
      </c>
      <c r="G28" s="6">
        <f>F23-D23</f>
        <v>1.8487941584339751E-2</v>
      </c>
      <c r="H28" s="6" t="s">
        <v>38</v>
      </c>
    </row>
    <row r="29" spans="2:8" x14ac:dyDescent="0.25">
      <c r="C29" t="s">
        <v>28</v>
      </c>
      <c r="D29" t="s">
        <v>32</v>
      </c>
      <c r="G29" s="6">
        <f>G28*60</f>
        <v>1.1092764950603851</v>
      </c>
      <c r="H29" s="6" t="s">
        <v>39</v>
      </c>
    </row>
    <row r="30" spans="2:8" x14ac:dyDescent="0.25">
      <c r="C30" t="s">
        <v>30</v>
      </c>
      <c r="D30" t="s">
        <v>33</v>
      </c>
    </row>
    <row r="32" spans="2:8" x14ac:dyDescent="0.25">
      <c r="B32" t="s">
        <v>20</v>
      </c>
      <c r="C32" s="5">
        <f>SQRT(SUM(C19^2+C20^2+C21^2))</f>
        <v>1.0000012510492176</v>
      </c>
      <c r="D32" s="5">
        <f>SQRT(SUM(D19^2+D20^2+D21^2))</f>
        <v>1.0000000028225269</v>
      </c>
      <c r="E32" s="5">
        <f>SQRT(SUM(E19^2+E20^2+E21^2))</f>
        <v>1.0000003090195215</v>
      </c>
      <c r="F32" s="5">
        <f>SQRT(SUM(F19^2+F20^2+F21^2))</f>
        <v>1</v>
      </c>
    </row>
    <row r="33" spans="2:9" x14ac:dyDescent="0.25">
      <c r="B33" t="s">
        <v>34</v>
      </c>
      <c r="C33" s="3">
        <f>1-C32</f>
        <v>-1.2510492175543675E-6</v>
      </c>
      <c r="D33" s="3">
        <f>1-D32</f>
        <v>-2.8225268788872881E-9</v>
      </c>
      <c r="E33" s="3">
        <f>1-E32</f>
        <v>-3.0901952152717627E-7</v>
      </c>
      <c r="F33" s="3">
        <f>1-F32</f>
        <v>0</v>
      </c>
    </row>
    <row r="35" spans="2:9" x14ac:dyDescent="0.25">
      <c r="C35" t="s">
        <v>13</v>
      </c>
      <c r="G35" t="s">
        <v>21</v>
      </c>
    </row>
    <row r="36" spans="2:9" x14ac:dyDescent="0.25">
      <c r="B36" t="s">
        <v>24</v>
      </c>
      <c r="C36" t="s">
        <v>12</v>
      </c>
      <c r="F36" t="s">
        <v>19</v>
      </c>
      <c r="G36" t="s">
        <v>22</v>
      </c>
    </row>
    <row r="37" spans="2:9" x14ac:dyDescent="0.25">
      <c r="B37" t="s">
        <v>15</v>
      </c>
      <c r="C37">
        <v>-226121685.37181699</v>
      </c>
      <c r="F37" t="s">
        <v>15</v>
      </c>
      <c r="G37">
        <v>-226247571.12957799</v>
      </c>
    </row>
    <row r="38" spans="2:9" x14ac:dyDescent="0.25">
      <c r="B38" t="s">
        <v>16</v>
      </c>
      <c r="C38">
        <v>-95018309.837336496</v>
      </c>
      <c r="F38" t="s">
        <v>16</v>
      </c>
      <c r="G38">
        <v>-95156130.439021096</v>
      </c>
    </row>
    <row r="39" spans="2:9" x14ac:dyDescent="0.25">
      <c r="B39" t="s">
        <v>17</v>
      </c>
      <c r="C39">
        <v>1526369.6114244</v>
      </c>
      <c r="F39" t="s">
        <v>17</v>
      </c>
      <c r="G39">
        <v>1501377.7270526299</v>
      </c>
    </row>
    <row r="42" spans="2:9" x14ac:dyDescent="0.25">
      <c r="B42" t="s">
        <v>20</v>
      </c>
      <c r="C42" s="5">
        <f>SQRT(SUM(C37^2+C38^2+C39^2))</f>
        <v>245279076.97952092</v>
      </c>
      <c r="F42" t="s">
        <v>20</v>
      </c>
      <c r="G42" s="5">
        <f>SQRT(SUM(G37^2+G38^2+G39^2))</f>
        <v>245448378.96641475</v>
      </c>
    </row>
    <row r="44" spans="2:9" x14ac:dyDescent="0.25">
      <c r="B44" t="s">
        <v>14</v>
      </c>
      <c r="C44">
        <f>C37/C42</f>
        <v>-0.92189553286151904</v>
      </c>
      <c r="D44" s="2"/>
      <c r="F44" t="s">
        <v>14</v>
      </c>
      <c r="G44">
        <f>G37/G42</f>
        <v>-0.92177252130288445</v>
      </c>
      <c r="I44" s="2">
        <f>G44-C19</f>
        <v>-2.1252130288440529E-4</v>
      </c>
    </row>
    <row r="45" spans="2:9" x14ac:dyDescent="0.25">
      <c r="C45">
        <f>C38/C42</f>
        <v>-0.3873885657408514</v>
      </c>
      <c r="D45" s="2"/>
      <c r="G45">
        <f>G38/G42</f>
        <v>-0.38768286366251181</v>
      </c>
      <c r="I45" s="2">
        <f>G45-C20</f>
        <v>5.0713633748816767E-4</v>
      </c>
    </row>
    <row r="46" spans="2:9" x14ac:dyDescent="0.25">
      <c r="C46">
        <f>C39/C42</f>
        <v>6.22299150103146E-3</v>
      </c>
      <c r="D46" s="2"/>
      <c r="G46">
        <f>G39/G42</f>
        <v>6.1168777458418941E-3</v>
      </c>
      <c r="I46" s="2">
        <f>G46-C21</f>
        <v>-6.3122254158105677E-5</v>
      </c>
    </row>
    <row r="48" spans="2:9" x14ac:dyDescent="0.25">
      <c r="B48" t="s">
        <v>23</v>
      </c>
      <c r="C48">
        <f>ASIN(C44) * 180 / PI()</f>
        <v>-67.204788180878836</v>
      </c>
      <c r="F48" t="s">
        <v>23</v>
      </c>
      <c r="G48">
        <f>ASIN(G44) * 180 / PI()</f>
        <v>-67.186603663540609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2021-10-26T07:18:34Z</dcterms:created>
  <dcterms:modified xsi:type="dcterms:W3CDTF">2021-10-28T12:30:28Z</dcterms:modified>
</cp:coreProperties>
</file>