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71.xml" ContentType="application/vnd.openxmlformats-officedocument.spreadsheetml.table+xml"/>
  <Override PartName="/xl/tables/table22.xml" ContentType="application/vnd.openxmlformats-officedocument.spreadsheetml.table+xml"/>
  <Override PartName="/xl/tables/table63.xml" ContentType="application/vnd.openxmlformats-officedocument.spreadsheetml.table+xml"/>
  <Override PartName="/xl/tables/table114.xml" ContentType="application/vnd.openxmlformats-officedocument.spreadsheetml.table+xml"/>
  <Override PartName="/xl/drawings/drawing21.xml" ContentType="application/vnd.openxmlformats-officedocument.drawing+xml"/>
  <Override PartName="/xl/tables/table55.xml" ContentType="application/vnd.openxmlformats-officedocument.spreadsheetml.table+xml"/>
  <Override PartName="/xl/tables/table106.xml" ContentType="application/vnd.openxmlformats-officedocument.spreadsheetml.table+xml"/>
  <Override PartName="/xl/tables/table47.xml" ContentType="application/vnd.openxmlformats-officedocument.spreadsheetml.table+xml"/>
  <Override PartName="/xl/tables/table98.xml" ContentType="application/vnd.openxmlformats-officedocument.spreadsheetml.table+xml"/>
  <Override PartName="/xl/tables/table39.xml" ContentType="application/vnd.openxmlformats-officedocument.spreadsheetml.table+xml"/>
  <Override PartName="/xl/tables/table810.xml" ContentType="application/vnd.openxmlformats-officedocument.spreadsheetml.table+xml"/>
  <Override PartName="/xl/worksheets/sheet12.xml" ContentType="application/vnd.openxmlformats-officedocument.spreadsheetml.worksheet+xml"/>
  <Override PartName="/xl/tables/table111.xml" ContentType="application/vnd.openxmlformats-officedocument.spreadsheetml.tab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8_{BCA36091-44AB-4522-876C-5321AB63521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Wedding Budget" sheetId="1" r:id="rId1"/>
    <sheet name="Budget Details" sheetId="2" r:id="rId2"/>
  </sheets>
  <definedNames>
    <definedName name="_xlnm.Print_Titles" localSheetId="1">'Budget Details'!$1:$2</definedName>
    <definedName name="TBL_RankingData">'Wedding Budget'!$J$7:$N$16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1" i="2" l="1"/>
  <c r="E80" i="2"/>
  <c r="E79" i="2"/>
  <c r="E78" i="2"/>
  <c r="E77" i="2"/>
  <c r="E73" i="2"/>
  <c r="E72" i="2"/>
  <c r="E68" i="2"/>
  <c r="E67" i="2"/>
  <c r="E66" i="2"/>
  <c r="E65" i="2"/>
  <c r="E64" i="2"/>
  <c r="E63" i="2"/>
  <c r="E62" i="2"/>
  <c r="E61" i="2"/>
  <c r="E57" i="2"/>
  <c r="E56" i="2"/>
  <c r="E55" i="2"/>
  <c r="E51" i="2"/>
  <c r="E50" i="2"/>
  <c r="E49" i="2"/>
  <c r="E45" i="2"/>
  <c r="E44" i="2"/>
  <c r="E43" i="2"/>
  <c r="E42" i="2"/>
  <c r="E38" i="2"/>
  <c r="E37" i="2"/>
  <c r="E36" i="2"/>
  <c r="E35" i="2"/>
  <c r="E34" i="2"/>
  <c r="E30" i="2"/>
  <c r="E29" i="2"/>
  <c r="E28" i="2"/>
  <c r="E27" i="2"/>
  <c r="E26" i="2"/>
  <c r="E25" i="2"/>
  <c r="E24" i="2"/>
  <c r="E23" i="2"/>
  <c r="E22" i="2"/>
  <c r="E18" i="2"/>
  <c r="E17" i="2"/>
  <c r="E16" i="2"/>
  <c r="E15" i="2"/>
  <c r="E14" i="2"/>
  <c r="E13" i="2"/>
  <c r="D58" i="2" l="1"/>
  <c r="L13" i="1" s="1"/>
  <c r="C58" i="2"/>
  <c r="K13" i="1" s="1"/>
  <c r="M13" i="1" s="1"/>
  <c r="D52" i="2"/>
  <c r="L12" i="1" s="1"/>
  <c r="C52" i="2"/>
  <c r="K12" i="1" s="1"/>
  <c r="M12" i="1" s="1"/>
  <c r="D46" i="2"/>
  <c r="L11" i="1" s="1"/>
  <c r="C46" i="2"/>
  <c r="K11" i="1" s="1"/>
  <c r="M11" i="1" s="1"/>
  <c r="D39" i="2"/>
  <c r="L10" i="1" s="1"/>
  <c r="C39" i="2"/>
  <c r="K10" i="1" s="1"/>
  <c r="M10" i="1" s="1"/>
  <c r="D31" i="2"/>
  <c r="L9" i="1" s="1"/>
  <c r="C31" i="2"/>
  <c r="K9" i="1" s="1"/>
  <c r="M9" i="1" s="1"/>
  <c r="D69" i="2"/>
  <c r="L14" i="1" s="1"/>
  <c r="C69" i="2"/>
  <c r="K14" i="1" s="1"/>
  <c r="M14" i="1" s="1"/>
  <c r="D74" i="2"/>
  <c r="L15" i="1" s="1"/>
  <c r="C74" i="2"/>
  <c r="K15" i="1" s="1"/>
  <c r="M15" i="1" s="1"/>
  <c r="D82" i="2"/>
  <c r="L16" i="1" s="1"/>
  <c r="C82" i="2"/>
  <c r="K16" i="1" s="1"/>
  <c r="M16" i="1" s="1"/>
  <c r="D19" i="2"/>
  <c r="L8" i="1" s="1"/>
  <c r="C19" i="2"/>
  <c r="K8" i="1" s="1"/>
  <c r="M8" i="1" s="1"/>
  <c r="D10" i="2"/>
  <c r="L7" i="1" s="1"/>
  <c r="C10" i="2"/>
  <c r="K7" i="1" s="1"/>
  <c r="M7" i="1" s="1"/>
  <c r="E9" i="2"/>
  <c r="E8" i="2"/>
  <c r="E7" i="2"/>
  <c r="E6" i="2"/>
  <c r="E5" i="2"/>
  <c r="N13" i="1" l="1"/>
  <c r="N10" i="1"/>
  <c r="N16" i="1"/>
  <c r="N11" i="1"/>
  <c r="N8" i="1"/>
  <c r="N7" i="1"/>
  <c r="N12" i="1"/>
  <c r="N9" i="1"/>
  <c r="N14" i="1"/>
  <c r="N15" i="1"/>
  <c r="P7" i="1"/>
  <c r="B7" i="1" s="1"/>
  <c r="E82" i="2"/>
  <c r="E74" i="2"/>
  <c r="E69" i="2"/>
  <c r="E58" i="2"/>
  <c r="E52" i="2"/>
  <c r="E46" i="2"/>
  <c r="E39" i="2"/>
  <c r="E31" i="2"/>
  <c r="E19" i="2"/>
  <c r="E10" i="2"/>
  <c r="P8" i="1" l="1"/>
  <c r="B8" i="1" s="1"/>
  <c r="D8" i="1" s="1"/>
  <c r="P9" i="1"/>
  <c r="B9" i="1" s="1"/>
  <c r="C9" i="1" s="1"/>
  <c r="P11" i="1"/>
  <c r="B11" i="1" s="1"/>
  <c r="D11" i="1" s="1"/>
  <c r="P10" i="1"/>
  <c r="B10" i="1" s="1"/>
  <c r="C10" i="1" s="1"/>
  <c r="P15" i="1"/>
  <c r="B15" i="1" s="1"/>
  <c r="C15" i="1" s="1"/>
  <c r="P16" i="1"/>
  <c r="B16" i="1" s="1"/>
  <c r="C16" i="1" s="1"/>
  <c r="P13" i="1"/>
  <c r="B13" i="1" s="1"/>
  <c r="D13" i="1" s="1"/>
  <c r="P12" i="1"/>
  <c r="B12" i="1" s="1"/>
  <c r="D12" i="1" s="1"/>
  <c r="P14" i="1"/>
  <c r="B14" i="1" s="1"/>
  <c r="C14" i="1" s="1"/>
  <c r="D7" i="1"/>
  <c r="C7" i="1"/>
  <c r="C13" i="1" l="1"/>
  <c r="E13" i="1" s="1"/>
  <c r="C8" i="1"/>
  <c r="E8" i="1" s="1"/>
  <c r="D10" i="1"/>
  <c r="E10" i="1" s="1"/>
  <c r="C12" i="1"/>
  <c r="E12" i="1" s="1"/>
  <c r="D14" i="1"/>
  <c r="E14" i="1" s="1"/>
  <c r="D15" i="1"/>
  <c r="E15" i="1" s="1"/>
  <c r="C11" i="1"/>
  <c r="E11" i="1" s="1"/>
  <c r="D9" i="1"/>
  <c r="E9" i="1" s="1"/>
  <c r="D16" i="1"/>
  <c r="E16" i="1" s="1"/>
  <c r="E7" i="1"/>
  <c r="D17" i="1" l="1"/>
  <c r="C17" i="1"/>
  <c r="F7" i="1"/>
  <c r="F14" i="1"/>
  <c r="F11" i="1"/>
  <c r="F16" i="1"/>
  <c r="F15" i="1"/>
  <c r="F10" i="1"/>
  <c r="F13" i="1"/>
  <c r="F12" i="1"/>
  <c r="F8" i="1"/>
  <c r="F9" i="1"/>
  <c r="E17" i="1" l="1"/>
  <c r="F17" i="1"/>
</calcChain>
</file>

<file path=xl/sharedStrings.xml><?xml version="1.0" encoding="utf-8"?>
<sst xmlns="http://schemas.openxmlformats.org/spreadsheetml/2006/main" count="127" uniqueCount="76">
  <si>
    <t>RECEPTION</t>
  </si>
  <si>
    <t>Estimated Costs</t>
  </si>
  <si>
    <t>Actual Costs</t>
  </si>
  <si>
    <t>Venue and rentals</t>
  </si>
  <si>
    <t>Food and service</t>
  </si>
  <si>
    <t>Beverages</t>
  </si>
  <si>
    <t>Cake</t>
  </si>
  <si>
    <t>Miscellaneous fees</t>
  </si>
  <si>
    <t>ATTIRE</t>
  </si>
  <si>
    <t>Tux, suit, and/or dresses</t>
  </si>
  <si>
    <t>Alterations</t>
  </si>
  <si>
    <t>Headpiece and veil</t>
  </si>
  <si>
    <t>Accessories</t>
  </si>
  <si>
    <t>Hair and makeup</t>
  </si>
  <si>
    <t>FLOWERS AND DECORATIONS</t>
  </si>
  <si>
    <t>Floral arrangements for ceremony</t>
  </si>
  <si>
    <t>Flower girl’s buds and basket</t>
  </si>
  <si>
    <t>Ring pillow</t>
  </si>
  <si>
    <t>Bouquets</t>
  </si>
  <si>
    <t>Boutonnieres</t>
  </si>
  <si>
    <t>Corsages</t>
  </si>
  <si>
    <t>Reception decorations</t>
  </si>
  <si>
    <t>Lighting</t>
  </si>
  <si>
    <t>MUSIC</t>
  </si>
  <si>
    <t>Ceremony musicians</t>
  </si>
  <si>
    <t>Cocktail-hour musicians</t>
  </si>
  <si>
    <t>Reception band, deejay, or entertainment</t>
  </si>
  <si>
    <t>Sound-system or dance-floor rental</t>
  </si>
  <si>
    <t>PHOTOGRAPHS AND VIDEO</t>
  </si>
  <si>
    <t>Photography</t>
  </si>
  <si>
    <t>Videography</t>
  </si>
  <si>
    <t>Additional prints and albums</t>
  </si>
  <si>
    <t>FAVORS AND GIFTS</t>
  </si>
  <si>
    <t>Welcome gifts</t>
  </si>
  <si>
    <t>Party gifts</t>
  </si>
  <si>
    <t>CEREMONY</t>
  </si>
  <si>
    <t>Site fee</t>
  </si>
  <si>
    <t>Officiant fee or church donation</t>
  </si>
  <si>
    <t>STATIONERY</t>
  </si>
  <si>
    <t>Save-the-date cards</t>
  </si>
  <si>
    <t>Invitations and RSVPs</t>
  </si>
  <si>
    <t>Programs</t>
  </si>
  <si>
    <t>Seating and place cards</t>
  </si>
  <si>
    <t>Menu cards</t>
  </si>
  <si>
    <t>Thank-you notes</t>
  </si>
  <si>
    <t>Postage</t>
  </si>
  <si>
    <t>WEDDING RINGS</t>
  </si>
  <si>
    <t>Wedding rings</t>
  </si>
  <si>
    <t>Ring accessories</t>
  </si>
  <si>
    <t>TRANSPORTATION</t>
  </si>
  <si>
    <t>Main car rental</t>
  </si>
  <si>
    <t>Guests car rental</t>
  </si>
  <si>
    <t>Transportation for out-of-town guests</t>
  </si>
  <si>
    <t>Valet parking</t>
  </si>
  <si>
    <t>Variance</t>
  </si>
  <si>
    <t>TOTAL</t>
  </si>
  <si>
    <t>Reception</t>
  </si>
  <si>
    <t>Attire</t>
  </si>
  <si>
    <t>Flowers and Decorations</t>
  </si>
  <si>
    <t>Music</t>
  </si>
  <si>
    <t>Photographs and Video</t>
  </si>
  <si>
    <t>Favors and Gifts</t>
  </si>
  <si>
    <t>Ceremony</t>
  </si>
  <si>
    <t>Stationery</t>
  </si>
  <si>
    <t>Wedding Rings</t>
  </si>
  <si>
    <t>Transportation</t>
  </si>
  <si>
    <t>Category</t>
  </si>
  <si>
    <t>Budget %</t>
  </si>
  <si>
    <t>Rank</t>
  </si>
  <si>
    <t>#</t>
  </si>
  <si>
    <t>Sorted</t>
  </si>
  <si>
    <t>Unsorted</t>
  </si>
  <si>
    <t>Estimated Cost - Rank Value</t>
  </si>
  <si>
    <t xml:space="preserve"> </t>
  </si>
  <si>
    <t>Budget Details</t>
  </si>
  <si>
    <t>Wedding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</si>
</sst>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0.0%"/>
  </numFmts>
  <fonts count="15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11"/>
      <color theme="1" tint="0.14999847407452621"/>
      <name val="Tw Cen MT"/>
      <family val="2"/>
      <scheme val="major"/>
    </font>
    <font>
      <b/>
      <sz val="28"/>
      <color theme="1" tint="0.14999847407452621"/>
      <name val="Tw Cen MT"/>
      <family val="2"/>
      <scheme val="major"/>
    </font>
    <font>
      <sz val="11"/>
      <color theme="0"/>
      <name val="Corbel"/>
      <family val="2"/>
      <scheme val="minor"/>
    </font>
    <font>
      <b/>
      <sz val="10"/>
      <color theme="1" tint="4.9989318521683403E-2"/>
      <name val="Century Gothic"/>
      <family val="1"/>
    </font>
    <font>
      <b/>
      <sz val="11"/>
      <color theme="1" tint="4.9989318521683403E-2"/>
      <name val="Century Gothic"/>
      <family val="1"/>
    </font>
    <font>
      <b/>
      <sz val="14"/>
      <color theme="0"/>
      <name val="Century Gothic"/>
      <family val="1"/>
    </font>
    <font>
      <b/>
      <sz val="28"/>
      <color theme="4"/>
      <name val="Century Gothic"/>
      <family val="1"/>
    </font>
    <font>
      <b/>
      <sz val="28"/>
      <color theme="1" tint="0.14999847407452621"/>
      <name val="Century Gothic"/>
      <family val="1"/>
    </font>
    <font>
      <sz val="11"/>
      <color theme="1" tint="0.14999847407452621"/>
      <name val="Century Gothic"/>
      <family val="1"/>
    </font>
    <font>
      <b/>
      <sz val="11"/>
      <color theme="1" tint="0.14999847407452621"/>
      <name val="Century Gothic"/>
      <family val="1"/>
    </font>
    <font>
      <b/>
      <sz val="10"/>
      <color theme="1" tint="4.9989318521683403E-2"/>
      <name val="Century Gothic"/>
      <family val="2"/>
    </font>
    <font>
      <b/>
      <sz val="14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dotted">
        <color theme="8" tint="-9.9948118533890809E-2"/>
      </top>
      <bottom style="dotted">
        <color theme="8" tint="-9.9948118533890809E-2"/>
      </bottom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top" wrapText="1" indent="1"/>
    </xf>
    <xf numFmtId="0" fontId="6" fillId="0" borderId="0" xfId="0" applyFont="1" applyAlignment="1">
      <alignment horizontal="left" vertical="center" indent="1"/>
    </xf>
    <xf numFmtId="6" fontId="6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8" fontId="9" fillId="0" borderId="3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 indent="1"/>
    </xf>
    <xf numFmtId="8" fontId="10" fillId="0" borderId="0" xfId="0" applyNumberFormat="1" applyFont="1" applyAlignment="1">
      <alignment horizontal="center" vertical="center"/>
    </xf>
    <xf numFmtId="0" fontId="6" fillId="3" borderId="2" xfId="0" applyFont="1" applyFill="1" applyBorder="1" applyAlignment="1">
      <alignment horizontal="left" vertical="center" indent="1"/>
    </xf>
    <xf numFmtId="8" fontId="11" fillId="0" borderId="0" xfId="0" applyNumberFormat="1" applyFont="1" applyAlignment="1">
      <alignment horizontal="center" vertical="center"/>
    </xf>
    <xf numFmtId="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6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indent="1"/>
    </xf>
    <xf numFmtId="8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none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/>
        <bottom/>
      </border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/>
        <top/>
        <bottom/>
      </border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dotted">
          <color theme="8" tint="-9.9948118533890809E-2"/>
        </top>
        <bottom style="dotted">
          <color theme="8" tint="-9.9948118533890809E-2"/>
        </bottom>
      </border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name val="Century Gothic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numFmt numFmtId="10" formatCode="&quot;$&quot;#,##0_);[Red]\(&quot;$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entury Gothi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entury Gothic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family val="1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ill>
        <patternFill>
          <bgColor theme="8"/>
        </patternFill>
      </fill>
      <border diagonalUp="0" diagonalDown="0">
        <left/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color theme="0"/>
      </font>
      <fill>
        <patternFill patternType="solid">
          <fgColor theme="5"/>
          <bgColor theme="5"/>
        </patternFill>
      </fill>
      <border diagonalUp="0" diagonalDown="0">
        <left/>
        <right/>
        <top/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 style="dotted">
          <color theme="8" tint="-9.9948118533890809E-2"/>
        </vertical>
        <horizontal style="dotted">
          <color theme="8" tint="-9.9948118533890809E-2"/>
        </horizontal>
      </border>
    </dxf>
  </dxfs>
  <tableStyles count="1" defaultTableStyle="TableStyleMedium2" defaultPivotStyle="PivotStyleLight16">
    <tableStyle name="TableStyleMedium3 2" pivot="0" count="7" xr9:uid="{00000000-0011-0000-FFFF-FFFF00000000}">
      <tableStyleElement type="wholeTable" dxfId="129"/>
      <tableStyleElement type="headerRow" dxfId="128"/>
      <tableStyleElement type="totalRow" dxfId="127"/>
      <tableStyleElement type="firstColumn" dxfId="126"/>
      <tableStyleElement type="lastColumn" dxfId="125"/>
      <tableStyleElement type="firstRowStripe" dxfId="124"/>
      <tableStyleElement type="firstColumnStripe" dxfId="1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'Wedding Budget'!$C$6</c:f>
              <c:strCache>
                <c:ptCount val="1"/>
                <c:pt idx="0">
                  <c:v>Estimated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'Wedding Budget'!$B$7:$B$16</c:f>
              <c:strCache>
                <c:ptCount val="10"/>
                <c:pt idx="0">
                  <c:v>Reception</c:v>
                </c:pt>
                <c:pt idx="1">
                  <c:v>Attire</c:v>
                </c:pt>
                <c:pt idx="2">
                  <c:v>Flowers and Decorations</c:v>
                </c:pt>
                <c:pt idx="3">
                  <c:v>Photographs and Video</c:v>
                </c:pt>
                <c:pt idx="4">
                  <c:v>Music</c:v>
                </c:pt>
                <c:pt idx="5">
                  <c:v>Favors and Gifts</c:v>
                </c:pt>
                <c:pt idx="6">
                  <c:v>Ceremony</c:v>
                </c:pt>
                <c:pt idx="7">
                  <c:v>Wedding Rings</c:v>
                </c:pt>
                <c:pt idx="8">
                  <c:v>Stationery</c:v>
                </c:pt>
                <c:pt idx="9">
                  <c:v>Transportation</c:v>
                </c:pt>
              </c:strCache>
            </c:strRef>
          </c:cat>
          <c:val>
            <c:numRef>
              <c:f>'Wedding Budget'!$C$7:$C$16</c:f>
              <c:numCache>
                <c:formatCode>"$"#,##0_);[Red]\("$"#,##0\)</c:formatCode>
                <c:ptCount val="10"/>
                <c:pt idx="0">
                  <c:v>14500</c:v>
                </c:pt>
                <c:pt idx="1">
                  <c:v>4000</c:v>
                </c:pt>
                <c:pt idx="2">
                  <c:v>3000</c:v>
                </c:pt>
                <c:pt idx="3">
                  <c:v>2500</c:v>
                </c:pt>
                <c:pt idx="4">
                  <c:v>1800</c:v>
                </c:pt>
                <c:pt idx="5">
                  <c:v>1100</c:v>
                </c:pt>
                <c:pt idx="6">
                  <c:v>800</c:v>
                </c:pt>
                <c:pt idx="7">
                  <c:v>600</c:v>
                </c:pt>
                <c:pt idx="8">
                  <c:v>500</c:v>
                </c:pt>
                <c:pt idx="9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F-4F3B-B7C9-B667BE6D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022976"/>
        <c:axId val="534026256"/>
      </c:barChart>
      <c:catAx>
        <c:axId val="53402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534026256"/>
        <c:crosses val="autoZero"/>
        <c:auto val="1"/>
        <c:lblAlgn val="ctr"/>
        <c:lblOffset val="100"/>
        <c:noMultiLvlLbl val="0"/>
      </c:catAx>
      <c:valAx>
        <c:axId val="534026256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crossAx val="5340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22.png" Id="rId3" /><Relationship Type="http://schemas.openxmlformats.org/officeDocument/2006/relationships/chart" Target="/xl/charts/chart11.xml" Id="rId2" /><Relationship Type="http://schemas.openxmlformats.org/officeDocument/2006/relationships/image" Target="/xl/media/image13.png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image" Target="/xl/media/image3.png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1</xdr:row>
      <xdr:rowOff>9956</xdr:rowOff>
    </xdr:from>
    <xdr:to>
      <xdr:col>6</xdr:col>
      <xdr:colOff>0</xdr:colOff>
      <xdr:row>2</xdr:row>
      <xdr:rowOff>2035</xdr:rowOff>
    </xdr:to>
    <xdr:pic>
      <xdr:nvPicPr>
        <xdr:cNvPr id="6" name="Picture 5" descr="Decorative element. Photo of two hands with rings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0" y="124256"/>
          <a:ext cx="1790700" cy="127223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1</xdr:rowOff>
    </xdr:from>
    <xdr:to>
      <xdr:col>6</xdr:col>
      <xdr:colOff>0</xdr:colOff>
      <xdr:row>4</xdr:row>
      <xdr:rowOff>1</xdr:rowOff>
    </xdr:to>
    <xdr:graphicFrame macro="">
      <xdr:nvGraphicFramePr>
        <xdr:cNvPr id="2" name="Chart 1" descr="Chart summarizing wedding budget by category. Category expenses are shown in a descending order based on estimated costs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990600</xdr:colOff>
      <xdr:row>0</xdr:row>
      <xdr:rowOff>0</xdr:rowOff>
    </xdr:from>
    <xdr:to>
      <xdr:col>4</xdr:col>
      <xdr:colOff>942975</xdr:colOff>
      <xdr:row>2</xdr:row>
      <xdr:rowOff>2035</xdr:rowOff>
    </xdr:to>
    <xdr:pic>
      <xdr:nvPicPr>
        <xdr:cNvPr id="8" name="Picture 7" descr="Decorative element. Floating flowers.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35580" y="0"/>
          <a:ext cx="2070735" cy="139649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944880</xdr:colOff>
      <xdr:row>0</xdr:row>
      <xdr:rowOff>30480</xdr:rowOff>
    </xdr:from>
    <xdr:to>
      <xdr:col>6</xdr:col>
      <xdr:colOff>13335</xdr:colOff>
      <xdr:row>2</xdr:row>
      <xdr:rowOff>241289</xdr:rowOff>
    </xdr:to>
    <xdr:pic>
      <xdr:nvPicPr>
        <xdr:cNvPr id="2" name="Picture 1" descr="Decorative element. Floating flowers.">
          <a:extLst>
            <a:ext uri="{FF2B5EF4-FFF2-40B4-BE49-F238E27FC236}">
              <a16:creationId xmlns:a16="http://schemas.microsoft.com/office/drawing/2014/main" id="{894F1BD3-52AB-4A4C-977C-75257C6314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914900" y="30480"/>
          <a:ext cx="1148715" cy="774689"/>
        </a:xfrm>
        <a:prstGeom prst="rect">
          <a:avLst/>
        </a:prstGeom>
      </xdr:spPr>
    </xdr:pic>
    <xdr:clientData/>
  </xdr:twoCellAnchor>
</xdr:wsDr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BL_WeddingRings" displayName="TBL_WeddingRings" ref="B71:E74" totalsRowCount="1" headerRowDxfId="21" dataDxfId="20" totalsRowDxfId="19">
  <tableColumns count="4">
    <tableColumn id="1" xr3:uid="{00000000-0010-0000-0900-000001000000}" name="WEDDING RINGS" totalsRowLabel="TOTAL" dataDxfId="18" totalsRowDxfId="17"/>
    <tableColumn id="2" xr3:uid="{00000000-0010-0000-0900-000002000000}" name="Estimated Costs" totalsRowFunction="sum" dataDxfId="16" totalsRowDxfId="15"/>
    <tableColumn id="3" xr3:uid="{00000000-0010-0000-0900-000003000000}" name="Actual Costs" totalsRowFunction="sum" dataDxfId="14" totalsRowDxfId="13"/>
    <tableColumn id="4" xr3:uid="{00000000-0010-0000-0900-000004000000}" name="Variance" totalsRowFunction="custom" dataDxfId="12" totalsRowDxfId="11">
      <totalsRowFormula>TBL_WeddingRings[[#Totals],[Estimated Costs]]-TBL_WeddingRings[[#Totals],[Actual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wedding rings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BL_Summary" displayName="TBL_Summary" ref="B6:F17" totalsRowCount="1" headerRowDxfId="122" dataDxfId="121" totalsRowDxfId="120">
  <tableColumns count="5">
    <tableColumn id="1" xr3:uid="{00000000-0010-0000-0000-000001000000}" name="Category" totalsRowLabel="TOTAL" dataDxfId="119" totalsRowDxfId="118"/>
    <tableColumn id="2" xr3:uid="{00000000-0010-0000-0000-000002000000}" name="Estimated Costs" totalsRowFunction="sum" dataDxfId="117" totalsRowDxfId="116">
      <calculatedColumnFormula>VLOOKUP(TBL_Summary[[#This Row],[Category]],TBL_RankingData,2,FALSE)</calculatedColumnFormula>
    </tableColumn>
    <tableColumn id="3" xr3:uid="{00000000-0010-0000-0000-000003000000}" name="Actual Costs" totalsRowFunction="sum" dataDxfId="115" totalsRowDxfId="114">
      <calculatedColumnFormula>IF(VLOOKUP(TBL_Summary[[#This Row],[Category]],TBL_RankingData,3,FALSE)=0,"",VLOOKUP(TBL_Summary[[#This Row],[Category]],TBL_RankingData,3,FALSE))</calculatedColumnFormula>
    </tableColumn>
    <tableColumn id="4" xr3:uid="{00000000-0010-0000-0000-000004000000}" name="Variance" totalsRowFunction="custom" dataDxfId="113" totalsRowDxfId="112">
      <calculatedColumnFormula>IF(OR(TBL_Summary[[#This Row],[Estimated Costs]]="",TBL_Summary[[#This Row],[Actual Costs]]=""),"",TBL_Summary[[#This Row],[Estimated Costs]]-TBL_Summary[[#This Row],[Actual Costs]])</calculatedColumnFormula>
      <totalsRowFormula>TBL_Summary[[#Totals],[Estimated Costs]]-TBL_Summary[[#Totals],[Actual Costs]]</totalsRowFormula>
    </tableColumn>
    <tableColumn id="5" xr3:uid="{00000000-0010-0000-0000-000005000000}" name="Budget %" totalsRowFunction="sum" dataDxfId="111" totalsRowDxfId="110"/>
  </tableColumns>
  <tableStyleInfo name="TableStyleLight2" showFirstColumn="0" showLastColumn="0" showRowStripes="0" showColumnStripes="0"/>
  <extLst>
    <ext xmlns:x14="http://schemas.microsoft.com/office/spreadsheetml/2009/9/main" uri="{504A1905-F514-4f6f-8877-14C23A59335A}">
      <x14:table altTextSummary="Table containing budget summary by expense category"/>
    </ext>
  </extLst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BL_Transportation" displayName="TBL_Transportation" ref="B76:E82" totalsRowCount="1" headerRowDxfId="10" dataDxfId="9" totalsRowDxfId="8">
  <tableColumns count="4">
    <tableColumn id="1" xr3:uid="{00000000-0010-0000-0A00-000001000000}" name="TRANSPORTATION" totalsRowLabel="TOTAL" dataDxfId="7" totalsRowDxfId="6"/>
    <tableColumn id="2" xr3:uid="{00000000-0010-0000-0A00-000002000000}" name="Estimated Costs" totalsRowFunction="sum" dataDxfId="5" totalsRowDxfId="4"/>
    <tableColumn id="3" xr3:uid="{00000000-0010-0000-0A00-000003000000}" name="Actual Costs" totalsRowFunction="sum" dataDxfId="3" totalsRowDxfId="2"/>
    <tableColumn id="4" xr3:uid="{00000000-0010-0000-0A00-000004000000}" name="Variance" totalsRowFunction="custom" dataDxfId="1" totalsRowDxfId="0">
      <totalsRowFormula>TBL_Transportation[[#Totals],[Estimated Costs]]-TBL_Transportation[[#Totals],[Actual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transportation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Reception" displayName="TBL_Reception" ref="B4:E10" totalsRowCount="1" headerRowDxfId="109" dataDxfId="108" totalsRowDxfId="107">
  <tableColumns count="4">
    <tableColumn id="1" xr3:uid="{00000000-0010-0000-0100-000001000000}" name="RECEPTION" totalsRowLabel="TOTAL" dataDxfId="106" totalsRowDxfId="105"/>
    <tableColumn id="2" xr3:uid="{00000000-0010-0000-0100-000002000000}" name="Estimated Costs" totalsRowFunction="sum" dataDxfId="104" totalsRowDxfId="103"/>
    <tableColumn id="3" xr3:uid="{00000000-0010-0000-0100-000003000000}" name="Actual Costs" totalsRowFunction="sum" dataDxfId="102" totalsRowDxfId="101"/>
    <tableColumn id="4" xr3:uid="{00000000-0010-0000-0100-000004000000}" name="Variance" totalsRowFunction="custom" dataDxfId="100" totalsRowDxfId="99">
      <calculatedColumnFormula>IF(OR(TBL_Reception[[#This Row],[Estimated Costs]]="",TBL_Reception[[#This Row],[Actual Costs]]=""),"",TBL_Reception[[#This Row],[Estimated Costs]]-TBL_Reception[[#This Row],[Actual Costs]])</calculatedColumnFormula>
      <totalsRowFormula>TBL_Reception[[#Totals],[Estimated Costs]]-TBL_Reception[[#Totals],[Actual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reception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Attire" displayName="TBL_Attire" ref="B12:E19" totalsRowCount="1" headerRowDxfId="98" dataDxfId="97" totalsRowDxfId="96">
  <tableColumns count="4">
    <tableColumn id="1" xr3:uid="{00000000-0010-0000-0200-000001000000}" name="ATTIRE" totalsRowLabel="TOTAL" dataDxfId="95" totalsRowDxfId="94"/>
    <tableColumn id="2" xr3:uid="{00000000-0010-0000-0200-000002000000}" name="Estimated Costs" totalsRowFunction="sum" dataDxfId="93" totalsRowDxfId="92"/>
    <tableColumn id="3" xr3:uid="{00000000-0010-0000-0200-000003000000}" name="Actual Costs" totalsRowFunction="sum" dataDxfId="91" totalsRowDxfId="90"/>
    <tableColumn id="4" xr3:uid="{00000000-0010-0000-0200-000004000000}" name="Variance" totalsRowFunction="custom" dataDxfId="89" totalsRowDxfId="88">
      <totalsRowFormula>TBL_Attire[[#Totals],[Estimated Costs]]-TBL_Attire[[#Totals],[Actual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attire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L_FlowersAndDecor" displayName="TBL_FlowersAndDecor" ref="B21:E31" totalsRowCount="1" headerRowDxfId="87" dataDxfId="86" totalsRowDxfId="85">
  <tableColumns count="4">
    <tableColumn id="1" xr3:uid="{00000000-0010-0000-0300-000001000000}" name="FLOWERS AND DECORATIONS" totalsRowLabel="TOTAL" dataDxfId="84" totalsRowDxfId="83"/>
    <tableColumn id="2" xr3:uid="{00000000-0010-0000-0300-000002000000}" name="Estimated Costs" totalsRowFunction="sum" dataDxfId="82" totalsRowDxfId="81"/>
    <tableColumn id="3" xr3:uid="{00000000-0010-0000-0300-000003000000}" name="Actual Costs" totalsRowFunction="sum" dataDxfId="80" totalsRowDxfId="79"/>
    <tableColumn id="4" xr3:uid="{00000000-0010-0000-0300-000004000000}" name="Variance" totalsRowFunction="custom" dataDxfId="78" totalsRowDxfId="77">
      <totalsRowFormula>TBL_FlowersAndDecor[[#Totals],[Estimated Costs]]-TBL_FlowersAndDecor[[#Totals],[Actual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flowers and decorations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Music" displayName="TBL_Music" ref="B33:E39" totalsRowCount="1" headerRowDxfId="76" dataDxfId="75" totalsRowDxfId="74">
  <tableColumns count="4">
    <tableColumn id="1" xr3:uid="{00000000-0010-0000-0400-000001000000}" name="MUSIC" totalsRowLabel="TOTAL" dataDxfId="73" totalsRowDxfId="72"/>
    <tableColumn id="2" xr3:uid="{00000000-0010-0000-0400-000002000000}" name="Estimated Costs" totalsRowFunction="sum" dataDxfId="71" totalsRowDxfId="70"/>
    <tableColumn id="3" xr3:uid="{00000000-0010-0000-0400-000003000000}" name="Actual Costs" totalsRowFunction="sum" dataDxfId="69" totalsRowDxfId="68"/>
    <tableColumn id="4" xr3:uid="{00000000-0010-0000-0400-000004000000}" name="Variance" totalsRowFunction="custom" dataDxfId="67" totalsRowDxfId="66">
      <totalsRowFormula>TBL_Music[[#Totals],[Estimated Costs]]-TBL_Music[[#Totals],[Actual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music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PhotographsAndVideo" displayName="TBL_PhotographsAndVideo" ref="B41:E46" totalsRowCount="1" headerRowDxfId="65" dataDxfId="64" totalsRowDxfId="63">
  <tableColumns count="4">
    <tableColumn id="1" xr3:uid="{00000000-0010-0000-0500-000001000000}" name="PHOTOGRAPHS AND VIDEO" totalsRowLabel="TOTAL" dataDxfId="62" totalsRowDxfId="61"/>
    <tableColumn id="2" xr3:uid="{00000000-0010-0000-0500-000002000000}" name="Estimated Costs" totalsRowFunction="sum" dataDxfId="60" totalsRowDxfId="59"/>
    <tableColumn id="3" xr3:uid="{00000000-0010-0000-0500-000003000000}" name="Actual Costs" totalsRowFunction="sum" dataDxfId="58" totalsRowDxfId="57"/>
    <tableColumn id="4" xr3:uid="{00000000-0010-0000-0500-000004000000}" name="Variance" totalsRowFunction="custom" dataDxfId="56" totalsRowDxfId="55">
      <totalsRowFormula>TBL_PhotographsAndVideo[[#Totals],[Estimated Costs]]-TBL_PhotographsAndVideo[[#Totals],[Actual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photographs and video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FavorsAndGifts" displayName="TBL_FavorsAndGifts" ref="B48:E52" totalsRowCount="1" headerRowDxfId="54" dataDxfId="53" totalsRowDxfId="52">
  <tableColumns count="4">
    <tableColumn id="1" xr3:uid="{00000000-0010-0000-0600-000001000000}" name="FAVORS AND GIFTS" totalsRowLabel="TOTAL" dataDxfId="51" totalsRowDxfId="50"/>
    <tableColumn id="2" xr3:uid="{00000000-0010-0000-0600-000002000000}" name="Estimated Costs" totalsRowFunction="sum" dataDxfId="49" totalsRowDxfId="48"/>
    <tableColumn id="3" xr3:uid="{00000000-0010-0000-0600-000003000000}" name="Actual Costs" totalsRowFunction="sum" dataDxfId="47" totalsRowDxfId="46"/>
    <tableColumn id="4" xr3:uid="{00000000-0010-0000-0600-000004000000}" name="Variance" totalsRowFunction="custom" dataDxfId="45" totalsRowDxfId="44">
      <totalsRowFormula>TBL_FavorsAndGifts[[#Totals],[Estimated Costs]]-TBL_FavorsAndGifts[[#Totals],[Actual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favors and gifts"/>
    </ext>
  </extLst>
</table>
</file>

<file path=xl/tables/table8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BL_Ceremony" displayName="TBL_Ceremony" ref="B54:E58" totalsRowCount="1" headerRowDxfId="43" dataDxfId="42" totalsRowDxfId="41">
  <tableColumns count="4">
    <tableColumn id="1" xr3:uid="{00000000-0010-0000-0700-000001000000}" name="CEREMONY" totalsRowLabel="TOTAL" dataDxfId="40" totalsRowDxfId="39"/>
    <tableColumn id="2" xr3:uid="{00000000-0010-0000-0700-000002000000}" name="Estimated Costs" totalsRowFunction="sum" dataDxfId="38" totalsRowDxfId="37"/>
    <tableColumn id="3" xr3:uid="{00000000-0010-0000-0700-000003000000}" name="Actual Costs" totalsRowFunction="sum" dataDxfId="36" totalsRowDxfId="35"/>
    <tableColumn id="4" xr3:uid="{00000000-0010-0000-0700-000004000000}" name="Variance" totalsRowFunction="custom" dataDxfId="34" totalsRowDxfId="33">
      <totalsRowFormula>TBL_Ceremony[[#Totals],[Estimated Costs]]-TBL_Ceremony[[#Totals],[Actual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ceremony"/>
    </ext>
  </extLst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BL_Stationery" displayName="TBL_Stationery" ref="B60:E69" totalsRowCount="1" headerRowDxfId="32" dataDxfId="31" totalsRowDxfId="30">
  <tableColumns count="4">
    <tableColumn id="1" xr3:uid="{00000000-0010-0000-0800-000001000000}" name="STATIONERY" totalsRowLabel="TOTAL" dataDxfId="29" totalsRowDxfId="28"/>
    <tableColumn id="2" xr3:uid="{00000000-0010-0000-0800-000002000000}" name="Estimated Costs" totalsRowFunction="sum" dataDxfId="27" totalsRowDxfId="26"/>
    <tableColumn id="3" xr3:uid="{00000000-0010-0000-0800-000003000000}" name="Actual Costs" totalsRowFunction="sum" dataDxfId="25" totalsRowDxfId="24"/>
    <tableColumn id="4" xr3:uid="{00000000-0010-0000-0800-000004000000}" name="Variance" totalsRowFunction="custom" dataDxfId="23" totalsRowDxfId="22">
      <totalsRowFormula>TBL_Stationery[[#Totals],[Estimated Costs]]-TBL_Stationery[[#Totals],[Actual Costs]]</totalsRowFormula>
    </tableColumn>
  </tableColumns>
  <tableStyleInfo name="TableStyleLight9" showFirstColumn="0" showLastColumn="0" showRowStripes="0" showColumnStripes="0"/>
  <extLst>
    <ext xmlns:x14="http://schemas.microsoft.com/office/spreadsheetml/2009/9/main" uri="{504A1905-F514-4f6f-8877-14C23A59335A}">
      <x14:table altTextSummary="Table containing costs related to stationery"/>
    </ext>
  </extLst>
</table>
</file>

<file path=xl/theme/theme11.xml><?xml version="1.0" encoding="utf-8"?>
<a:theme xmlns:a="http://schemas.openxmlformats.org/drawingml/2006/main" name="Wedding Timeline Planner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11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22.xml" Id="rId3" /><Relationship Type="http://schemas.openxmlformats.org/officeDocument/2006/relationships/table" Target="/xl/tables/table63.xml" Id="rId7" /><Relationship Type="http://schemas.openxmlformats.org/officeDocument/2006/relationships/table" Target="/xl/tables/table114.xml" Id="rId12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5.xml" Id="rId6" /><Relationship Type="http://schemas.openxmlformats.org/officeDocument/2006/relationships/table" Target="/xl/tables/table106.xml" Id="rId11" /><Relationship Type="http://schemas.openxmlformats.org/officeDocument/2006/relationships/table" Target="/xl/tables/table47.xml" Id="rId5" /><Relationship Type="http://schemas.openxmlformats.org/officeDocument/2006/relationships/table" Target="/xl/tables/table98.xml" Id="rId10" /><Relationship Type="http://schemas.openxmlformats.org/officeDocument/2006/relationships/table" Target="/xl/tables/table39.xml" Id="rId4" /><Relationship Type="http://schemas.openxmlformats.org/officeDocument/2006/relationships/table" Target="/xl/tables/table810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25"/>
  <sheetViews>
    <sheetView showGridLines="0" tabSelected="1" zoomScaleNormal="100" workbookViewId="0"/>
  </sheetViews>
  <sheetFormatPr defaultColWidth="9" defaultRowHeight="21" customHeight="1" x14ac:dyDescent="0.3"/>
  <cols>
    <col min="1" max="1" width="1.44140625" style="1" customWidth="1"/>
    <col min="2" max="2" width="24" style="3" customWidth="1"/>
    <col min="3" max="6" width="15.44140625" style="1" customWidth="1"/>
    <col min="7" max="7" width="1.44140625" style="1" customWidth="1"/>
    <col min="8" max="9" width="9" style="1"/>
    <col min="10" max="10" width="21.77734375" style="2" hidden="1" customWidth="1"/>
    <col min="11" max="12" width="10.44140625" style="2" hidden="1" customWidth="1"/>
    <col min="13" max="15" width="10.44140625" style="1" hidden="1" customWidth="1"/>
    <col min="16" max="16" width="21.77734375" style="2" hidden="1" customWidth="1"/>
    <col min="17" max="16384" width="9" style="1"/>
  </cols>
  <sheetData>
    <row r="1" spans="2:16" ht="9" customHeight="1" x14ac:dyDescent="0.3">
      <c r="G1" s="2" t="s">
        <v>73</v>
      </c>
    </row>
    <row r="2" spans="2:16" s="6" customFormat="1" ht="101.25" customHeight="1" x14ac:dyDescent="0.3">
      <c r="B2" s="26" t="s">
        <v>75</v>
      </c>
      <c r="C2" s="27"/>
      <c r="D2" s="27"/>
      <c r="E2" s="27"/>
      <c r="F2" s="28"/>
      <c r="J2" s="4"/>
      <c r="K2" s="4"/>
      <c r="L2" s="4"/>
      <c r="P2" s="4"/>
    </row>
    <row r="3" spans="2:16" ht="18" customHeight="1" x14ac:dyDescent="0.3"/>
    <row r="4" spans="2:16" ht="266.25" customHeight="1" x14ac:dyDescent="0.3">
      <c r="B4" s="9"/>
    </row>
    <row r="5" spans="2:16" ht="18" customHeight="1" x14ac:dyDescent="0.3"/>
    <row r="6" spans="2:16" ht="29.25" customHeight="1" x14ac:dyDescent="0.3">
      <c r="B6" s="25" t="s">
        <v>66</v>
      </c>
      <c r="C6" s="23" t="s">
        <v>1</v>
      </c>
      <c r="D6" s="23" t="s">
        <v>2</v>
      </c>
      <c r="E6" s="23" t="s">
        <v>54</v>
      </c>
      <c r="F6" s="24" t="s">
        <v>67</v>
      </c>
      <c r="J6" s="2" t="s">
        <v>71</v>
      </c>
      <c r="K6" s="1" t="s">
        <v>1</v>
      </c>
      <c r="L6" s="1" t="s">
        <v>2</v>
      </c>
      <c r="M6" s="7" t="s">
        <v>72</v>
      </c>
      <c r="N6" s="1" t="s">
        <v>68</v>
      </c>
      <c r="O6" s="1" t="s">
        <v>69</v>
      </c>
      <c r="P6" s="2" t="s">
        <v>70</v>
      </c>
    </row>
    <row r="7" spans="2:16" ht="21" customHeight="1" x14ac:dyDescent="0.3">
      <c r="B7" s="15" t="str">
        <f>P7</f>
        <v>Reception</v>
      </c>
      <c r="C7" s="19">
        <f>VLOOKUP(TBL_Summary[[#This Row],[Category]],TBL_RankingData,2,FALSE)</f>
        <v>14500</v>
      </c>
      <c r="D7" s="19">
        <f>IF(VLOOKUP(TBL_Summary[[#This Row],[Category]],TBL_RankingData,3,FALSE)=0,"",VLOOKUP(TBL_Summary[[#This Row],[Category]],TBL_RankingData,3,FALSE))</f>
        <v>12800</v>
      </c>
      <c r="E7" s="19">
        <f>IF(OR(TBL_Summary[[#This Row],[Estimated Costs]]="",TBL_Summary[[#This Row],[Actual Costs]]=""),"",TBL_Summary[[#This Row],[Estimated Costs]]-TBL_Summary[[#This Row],[Actual Costs]])</f>
        <v>1700</v>
      </c>
      <c r="F7" s="20">
        <f>TBL_Summary[[#This Row],[Estimated Costs]]/SUM(TBL_Summary[Estimated Costs])</f>
        <v>0.49572649572649574</v>
      </c>
      <c r="J7" s="2" t="s">
        <v>56</v>
      </c>
      <c r="K7" s="1">
        <f>TBL_Reception[[#Totals],[Estimated Costs]]</f>
        <v>14500</v>
      </c>
      <c r="L7" s="1">
        <f>TBL_Reception[[#Totals],[Actual Costs]]</f>
        <v>12800</v>
      </c>
      <c r="M7" s="1">
        <f>K7-O7/100</f>
        <v>14499.99</v>
      </c>
      <c r="N7" s="1">
        <f t="shared" ref="N7:N16" si="0">_xlfn.RANK.AVG(M7,$M$7:$M$16)</f>
        <v>1</v>
      </c>
      <c r="O7" s="1">
        <v>1</v>
      </c>
      <c r="P7" s="2" t="str">
        <f t="shared" ref="P7:P16" si="1">INDEX(TBL_RankingData,MATCH(O7,$N$7:$N$16,0),1)</f>
        <v>Reception</v>
      </c>
    </row>
    <row r="8" spans="2:16" ht="21" customHeight="1" x14ac:dyDescent="0.3">
      <c r="B8" s="15" t="str">
        <f t="shared" ref="B8:B16" si="2">P8</f>
        <v>Attire</v>
      </c>
      <c r="C8" s="19">
        <f>VLOOKUP(TBL_Summary[[#This Row],[Category]],TBL_RankingData,2,FALSE)</f>
        <v>4000</v>
      </c>
      <c r="D8" s="19">
        <f>IF(VLOOKUP(TBL_Summary[[#This Row],[Category]],TBL_RankingData,3,FALSE)=0,"",VLOOKUP(TBL_Summary[[#This Row],[Category]],TBL_RankingData,3,FALSE))</f>
        <v>2900</v>
      </c>
      <c r="E8" s="19">
        <f>IF(OR(TBL_Summary[[#This Row],[Estimated Costs]]="",TBL_Summary[[#This Row],[Actual Costs]]=""),"",TBL_Summary[[#This Row],[Estimated Costs]]-TBL_Summary[[#This Row],[Actual Costs]])</f>
        <v>1100</v>
      </c>
      <c r="F8" s="20">
        <f>TBL_Summary[[#This Row],[Estimated Costs]]/SUM(TBL_Summary[Estimated Costs])</f>
        <v>0.13675213675213677</v>
      </c>
      <c r="J8" s="2" t="s">
        <v>57</v>
      </c>
      <c r="K8" s="1">
        <f>TBL_Attire[[#Totals],[Estimated Costs]]</f>
        <v>4000</v>
      </c>
      <c r="L8" s="1">
        <f>TBL_Attire[[#Totals],[Actual Costs]]</f>
        <v>2900</v>
      </c>
      <c r="M8" s="1">
        <f t="shared" ref="M8:M16" si="3">K8-O8/100</f>
        <v>3999.98</v>
      </c>
      <c r="N8" s="1">
        <f t="shared" si="0"/>
        <v>2</v>
      </c>
      <c r="O8" s="1">
        <v>2</v>
      </c>
      <c r="P8" s="2" t="str">
        <f t="shared" si="1"/>
        <v>Attire</v>
      </c>
    </row>
    <row r="9" spans="2:16" ht="21" customHeight="1" x14ac:dyDescent="0.3">
      <c r="B9" s="15" t="str">
        <f t="shared" si="2"/>
        <v>Flowers and Decorations</v>
      </c>
      <c r="C9" s="19">
        <f>VLOOKUP(TBL_Summary[[#This Row],[Category]],TBL_RankingData,2,FALSE)</f>
        <v>3000</v>
      </c>
      <c r="D9" s="19" t="str">
        <f>IF(VLOOKUP(TBL_Summary[[#This Row],[Category]],TBL_RankingData,3,FALSE)=0,"",VLOOKUP(TBL_Summary[[#This Row],[Category]],TBL_RankingData,3,FALSE))</f>
        <v/>
      </c>
      <c r="E9" s="19" t="str">
        <f>IF(OR(TBL_Summary[[#This Row],[Estimated Costs]]="",TBL_Summary[[#This Row],[Actual Costs]]=""),"",TBL_Summary[[#This Row],[Estimated Costs]]-TBL_Summary[[#This Row],[Actual Costs]])</f>
        <v/>
      </c>
      <c r="F9" s="20">
        <f>TBL_Summary[[#This Row],[Estimated Costs]]/SUM(TBL_Summary[Estimated Costs])</f>
        <v>0.10256410256410256</v>
      </c>
      <c r="J9" s="2" t="s">
        <v>58</v>
      </c>
      <c r="K9" s="1">
        <f>TBL_FlowersAndDecor[[#Totals],[Estimated Costs]]</f>
        <v>3000</v>
      </c>
      <c r="L9" s="1">
        <f>TBL_FlowersAndDecor[[#Totals],[Actual Costs]]</f>
        <v>0</v>
      </c>
      <c r="M9" s="1">
        <f t="shared" si="3"/>
        <v>2999.97</v>
      </c>
      <c r="N9" s="1">
        <f t="shared" si="0"/>
        <v>3</v>
      </c>
      <c r="O9" s="1">
        <v>3</v>
      </c>
      <c r="P9" s="2" t="str">
        <f t="shared" si="1"/>
        <v>Flowers and Decorations</v>
      </c>
    </row>
    <row r="10" spans="2:16" ht="21" customHeight="1" x14ac:dyDescent="0.3">
      <c r="B10" s="15" t="str">
        <f t="shared" si="2"/>
        <v>Photographs and Video</v>
      </c>
      <c r="C10" s="19">
        <f>VLOOKUP(TBL_Summary[[#This Row],[Category]],TBL_RankingData,2,FALSE)</f>
        <v>2500</v>
      </c>
      <c r="D10" s="19" t="str">
        <f>IF(VLOOKUP(TBL_Summary[[#This Row],[Category]],TBL_RankingData,3,FALSE)=0,"",VLOOKUP(TBL_Summary[[#This Row],[Category]],TBL_RankingData,3,FALSE))</f>
        <v/>
      </c>
      <c r="E10" s="19" t="str">
        <f>IF(OR(TBL_Summary[[#This Row],[Estimated Costs]]="",TBL_Summary[[#This Row],[Actual Costs]]=""),"",TBL_Summary[[#This Row],[Estimated Costs]]-TBL_Summary[[#This Row],[Actual Costs]])</f>
        <v/>
      </c>
      <c r="F10" s="20">
        <f>TBL_Summary[[#This Row],[Estimated Costs]]/SUM(TBL_Summary[Estimated Costs])</f>
        <v>8.5470085470085472E-2</v>
      </c>
      <c r="J10" s="2" t="s">
        <v>59</v>
      </c>
      <c r="K10" s="1">
        <f>TBL_Music[[#Totals],[Estimated Costs]]</f>
        <v>1800</v>
      </c>
      <c r="L10" s="1">
        <f>TBL_Music[[#Totals],[Actual Costs]]</f>
        <v>0</v>
      </c>
      <c r="M10" s="1">
        <f t="shared" si="3"/>
        <v>1799.96</v>
      </c>
      <c r="N10" s="1">
        <f t="shared" si="0"/>
        <v>5</v>
      </c>
      <c r="O10" s="1">
        <v>4</v>
      </c>
      <c r="P10" s="2" t="str">
        <f t="shared" si="1"/>
        <v>Photographs and Video</v>
      </c>
    </row>
    <row r="11" spans="2:16" ht="21" customHeight="1" x14ac:dyDescent="0.3">
      <c r="B11" s="15" t="str">
        <f t="shared" si="2"/>
        <v>Music</v>
      </c>
      <c r="C11" s="19">
        <f>VLOOKUP(TBL_Summary[[#This Row],[Category]],TBL_RankingData,2,FALSE)</f>
        <v>1800</v>
      </c>
      <c r="D11" s="19" t="str">
        <f>IF(VLOOKUP(TBL_Summary[[#This Row],[Category]],TBL_RankingData,3,FALSE)=0,"",VLOOKUP(TBL_Summary[[#This Row],[Category]],TBL_RankingData,3,FALSE))</f>
        <v/>
      </c>
      <c r="E11" s="19" t="str">
        <f>IF(OR(TBL_Summary[[#This Row],[Estimated Costs]]="",TBL_Summary[[#This Row],[Actual Costs]]=""),"",TBL_Summary[[#This Row],[Estimated Costs]]-TBL_Summary[[#This Row],[Actual Costs]])</f>
        <v/>
      </c>
      <c r="F11" s="20">
        <f>TBL_Summary[[#This Row],[Estimated Costs]]/SUM(TBL_Summary[Estimated Costs])</f>
        <v>6.1538461538461542E-2</v>
      </c>
      <c r="J11" s="2" t="s">
        <v>60</v>
      </c>
      <c r="K11" s="1">
        <f>TBL_PhotographsAndVideo[[#Totals],[Estimated Costs]]</f>
        <v>2500</v>
      </c>
      <c r="L11" s="1">
        <f>TBL_PhotographsAndVideo[[#Totals],[Actual Costs]]</f>
        <v>0</v>
      </c>
      <c r="M11" s="1">
        <f t="shared" si="3"/>
        <v>2499.9499999999998</v>
      </c>
      <c r="N11" s="1">
        <f t="shared" si="0"/>
        <v>4</v>
      </c>
      <c r="O11" s="1">
        <v>5</v>
      </c>
      <c r="P11" s="2" t="str">
        <f t="shared" si="1"/>
        <v>Music</v>
      </c>
    </row>
    <row r="12" spans="2:16" ht="21" customHeight="1" x14ac:dyDescent="0.3">
      <c r="B12" s="15" t="str">
        <f t="shared" si="2"/>
        <v>Favors and Gifts</v>
      </c>
      <c r="C12" s="19">
        <f>VLOOKUP(TBL_Summary[[#This Row],[Category]],TBL_RankingData,2,FALSE)</f>
        <v>1100</v>
      </c>
      <c r="D12" s="19" t="str">
        <f>IF(VLOOKUP(TBL_Summary[[#This Row],[Category]],TBL_RankingData,3,FALSE)=0,"",VLOOKUP(TBL_Summary[[#This Row],[Category]],TBL_RankingData,3,FALSE))</f>
        <v/>
      </c>
      <c r="E12" s="19" t="str">
        <f>IF(OR(TBL_Summary[[#This Row],[Estimated Costs]]="",TBL_Summary[[#This Row],[Actual Costs]]=""),"",TBL_Summary[[#This Row],[Estimated Costs]]-TBL_Summary[[#This Row],[Actual Costs]])</f>
        <v/>
      </c>
      <c r="F12" s="20">
        <f>TBL_Summary[[#This Row],[Estimated Costs]]/SUM(TBL_Summary[Estimated Costs])</f>
        <v>3.7606837606837605E-2</v>
      </c>
      <c r="J12" s="2" t="s">
        <v>61</v>
      </c>
      <c r="K12" s="1">
        <f>TBL_FavorsAndGifts[[#Totals],[Estimated Costs]]</f>
        <v>1100</v>
      </c>
      <c r="L12" s="1">
        <f>TBL_FavorsAndGifts[[#Totals],[Actual Costs]]</f>
        <v>0</v>
      </c>
      <c r="M12" s="1">
        <f t="shared" si="3"/>
        <v>1099.94</v>
      </c>
      <c r="N12" s="1">
        <f t="shared" si="0"/>
        <v>6</v>
      </c>
      <c r="O12" s="1">
        <v>6</v>
      </c>
      <c r="P12" s="2" t="str">
        <f t="shared" si="1"/>
        <v>Favors and Gifts</v>
      </c>
    </row>
    <row r="13" spans="2:16" ht="21" customHeight="1" x14ac:dyDescent="0.3">
      <c r="B13" s="15" t="str">
        <f t="shared" si="2"/>
        <v>Ceremony</v>
      </c>
      <c r="C13" s="19">
        <f>VLOOKUP(TBL_Summary[[#This Row],[Category]],TBL_RankingData,2,FALSE)</f>
        <v>800</v>
      </c>
      <c r="D13" s="19" t="str">
        <f>IF(VLOOKUP(TBL_Summary[[#This Row],[Category]],TBL_RankingData,3,FALSE)=0,"",VLOOKUP(TBL_Summary[[#This Row],[Category]],TBL_RankingData,3,FALSE))</f>
        <v/>
      </c>
      <c r="E13" s="19" t="str">
        <f>IF(OR(TBL_Summary[[#This Row],[Estimated Costs]]="",TBL_Summary[[#This Row],[Actual Costs]]=""),"",TBL_Summary[[#This Row],[Estimated Costs]]-TBL_Summary[[#This Row],[Actual Costs]])</f>
        <v/>
      </c>
      <c r="F13" s="20">
        <f>TBL_Summary[[#This Row],[Estimated Costs]]/SUM(TBL_Summary[Estimated Costs])</f>
        <v>2.735042735042735E-2</v>
      </c>
      <c r="J13" s="2" t="s">
        <v>62</v>
      </c>
      <c r="K13" s="1">
        <f>TBL_Ceremony[[#Totals],[Estimated Costs]]</f>
        <v>800</v>
      </c>
      <c r="L13" s="1">
        <f>TBL_Ceremony[[#Totals],[Actual Costs]]</f>
        <v>0</v>
      </c>
      <c r="M13" s="1">
        <f t="shared" si="3"/>
        <v>799.93</v>
      </c>
      <c r="N13" s="1">
        <f t="shared" si="0"/>
        <v>7</v>
      </c>
      <c r="O13" s="1">
        <v>7</v>
      </c>
      <c r="P13" s="2" t="str">
        <f t="shared" si="1"/>
        <v>Ceremony</v>
      </c>
    </row>
    <row r="14" spans="2:16" ht="21" customHeight="1" x14ac:dyDescent="0.3">
      <c r="B14" s="15" t="str">
        <f t="shared" si="2"/>
        <v>Wedding Rings</v>
      </c>
      <c r="C14" s="19">
        <f>VLOOKUP(TBL_Summary[[#This Row],[Category]],TBL_RankingData,2,FALSE)</f>
        <v>600</v>
      </c>
      <c r="D14" s="19" t="str">
        <f>IF(VLOOKUP(TBL_Summary[[#This Row],[Category]],TBL_RankingData,3,FALSE)=0,"",VLOOKUP(TBL_Summary[[#This Row],[Category]],TBL_RankingData,3,FALSE))</f>
        <v/>
      </c>
      <c r="E14" s="19" t="str">
        <f>IF(OR(TBL_Summary[[#This Row],[Estimated Costs]]="",TBL_Summary[[#This Row],[Actual Costs]]=""),"",TBL_Summary[[#This Row],[Estimated Costs]]-TBL_Summary[[#This Row],[Actual Costs]])</f>
        <v/>
      </c>
      <c r="F14" s="20">
        <f>TBL_Summary[[#This Row],[Estimated Costs]]/SUM(TBL_Summary[Estimated Costs])</f>
        <v>2.0512820512820513E-2</v>
      </c>
      <c r="J14" s="2" t="s">
        <v>63</v>
      </c>
      <c r="K14" s="1">
        <f>TBL_Stationery[[#Totals],[Estimated Costs]]</f>
        <v>500</v>
      </c>
      <c r="L14" s="1">
        <f>TBL_Stationery[[#Totals],[Actual Costs]]</f>
        <v>0</v>
      </c>
      <c r="M14" s="1">
        <f t="shared" si="3"/>
        <v>499.92</v>
      </c>
      <c r="N14" s="1">
        <f t="shared" si="0"/>
        <v>9</v>
      </c>
      <c r="O14" s="1">
        <v>8</v>
      </c>
      <c r="P14" s="2" t="str">
        <f t="shared" si="1"/>
        <v>Wedding Rings</v>
      </c>
    </row>
    <row r="15" spans="2:16" ht="21" customHeight="1" x14ac:dyDescent="0.3">
      <c r="B15" s="15" t="str">
        <f t="shared" si="2"/>
        <v>Stationery</v>
      </c>
      <c r="C15" s="19">
        <f>VLOOKUP(TBL_Summary[[#This Row],[Category]],TBL_RankingData,2,FALSE)</f>
        <v>500</v>
      </c>
      <c r="D15" s="19" t="str">
        <f>IF(VLOOKUP(TBL_Summary[[#This Row],[Category]],TBL_RankingData,3,FALSE)=0,"",VLOOKUP(TBL_Summary[[#This Row],[Category]],TBL_RankingData,3,FALSE))</f>
        <v/>
      </c>
      <c r="E15" s="19" t="str">
        <f>IF(OR(TBL_Summary[[#This Row],[Estimated Costs]]="",TBL_Summary[[#This Row],[Actual Costs]]=""),"",TBL_Summary[[#This Row],[Estimated Costs]]-TBL_Summary[[#This Row],[Actual Costs]])</f>
        <v/>
      </c>
      <c r="F15" s="20">
        <f>TBL_Summary[[#This Row],[Estimated Costs]]/SUM(TBL_Summary[Estimated Costs])</f>
        <v>1.7094017094017096E-2</v>
      </c>
      <c r="J15" s="2" t="s">
        <v>64</v>
      </c>
      <c r="K15" s="1">
        <f>TBL_WeddingRings[[#Totals],[Estimated Costs]]</f>
        <v>600</v>
      </c>
      <c r="L15" s="1">
        <f>TBL_WeddingRings[[#Totals],[Actual Costs]]</f>
        <v>0</v>
      </c>
      <c r="M15" s="1">
        <f t="shared" si="3"/>
        <v>599.91</v>
      </c>
      <c r="N15" s="1">
        <f t="shared" si="0"/>
        <v>8</v>
      </c>
      <c r="O15" s="1">
        <v>9</v>
      </c>
      <c r="P15" s="2" t="str">
        <f t="shared" si="1"/>
        <v>Stationery</v>
      </c>
    </row>
    <row r="16" spans="2:16" ht="21" customHeight="1" x14ac:dyDescent="0.3">
      <c r="B16" s="15" t="str">
        <f t="shared" si="2"/>
        <v>Transportation</v>
      </c>
      <c r="C16" s="19">
        <f>VLOOKUP(TBL_Summary[[#This Row],[Category]],TBL_RankingData,2,FALSE)</f>
        <v>450</v>
      </c>
      <c r="D16" s="19" t="str">
        <f>IF(VLOOKUP(TBL_Summary[[#This Row],[Category]],TBL_RankingData,3,FALSE)=0,"",VLOOKUP(TBL_Summary[[#This Row],[Category]],TBL_RankingData,3,FALSE))</f>
        <v/>
      </c>
      <c r="E16" s="19" t="str">
        <f>IF(OR(TBL_Summary[[#This Row],[Estimated Costs]]="",TBL_Summary[[#This Row],[Actual Costs]]=""),"",TBL_Summary[[#This Row],[Estimated Costs]]-TBL_Summary[[#This Row],[Actual Costs]])</f>
        <v/>
      </c>
      <c r="F16" s="20">
        <f>TBL_Summary[[#This Row],[Estimated Costs]]/SUM(TBL_Summary[Estimated Costs])</f>
        <v>1.5384615384615385E-2</v>
      </c>
      <c r="J16" s="2" t="s">
        <v>65</v>
      </c>
      <c r="K16" s="1">
        <f>TBL_Transportation[[#Totals],[Estimated Costs]]</f>
        <v>450</v>
      </c>
      <c r="L16" s="1">
        <f>TBL_Transportation[[#Totals],[Actual Costs]]</f>
        <v>0</v>
      </c>
      <c r="M16" s="1">
        <f t="shared" si="3"/>
        <v>449.9</v>
      </c>
      <c r="N16" s="1">
        <f t="shared" si="0"/>
        <v>10</v>
      </c>
      <c r="O16" s="1">
        <v>10</v>
      </c>
      <c r="P16" s="2" t="str">
        <f t="shared" si="1"/>
        <v>Transportation</v>
      </c>
    </row>
    <row r="17" spans="2:6" ht="21" customHeight="1" x14ac:dyDescent="0.3">
      <c r="B17" s="10" t="s">
        <v>55</v>
      </c>
      <c r="C17" s="11">
        <f>SUBTOTAL(109,TBL_Summary[Estimated Costs])</f>
        <v>29250</v>
      </c>
      <c r="D17" s="11">
        <f>SUBTOTAL(109,TBL_Summary[Actual Costs])</f>
        <v>15700</v>
      </c>
      <c r="E17" s="11">
        <f>TBL_Summary[[#Totals],[Estimated Costs]]-TBL_Summary[[#Totals],[Actual Costs]]</f>
        <v>13550</v>
      </c>
      <c r="F17" s="21">
        <f>SUBTOTAL(109,TBL_Summary[Budget %])</f>
        <v>1</v>
      </c>
    </row>
    <row r="19" spans="2:6" ht="21" customHeight="1" x14ac:dyDescent="0.3">
      <c r="B19" s="1"/>
    </row>
    <row r="20" spans="2:6" ht="21" customHeight="1" x14ac:dyDescent="0.3">
      <c r="B20" s="1"/>
    </row>
    <row r="21" spans="2:6" ht="21" customHeight="1" x14ac:dyDescent="0.3">
      <c r="B21" s="1"/>
    </row>
    <row r="22" spans="2:6" ht="21" customHeight="1" x14ac:dyDescent="0.3">
      <c r="B22" s="1"/>
    </row>
    <row r="23" spans="2:6" ht="21" customHeight="1" x14ac:dyDescent="0.3">
      <c r="B23" s="1"/>
    </row>
    <row r="24" spans="2:6" ht="21" customHeight="1" x14ac:dyDescent="0.3">
      <c r="B24" s="1"/>
    </row>
    <row r="25" spans="2:6" ht="21" customHeight="1" x14ac:dyDescent="0.3">
      <c r="B25" s="1"/>
    </row>
  </sheetData>
  <dataValidations count="7">
    <dataValidation allowBlank="1" showInputMessage="1" showErrorMessage="1" promptTitle="Wedding Budget" prompt="_x000a_Use this template to create your Wedding Budget._x000a__x000a_In the Budget Details tab, enter details for each expense category._x000a__x000a_The summary table in cell B6 and chart in cell B4 are automatically updated._x000a_" sqref="A1" xr:uid="{00000000-0002-0000-0000-000000000000}"/>
    <dataValidation allowBlank="1" showInputMessage="1" showErrorMessage="1" prompt="Your wedding budget is automatically summarized in this table. _x000a__x000a_The expenses category are automatically sorted in a descending order based on total estimated costs._x000a__x000a_" sqref="B6" xr:uid="{00000000-0002-0000-0000-000001000000}"/>
    <dataValidation allowBlank="1" showInputMessage="1" showErrorMessage="1" prompt="Estimated costs are automatically calculated._x000a__x000a_Data is being read from Budget Details tab." sqref="C6" xr:uid="{00000000-0002-0000-0000-000002000000}"/>
    <dataValidation allowBlank="1" showInputMessage="1" showErrorMessage="1" prompt="Actual costs are automatically calculated._x000a__x000a_Data is being read from Budget Details tab." sqref="D6" xr:uid="{00000000-0002-0000-0000-000003000000}"/>
    <dataValidation allowBlank="1" showInputMessage="1" showErrorMessage="1" prompt="Variance is automatically calculated._x000a__x000a_This shows the difference between estimated costs and actual costs." sqref="E6" xr:uid="{00000000-0002-0000-0000-000004000000}"/>
    <dataValidation allowBlank="1" showInputMessage="1" showErrorMessage="1" prompt="Budget % is automatically calculated._x000a__x000a_This shows the breakdown based on total estimated costs." sqref="F6" xr:uid="{00000000-0002-0000-0000-000005000000}"/>
    <dataValidation allowBlank="1" showInputMessage="1" showErrorMessage="1" prompt="Chart summarizing wedding budget by category. Category expenses are shown in a descending order based on estimated costs." sqref="B4" xr:uid="{D1EF22CC-E23E-4334-A43D-A0E40B412DDD}"/>
  </dataValidations>
  <printOptions horizontalCentered="1"/>
  <pageMargins left="0.25" right="0.25" top="0.75" bottom="0.75" header="0.3" footer="0.3"/>
  <pageSetup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82"/>
  <sheetViews>
    <sheetView showGridLines="0" zoomScaleNormal="100" workbookViewId="0"/>
  </sheetViews>
  <sheetFormatPr defaultColWidth="9" defaultRowHeight="21" customHeight="1" x14ac:dyDescent="0.3"/>
  <cols>
    <col min="1" max="1" width="1.44140625" style="1" customWidth="1"/>
    <col min="2" max="2" width="42" style="3" customWidth="1"/>
    <col min="3" max="3" width="15.44140625" style="5" customWidth="1"/>
    <col min="4" max="5" width="14.44140625" style="5" customWidth="1"/>
    <col min="6" max="6" width="1.44140625" style="1" customWidth="1"/>
    <col min="7" max="16384" width="9" style="1"/>
  </cols>
  <sheetData>
    <row r="1" spans="2:6" ht="9" customHeight="1" x14ac:dyDescent="0.3">
      <c r="F1" s="8" t="s">
        <v>73</v>
      </c>
    </row>
    <row r="2" spans="2:6" s="4" customFormat="1" ht="35.4" x14ac:dyDescent="0.3">
      <c r="B2" s="13" t="s">
        <v>74</v>
      </c>
      <c r="C2" s="14"/>
      <c r="D2" s="14"/>
      <c r="E2" s="14"/>
    </row>
    <row r="3" spans="2:6" ht="21" customHeight="1" x14ac:dyDescent="0.3">
      <c r="B3" s="15"/>
      <c r="C3" s="16"/>
      <c r="D3" s="16"/>
      <c r="E3" s="16"/>
    </row>
    <row r="4" spans="2:6" ht="21" customHeight="1" x14ac:dyDescent="0.3">
      <c r="B4" s="29" t="s">
        <v>0</v>
      </c>
      <c r="C4" s="30" t="s">
        <v>1</v>
      </c>
      <c r="D4" s="30" t="s">
        <v>2</v>
      </c>
      <c r="E4" s="30" t="s">
        <v>54</v>
      </c>
    </row>
    <row r="5" spans="2:6" ht="21" customHeight="1" x14ac:dyDescent="0.3">
      <c r="B5" s="15" t="s">
        <v>3</v>
      </c>
      <c r="C5" s="16">
        <v>8000</v>
      </c>
      <c r="D5" s="16">
        <v>7800</v>
      </c>
      <c r="E5" s="16">
        <f>IF(OR(TBL_Reception[[#This Row],[Estimated Costs]]="",TBL_Reception[[#This Row],[Actual Costs]]=""),"",TBL_Reception[[#This Row],[Estimated Costs]]-TBL_Reception[[#This Row],[Actual Costs]])</f>
        <v>200</v>
      </c>
    </row>
    <row r="6" spans="2:6" ht="21" customHeight="1" x14ac:dyDescent="0.3">
      <c r="B6" s="15" t="s">
        <v>4</v>
      </c>
      <c r="C6" s="16">
        <v>4000</v>
      </c>
      <c r="D6" s="16">
        <v>4200</v>
      </c>
      <c r="E6" s="16">
        <f>IF(OR(TBL_Reception[[#This Row],[Estimated Costs]]="",TBL_Reception[[#This Row],[Actual Costs]]=""),"",TBL_Reception[[#This Row],[Estimated Costs]]-TBL_Reception[[#This Row],[Actual Costs]])</f>
        <v>-200</v>
      </c>
    </row>
    <row r="7" spans="2:6" ht="21" customHeight="1" x14ac:dyDescent="0.3">
      <c r="B7" s="15" t="s">
        <v>5</v>
      </c>
      <c r="C7" s="16">
        <v>1000</v>
      </c>
      <c r="D7" s="16">
        <v>800</v>
      </c>
      <c r="E7" s="16">
        <f>IF(OR(TBL_Reception[[#This Row],[Estimated Costs]]="",TBL_Reception[[#This Row],[Actual Costs]]=""),"",TBL_Reception[[#This Row],[Estimated Costs]]-TBL_Reception[[#This Row],[Actual Costs]])</f>
        <v>200</v>
      </c>
    </row>
    <row r="8" spans="2:6" ht="21" customHeight="1" x14ac:dyDescent="0.3">
      <c r="B8" s="15" t="s">
        <v>6</v>
      </c>
      <c r="C8" s="16">
        <v>1000</v>
      </c>
      <c r="D8" s="16"/>
      <c r="E8" s="16" t="str">
        <f>IF(OR(TBL_Reception[[#This Row],[Estimated Costs]]="",TBL_Reception[[#This Row],[Actual Costs]]=""),"",TBL_Reception[[#This Row],[Estimated Costs]]-TBL_Reception[[#This Row],[Actual Costs]])</f>
        <v/>
      </c>
    </row>
    <row r="9" spans="2:6" ht="21" customHeight="1" x14ac:dyDescent="0.3">
      <c r="B9" s="15" t="s">
        <v>7</v>
      </c>
      <c r="C9" s="16">
        <v>500</v>
      </c>
      <c r="D9" s="16"/>
      <c r="E9" s="16" t="str">
        <f>IF(OR(TBL_Reception[[#This Row],[Estimated Costs]]="",TBL_Reception[[#This Row],[Actual Costs]]=""),"",TBL_Reception[[#This Row],[Estimated Costs]]-TBL_Reception[[#This Row],[Actual Costs]])</f>
        <v/>
      </c>
    </row>
    <row r="10" spans="2:6" ht="21" customHeight="1" x14ac:dyDescent="0.3">
      <c r="B10" s="17" t="s">
        <v>55</v>
      </c>
      <c r="C10" s="22">
        <f>SUBTOTAL(109,TBL_Reception[Estimated Costs])</f>
        <v>14500</v>
      </c>
      <c r="D10" s="22">
        <f>SUBTOTAL(109,TBL_Reception[Actual Costs])</f>
        <v>12800</v>
      </c>
      <c r="E10" s="22">
        <f>TBL_Reception[[#Totals],[Estimated Costs]]-TBL_Reception[[#Totals],[Actual Costs]]</f>
        <v>1700</v>
      </c>
    </row>
    <row r="11" spans="2:6" ht="21" customHeight="1" x14ac:dyDescent="0.3">
      <c r="B11" s="15"/>
      <c r="C11" s="16"/>
      <c r="D11" s="16"/>
      <c r="E11" s="16"/>
    </row>
    <row r="12" spans="2:6" ht="21" customHeight="1" x14ac:dyDescent="0.3">
      <c r="B12" s="12" t="s">
        <v>8</v>
      </c>
      <c r="C12" s="30" t="s">
        <v>1</v>
      </c>
      <c r="D12" s="30" t="s">
        <v>2</v>
      </c>
      <c r="E12" s="30" t="s">
        <v>54</v>
      </c>
    </row>
    <row r="13" spans="2:6" ht="21" customHeight="1" x14ac:dyDescent="0.3">
      <c r="B13" s="15" t="s">
        <v>9</v>
      </c>
      <c r="C13" s="16">
        <v>3000</v>
      </c>
      <c r="D13" s="16">
        <v>2900</v>
      </c>
      <c r="E13" s="16">
        <f>IF(OR(TBL_Attire[[#This Row],[Estimated Costs]]="",TBL_Attire[[#This Row],[Actual Costs]]=""),"",TBL_Attire[[#This Row],[Estimated Costs]]-TBL_Attire[[#This Row],[Actual Costs]])</f>
        <v>100</v>
      </c>
    </row>
    <row r="14" spans="2:6" ht="21" customHeight="1" x14ac:dyDescent="0.3">
      <c r="B14" s="15" t="s">
        <v>10</v>
      </c>
      <c r="C14" s="16">
        <v>100</v>
      </c>
      <c r="D14" s="16"/>
      <c r="E14" s="16" t="str">
        <f>IF(OR(TBL_Attire[[#This Row],[Estimated Costs]]="",TBL_Attire[[#This Row],[Actual Costs]]=""),"",TBL_Attire[[#This Row],[Estimated Costs]]-TBL_Attire[[#This Row],[Actual Costs]])</f>
        <v/>
      </c>
    </row>
    <row r="15" spans="2:6" ht="21" customHeight="1" x14ac:dyDescent="0.3">
      <c r="B15" s="15" t="s">
        <v>11</v>
      </c>
      <c r="C15" s="16">
        <v>200</v>
      </c>
      <c r="D15" s="16"/>
      <c r="E15" s="16" t="str">
        <f>IF(OR(TBL_Attire[[#This Row],[Estimated Costs]]="",TBL_Attire[[#This Row],[Actual Costs]]=""),"",TBL_Attire[[#This Row],[Estimated Costs]]-TBL_Attire[[#This Row],[Actual Costs]])</f>
        <v/>
      </c>
    </row>
    <row r="16" spans="2:6" ht="21" customHeight="1" x14ac:dyDescent="0.3">
      <c r="B16" s="15" t="s">
        <v>12</v>
      </c>
      <c r="C16" s="16">
        <v>100</v>
      </c>
      <c r="D16" s="16"/>
      <c r="E16" s="16" t="str">
        <f>IF(OR(TBL_Attire[[#This Row],[Estimated Costs]]="",TBL_Attire[[#This Row],[Actual Costs]]=""),"",TBL_Attire[[#This Row],[Estimated Costs]]-TBL_Attire[[#This Row],[Actual Costs]])</f>
        <v/>
      </c>
    </row>
    <row r="17" spans="2:5" ht="21" customHeight="1" x14ac:dyDescent="0.3">
      <c r="B17" s="15" t="s">
        <v>13</v>
      </c>
      <c r="C17" s="16">
        <v>500</v>
      </c>
      <c r="D17" s="16"/>
      <c r="E17" s="16" t="str">
        <f>IF(OR(TBL_Attire[[#This Row],[Estimated Costs]]="",TBL_Attire[[#This Row],[Actual Costs]]=""),"",TBL_Attire[[#This Row],[Estimated Costs]]-TBL_Attire[[#This Row],[Actual Costs]])</f>
        <v/>
      </c>
    </row>
    <row r="18" spans="2:5" ht="21" customHeight="1" x14ac:dyDescent="0.3">
      <c r="B18" s="15" t="s">
        <v>7</v>
      </c>
      <c r="C18" s="16">
        <v>100</v>
      </c>
      <c r="D18" s="16"/>
      <c r="E18" s="16" t="str">
        <f>IF(OR(TBL_Attire[[#This Row],[Estimated Costs]]="",TBL_Attire[[#This Row],[Actual Costs]]=""),"",TBL_Attire[[#This Row],[Estimated Costs]]-TBL_Attire[[#This Row],[Actual Costs]])</f>
        <v/>
      </c>
    </row>
    <row r="19" spans="2:5" ht="21" customHeight="1" x14ac:dyDescent="0.3">
      <c r="B19" s="17" t="s">
        <v>55</v>
      </c>
      <c r="C19" s="22">
        <f>SUBTOTAL(109,TBL_Attire[Estimated Costs])</f>
        <v>4000</v>
      </c>
      <c r="D19" s="22">
        <f>SUBTOTAL(109,TBL_Attire[Actual Costs])</f>
        <v>2900</v>
      </c>
      <c r="E19" s="22">
        <f>TBL_Attire[[#Totals],[Estimated Costs]]-TBL_Attire[[#Totals],[Actual Costs]]</f>
        <v>1100</v>
      </c>
    </row>
    <row r="20" spans="2:5" ht="21" customHeight="1" x14ac:dyDescent="0.3">
      <c r="B20" s="15"/>
      <c r="C20" s="16"/>
      <c r="D20" s="16"/>
      <c r="E20" s="16"/>
    </row>
    <row r="21" spans="2:5" ht="21" customHeight="1" x14ac:dyDescent="0.3">
      <c r="B21" s="12" t="s">
        <v>14</v>
      </c>
      <c r="C21" s="30" t="s">
        <v>1</v>
      </c>
      <c r="D21" s="30" t="s">
        <v>2</v>
      </c>
      <c r="E21" s="30" t="s">
        <v>54</v>
      </c>
    </row>
    <row r="22" spans="2:5" ht="21" customHeight="1" x14ac:dyDescent="0.3">
      <c r="B22" s="15" t="s">
        <v>15</v>
      </c>
      <c r="C22" s="16">
        <v>1000</v>
      </c>
      <c r="D22" s="16"/>
      <c r="E22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3" spans="2:5" ht="21" customHeight="1" x14ac:dyDescent="0.3">
      <c r="B23" s="15" t="s">
        <v>16</v>
      </c>
      <c r="C23" s="16">
        <v>500</v>
      </c>
      <c r="D23" s="16"/>
      <c r="E23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4" spans="2:5" ht="21" customHeight="1" x14ac:dyDescent="0.3">
      <c r="B24" s="15" t="s">
        <v>17</v>
      </c>
      <c r="C24" s="16">
        <v>100</v>
      </c>
      <c r="D24" s="16"/>
      <c r="E24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5" spans="2:5" ht="21" customHeight="1" x14ac:dyDescent="0.3">
      <c r="B25" s="15" t="s">
        <v>18</v>
      </c>
      <c r="C25" s="16">
        <v>500</v>
      </c>
      <c r="D25" s="16"/>
      <c r="E25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6" spans="2:5" ht="21" customHeight="1" x14ac:dyDescent="0.3">
      <c r="B26" s="15" t="s">
        <v>19</v>
      </c>
      <c r="C26" s="16">
        <v>100</v>
      </c>
      <c r="D26" s="16"/>
      <c r="E26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7" spans="2:5" ht="21" customHeight="1" x14ac:dyDescent="0.3">
      <c r="B27" s="15" t="s">
        <v>20</v>
      </c>
      <c r="C27" s="16">
        <v>200</v>
      </c>
      <c r="D27" s="16"/>
      <c r="E27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8" spans="2:5" ht="21" customHeight="1" x14ac:dyDescent="0.3">
      <c r="B28" s="15" t="s">
        <v>21</v>
      </c>
      <c r="C28" s="16">
        <v>300</v>
      </c>
      <c r="D28" s="16"/>
      <c r="E28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29" spans="2:5" ht="21" customHeight="1" x14ac:dyDescent="0.3">
      <c r="B29" s="15" t="s">
        <v>22</v>
      </c>
      <c r="C29" s="16">
        <v>200</v>
      </c>
      <c r="D29" s="16"/>
      <c r="E29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30" spans="2:5" ht="21" customHeight="1" x14ac:dyDescent="0.3">
      <c r="B30" s="15" t="s">
        <v>7</v>
      </c>
      <c r="C30" s="16">
        <v>100</v>
      </c>
      <c r="D30" s="16"/>
      <c r="E30" s="16" t="str">
        <f>IF(OR(TBL_FlowersAndDecor[[#This Row],[Estimated Costs]]="",TBL_FlowersAndDecor[[#This Row],[Actual Costs]]=""),"",TBL_FlowersAndDecor[[#This Row],[Estimated Costs]]-TBL_FlowersAndDecor[[#This Row],[Actual Costs]])</f>
        <v/>
      </c>
    </row>
    <row r="31" spans="2:5" ht="21" customHeight="1" x14ac:dyDescent="0.3">
      <c r="B31" s="17" t="s">
        <v>55</v>
      </c>
      <c r="C31" s="18">
        <f>SUBTOTAL(109,TBL_FlowersAndDecor[Estimated Costs])</f>
        <v>3000</v>
      </c>
      <c r="D31" s="18">
        <f>SUBTOTAL(109,TBL_FlowersAndDecor[Actual Costs])</f>
        <v>0</v>
      </c>
      <c r="E31" s="18">
        <f>TBL_FlowersAndDecor[[#Totals],[Estimated Costs]]-TBL_FlowersAndDecor[[#Totals],[Actual Costs]]</f>
        <v>3000</v>
      </c>
    </row>
    <row r="32" spans="2:5" ht="21" customHeight="1" x14ac:dyDescent="0.3">
      <c r="B32" s="15"/>
      <c r="C32" s="16"/>
      <c r="D32" s="16"/>
      <c r="E32" s="16"/>
    </row>
    <row r="33" spans="2:5" ht="21" customHeight="1" x14ac:dyDescent="0.3">
      <c r="B33" s="12" t="s">
        <v>23</v>
      </c>
      <c r="C33" s="30" t="s">
        <v>1</v>
      </c>
      <c r="D33" s="30" t="s">
        <v>2</v>
      </c>
      <c r="E33" s="30" t="s">
        <v>54</v>
      </c>
    </row>
    <row r="34" spans="2:5" ht="21" customHeight="1" x14ac:dyDescent="0.3">
      <c r="B34" s="15" t="s">
        <v>24</v>
      </c>
      <c r="C34" s="16">
        <v>700</v>
      </c>
      <c r="D34" s="16"/>
      <c r="E34" s="16" t="str">
        <f>IF(OR(TBL_Music[[#This Row],[Estimated Costs]]="",TBL_Music[[#This Row],[Actual Costs]]=""),"",TBL_Music[[#This Row],[Estimated Costs]]-TBL_Music[[#This Row],[Actual Costs]])</f>
        <v/>
      </c>
    </row>
    <row r="35" spans="2:5" ht="21" customHeight="1" x14ac:dyDescent="0.3">
      <c r="B35" s="15" t="s">
        <v>25</v>
      </c>
      <c r="C35" s="16">
        <v>300</v>
      </c>
      <c r="D35" s="16"/>
      <c r="E35" s="16" t="str">
        <f>IF(OR(TBL_Music[[#This Row],[Estimated Costs]]="",TBL_Music[[#This Row],[Actual Costs]]=""),"",TBL_Music[[#This Row],[Estimated Costs]]-TBL_Music[[#This Row],[Actual Costs]])</f>
        <v/>
      </c>
    </row>
    <row r="36" spans="2:5" ht="21" customHeight="1" x14ac:dyDescent="0.3">
      <c r="B36" s="15" t="s">
        <v>26</v>
      </c>
      <c r="C36" s="16">
        <v>200</v>
      </c>
      <c r="D36" s="16"/>
      <c r="E36" s="16" t="str">
        <f>IF(OR(TBL_Music[[#This Row],[Estimated Costs]]="",TBL_Music[[#This Row],[Actual Costs]]=""),"",TBL_Music[[#This Row],[Estimated Costs]]-TBL_Music[[#This Row],[Actual Costs]])</f>
        <v/>
      </c>
    </row>
    <row r="37" spans="2:5" ht="21" customHeight="1" x14ac:dyDescent="0.3">
      <c r="B37" s="15" t="s">
        <v>27</v>
      </c>
      <c r="C37" s="16">
        <v>400</v>
      </c>
      <c r="D37" s="16"/>
      <c r="E37" s="16" t="str">
        <f>IF(OR(TBL_Music[[#This Row],[Estimated Costs]]="",TBL_Music[[#This Row],[Actual Costs]]=""),"",TBL_Music[[#This Row],[Estimated Costs]]-TBL_Music[[#This Row],[Actual Costs]])</f>
        <v/>
      </c>
    </row>
    <row r="38" spans="2:5" ht="21" customHeight="1" x14ac:dyDescent="0.3">
      <c r="B38" s="15" t="s">
        <v>7</v>
      </c>
      <c r="C38" s="16">
        <v>200</v>
      </c>
      <c r="D38" s="16"/>
      <c r="E38" s="16" t="str">
        <f>IF(OR(TBL_Music[[#This Row],[Estimated Costs]]="",TBL_Music[[#This Row],[Actual Costs]]=""),"",TBL_Music[[#This Row],[Estimated Costs]]-TBL_Music[[#This Row],[Actual Costs]])</f>
        <v/>
      </c>
    </row>
    <row r="39" spans="2:5" ht="21" customHeight="1" x14ac:dyDescent="0.3">
      <c r="B39" s="17" t="s">
        <v>55</v>
      </c>
      <c r="C39" s="18">
        <f>SUBTOTAL(109,TBL_Music[Estimated Costs])</f>
        <v>1800</v>
      </c>
      <c r="D39" s="18">
        <f>SUBTOTAL(109,TBL_Music[Actual Costs])</f>
        <v>0</v>
      </c>
      <c r="E39" s="18">
        <f>TBL_Music[[#Totals],[Estimated Costs]]-TBL_Music[[#Totals],[Actual Costs]]</f>
        <v>1800</v>
      </c>
    </row>
    <row r="40" spans="2:5" ht="21" customHeight="1" x14ac:dyDescent="0.3">
      <c r="B40" s="15"/>
      <c r="C40" s="16"/>
      <c r="D40" s="16"/>
      <c r="E40" s="16"/>
    </row>
    <row r="41" spans="2:5" ht="21" customHeight="1" x14ac:dyDescent="0.3">
      <c r="B41" s="12" t="s">
        <v>28</v>
      </c>
      <c r="C41" s="30" t="s">
        <v>1</v>
      </c>
      <c r="D41" s="30" t="s">
        <v>2</v>
      </c>
      <c r="E41" s="30" t="s">
        <v>54</v>
      </c>
    </row>
    <row r="42" spans="2:5" ht="21" customHeight="1" x14ac:dyDescent="0.3">
      <c r="B42" s="15" t="s">
        <v>29</v>
      </c>
      <c r="C42" s="16">
        <v>1000</v>
      </c>
      <c r="D42" s="16"/>
      <c r="E42" s="16" t="str">
        <f>IF(OR(TBL_PhotographsAndVideo[[#This Row],[Estimated Costs]]="",TBL_PhotographsAndVideo[[#This Row],[Actual Costs]]=""),"",TBL_PhotographsAndVideo[[#This Row],[Estimated Costs]]-TBL_PhotographsAndVideo[[#This Row],[Actual Costs]])</f>
        <v/>
      </c>
    </row>
    <row r="43" spans="2:5" ht="21" customHeight="1" x14ac:dyDescent="0.3">
      <c r="B43" s="15" t="s">
        <v>30</v>
      </c>
      <c r="C43" s="16">
        <v>800</v>
      </c>
      <c r="D43" s="16"/>
      <c r="E43" s="16" t="str">
        <f>IF(OR(TBL_PhotographsAndVideo[[#This Row],[Estimated Costs]]="",TBL_PhotographsAndVideo[[#This Row],[Actual Costs]]=""),"",TBL_PhotographsAndVideo[[#This Row],[Estimated Costs]]-TBL_PhotographsAndVideo[[#This Row],[Actual Costs]])</f>
        <v/>
      </c>
    </row>
    <row r="44" spans="2:5" ht="21" customHeight="1" x14ac:dyDescent="0.3">
      <c r="B44" s="15" t="s">
        <v>31</v>
      </c>
      <c r="C44" s="16">
        <v>500</v>
      </c>
      <c r="D44" s="16"/>
      <c r="E44" s="16" t="str">
        <f>IF(OR(TBL_PhotographsAndVideo[[#This Row],[Estimated Costs]]="",TBL_PhotographsAndVideo[[#This Row],[Actual Costs]]=""),"",TBL_PhotographsAndVideo[[#This Row],[Estimated Costs]]-TBL_PhotographsAndVideo[[#This Row],[Actual Costs]])</f>
        <v/>
      </c>
    </row>
    <row r="45" spans="2:5" ht="21" customHeight="1" x14ac:dyDescent="0.3">
      <c r="B45" s="15" t="s">
        <v>7</v>
      </c>
      <c r="C45" s="16">
        <v>200</v>
      </c>
      <c r="D45" s="16"/>
      <c r="E45" s="16" t="str">
        <f>IF(OR(TBL_PhotographsAndVideo[[#This Row],[Estimated Costs]]="",TBL_PhotographsAndVideo[[#This Row],[Actual Costs]]=""),"",TBL_PhotographsAndVideo[[#This Row],[Estimated Costs]]-TBL_PhotographsAndVideo[[#This Row],[Actual Costs]])</f>
        <v/>
      </c>
    </row>
    <row r="46" spans="2:5" ht="21" customHeight="1" x14ac:dyDescent="0.3">
      <c r="B46" s="17" t="s">
        <v>55</v>
      </c>
      <c r="C46" s="18">
        <f>SUBTOTAL(109,TBL_PhotographsAndVideo[Estimated Costs])</f>
        <v>2500</v>
      </c>
      <c r="D46" s="18">
        <f>SUBTOTAL(109,TBL_PhotographsAndVideo[Actual Costs])</f>
        <v>0</v>
      </c>
      <c r="E46" s="18">
        <f>TBL_PhotographsAndVideo[[#Totals],[Estimated Costs]]-TBL_PhotographsAndVideo[[#Totals],[Actual Costs]]</f>
        <v>2500</v>
      </c>
    </row>
    <row r="47" spans="2:5" ht="21" customHeight="1" x14ac:dyDescent="0.3">
      <c r="B47" s="15"/>
      <c r="C47" s="16"/>
      <c r="D47" s="16"/>
      <c r="E47" s="16"/>
    </row>
    <row r="48" spans="2:5" ht="21" customHeight="1" x14ac:dyDescent="0.3">
      <c r="B48" s="12" t="s">
        <v>32</v>
      </c>
      <c r="C48" s="30" t="s">
        <v>1</v>
      </c>
      <c r="D48" s="30" t="s">
        <v>2</v>
      </c>
      <c r="E48" s="30" t="s">
        <v>54</v>
      </c>
    </row>
    <row r="49" spans="2:5" ht="21" customHeight="1" x14ac:dyDescent="0.3">
      <c r="B49" s="15" t="s">
        <v>33</v>
      </c>
      <c r="C49" s="16">
        <v>700</v>
      </c>
      <c r="D49" s="16"/>
      <c r="E49" s="16" t="str">
        <f>IF(OR(TBL_FavorsAndGifts[[#This Row],[Estimated Costs]]="",TBL_FavorsAndGifts[[#This Row],[Actual Costs]]=""),"",TBL_FavorsAndGifts[[#This Row],[Estimated Costs]]-TBL_FavorsAndGifts[[#This Row],[Actual Costs]])</f>
        <v/>
      </c>
    </row>
    <row r="50" spans="2:5" ht="21" customHeight="1" x14ac:dyDescent="0.3">
      <c r="B50" s="15" t="s">
        <v>34</v>
      </c>
      <c r="C50" s="16">
        <v>200</v>
      </c>
      <c r="D50" s="16"/>
      <c r="E50" s="16" t="str">
        <f>IF(OR(TBL_FavorsAndGifts[[#This Row],[Estimated Costs]]="",TBL_FavorsAndGifts[[#This Row],[Actual Costs]]=""),"",TBL_FavorsAndGifts[[#This Row],[Estimated Costs]]-TBL_FavorsAndGifts[[#This Row],[Actual Costs]])</f>
        <v/>
      </c>
    </row>
    <row r="51" spans="2:5" ht="21" customHeight="1" x14ac:dyDescent="0.3">
      <c r="B51" s="15" t="s">
        <v>7</v>
      </c>
      <c r="C51" s="16">
        <v>200</v>
      </c>
      <c r="D51" s="16"/>
      <c r="E51" s="16" t="str">
        <f>IF(OR(TBL_FavorsAndGifts[[#This Row],[Estimated Costs]]="",TBL_FavorsAndGifts[[#This Row],[Actual Costs]]=""),"",TBL_FavorsAndGifts[[#This Row],[Estimated Costs]]-TBL_FavorsAndGifts[[#This Row],[Actual Costs]])</f>
        <v/>
      </c>
    </row>
    <row r="52" spans="2:5" ht="21" customHeight="1" x14ac:dyDescent="0.3">
      <c r="B52" s="17" t="s">
        <v>55</v>
      </c>
      <c r="C52" s="18">
        <f>SUBTOTAL(109,TBL_FavorsAndGifts[Estimated Costs])</f>
        <v>1100</v>
      </c>
      <c r="D52" s="18">
        <f>SUBTOTAL(109,TBL_FavorsAndGifts[Actual Costs])</f>
        <v>0</v>
      </c>
      <c r="E52" s="18">
        <f>TBL_FavorsAndGifts[[#Totals],[Estimated Costs]]-TBL_FavorsAndGifts[[#Totals],[Actual Costs]]</f>
        <v>1100</v>
      </c>
    </row>
    <row r="53" spans="2:5" ht="21" customHeight="1" x14ac:dyDescent="0.3">
      <c r="B53" s="15"/>
      <c r="C53" s="16"/>
      <c r="D53" s="16"/>
      <c r="E53" s="16"/>
    </row>
    <row r="54" spans="2:5" ht="21" customHeight="1" x14ac:dyDescent="0.3">
      <c r="B54" s="12" t="s">
        <v>35</v>
      </c>
      <c r="C54" s="30" t="s">
        <v>1</v>
      </c>
      <c r="D54" s="30" t="s">
        <v>2</v>
      </c>
      <c r="E54" s="30" t="s">
        <v>54</v>
      </c>
    </row>
    <row r="55" spans="2:5" ht="21" customHeight="1" x14ac:dyDescent="0.3">
      <c r="B55" s="15" t="s">
        <v>36</v>
      </c>
      <c r="C55" s="16">
        <v>500</v>
      </c>
      <c r="D55" s="16"/>
      <c r="E55" s="16" t="str">
        <f>IF(OR(TBL_Ceremony[[#This Row],[Estimated Costs]]="",TBL_Ceremony[[#This Row],[Actual Costs]]=""),"",TBL_Ceremony[[#This Row],[Estimated Costs]]-TBL_Ceremony[[#This Row],[Actual Costs]])</f>
        <v/>
      </c>
    </row>
    <row r="56" spans="2:5" ht="21" customHeight="1" x14ac:dyDescent="0.3">
      <c r="B56" s="15" t="s">
        <v>37</v>
      </c>
      <c r="C56" s="16">
        <v>200</v>
      </c>
      <c r="D56" s="16"/>
      <c r="E56" s="16" t="str">
        <f>IF(OR(TBL_Ceremony[[#This Row],[Estimated Costs]]="",TBL_Ceremony[[#This Row],[Actual Costs]]=""),"",TBL_Ceremony[[#This Row],[Estimated Costs]]-TBL_Ceremony[[#This Row],[Actual Costs]])</f>
        <v/>
      </c>
    </row>
    <row r="57" spans="2:5" ht="21" customHeight="1" x14ac:dyDescent="0.3">
      <c r="B57" s="15" t="s">
        <v>7</v>
      </c>
      <c r="C57" s="16">
        <v>100</v>
      </c>
      <c r="D57" s="16"/>
      <c r="E57" s="16" t="str">
        <f>IF(OR(TBL_Ceremony[[#This Row],[Estimated Costs]]="",TBL_Ceremony[[#This Row],[Actual Costs]]=""),"",TBL_Ceremony[[#This Row],[Estimated Costs]]-TBL_Ceremony[[#This Row],[Actual Costs]])</f>
        <v/>
      </c>
    </row>
    <row r="58" spans="2:5" ht="21" customHeight="1" x14ac:dyDescent="0.3">
      <c r="B58" s="17" t="s">
        <v>55</v>
      </c>
      <c r="C58" s="18">
        <f>SUBTOTAL(109,TBL_Ceremony[Estimated Costs])</f>
        <v>800</v>
      </c>
      <c r="D58" s="18">
        <f>SUBTOTAL(109,TBL_Ceremony[Actual Costs])</f>
        <v>0</v>
      </c>
      <c r="E58" s="18">
        <f>TBL_Ceremony[[#Totals],[Estimated Costs]]-TBL_Ceremony[[#Totals],[Actual Costs]]</f>
        <v>800</v>
      </c>
    </row>
    <row r="59" spans="2:5" ht="21" customHeight="1" x14ac:dyDescent="0.3">
      <c r="B59" s="15"/>
      <c r="C59" s="16"/>
      <c r="D59" s="16"/>
      <c r="E59" s="16"/>
    </row>
    <row r="60" spans="2:5" ht="21" customHeight="1" x14ac:dyDescent="0.3">
      <c r="B60" s="12" t="s">
        <v>38</v>
      </c>
      <c r="C60" s="30" t="s">
        <v>1</v>
      </c>
      <c r="D60" s="30" t="s">
        <v>2</v>
      </c>
      <c r="E60" s="30" t="s">
        <v>54</v>
      </c>
    </row>
    <row r="61" spans="2:5" ht="21" customHeight="1" x14ac:dyDescent="0.3">
      <c r="B61" s="15" t="s">
        <v>39</v>
      </c>
      <c r="C61" s="16">
        <v>50</v>
      </c>
      <c r="D61" s="16"/>
      <c r="E61" s="16" t="str">
        <f>IF(OR(TBL_Stationery[[#This Row],[Estimated Costs]]="",TBL_Stationery[[#This Row],[Actual Costs]]=""),"",TBL_Stationery[[#This Row],[Estimated Costs]]-TBL_Stationery[[#This Row],[Actual Costs]])</f>
        <v/>
      </c>
    </row>
    <row r="62" spans="2:5" ht="21" customHeight="1" x14ac:dyDescent="0.3">
      <c r="B62" s="15" t="s">
        <v>40</v>
      </c>
      <c r="C62" s="16">
        <v>100</v>
      </c>
      <c r="D62" s="16"/>
      <c r="E62" s="16" t="str">
        <f>IF(OR(TBL_Stationery[[#This Row],[Estimated Costs]]="",TBL_Stationery[[#This Row],[Actual Costs]]=""),"",TBL_Stationery[[#This Row],[Estimated Costs]]-TBL_Stationery[[#This Row],[Actual Costs]])</f>
        <v/>
      </c>
    </row>
    <row r="63" spans="2:5" ht="21" customHeight="1" x14ac:dyDescent="0.3">
      <c r="B63" s="15" t="s">
        <v>41</v>
      </c>
      <c r="C63" s="16">
        <v>50</v>
      </c>
      <c r="D63" s="16"/>
      <c r="E63" s="16" t="str">
        <f>IF(OR(TBL_Stationery[[#This Row],[Estimated Costs]]="",TBL_Stationery[[#This Row],[Actual Costs]]=""),"",TBL_Stationery[[#This Row],[Estimated Costs]]-TBL_Stationery[[#This Row],[Actual Costs]])</f>
        <v/>
      </c>
    </row>
    <row r="64" spans="2:5" ht="21" customHeight="1" x14ac:dyDescent="0.3">
      <c r="B64" s="15" t="s">
        <v>42</v>
      </c>
      <c r="C64" s="16">
        <v>50</v>
      </c>
      <c r="D64" s="16"/>
      <c r="E64" s="16" t="str">
        <f>IF(OR(TBL_Stationery[[#This Row],[Estimated Costs]]="",TBL_Stationery[[#This Row],[Actual Costs]]=""),"",TBL_Stationery[[#This Row],[Estimated Costs]]-TBL_Stationery[[#This Row],[Actual Costs]])</f>
        <v/>
      </c>
    </row>
    <row r="65" spans="2:5" ht="21" customHeight="1" x14ac:dyDescent="0.3">
      <c r="B65" s="15" t="s">
        <v>43</v>
      </c>
      <c r="C65" s="16">
        <v>50</v>
      </c>
      <c r="D65" s="16"/>
      <c r="E65" s="16" t="str">
        <f>IF(OR(TBL_Stationery[[#This Row],[Estimated Costs]]="",TBL_Stationery[[#This Row],[Actual Costs]]=""),"",TBL_Stationery[[#This Row],[Estimated Costs]]-TBL_Stationery[[#This Row],[Actual Costs]])</f>
        <v/>
      </c>
    </row>
    <row r="66" spans="2:5" ht="21" customHeight="1" x14ac:dyDescent="0.3">
      <c r="B66" s="15" t="s">
        <v>44</v>
      </c>
      <c r="C66" s="16">
        <v>50</v>
      </c>
      <c r="D66" s="16"/>
      <c r="E66" s="16" t="str">
        <f>IF(OR(TBL_Stationery[[#This Row],[Estimated Costs]]="",TBL_Stationery[[#This Row],[Actual Costs]]=""),"",TBL_Stationery[[#This Row],[Estimated Costs]]-TBL_Stationery[[#This Row],[Actual Costs]])</f>
        <v/>
      </c>
    </row>
    <row r="67" spans="2:5" ht="21" customHeight="1" x14ac:dyDescent="0.3">
      <c r="B67" s="15" t="s">
        <v>45</v>
      </c>
      <c r="C67" s="16">
        <v>50</v>
      </c>
      <c r="D67" s="16"/>
      <c r="E67" s="16" t="str">
        <f>IF(OR(TBL_Stationery[[#This Row],[Estimated Costs]]="",TBL_Stationery[[#This Row],[Actual Costs]]=""),"",TBL_Stationery[[#This Row],[Estimated Costs]]-TBL_Stationery[[#This Row],[Actual Costs]])</f>
        <v/>
      </c>
    </row>
    <row r="68" spans="2:5" ht="21" customHeight="1" x14ac:dyDescent="0.3">
      <c r="B68" s="15" t="s">
        <v>7</v>
      </c>
      <c r="C68" s="16">
        <v>100</v>
      </c>
      <c r="D68" s="16"/>
      <c r="E68" s="16" t="str">
        <f>IF(OR(TBL_Stationery[[#This Row],[Estimated Costs]]="",TBL_Stationery[[#This Row],[Actual Costs]]=""),"",TBL_Stationery[[#This Row],[Estimated Costs]]-TBL_Stationery[[#This Row],[Actual Costs]])</f>
        <v/>
      </c>
    </row>
    <row r="69" spans="2:5" ht="21" customHeight="1" x14ac:dyDescent="0.3">
      <c r="B69" s="17" t="s">
        <v>55</v>
      </c>
      <c r="C69" s="18">
        <f>SUBTOTAL(109,TBL_Stationery[Estimated Costs])</f>
        <v>500</v>
      </c>
      <c r="D69" s="18">
        <f>SUBTOTAL(109,TBL_Stationery[Actual Costs])</f>
        <v>0</v>
      </c>
      <c r="E69" s="18">
        <f>TBL_Stationery[[#Totals],[Estimated Costs]]-TBL_Stationery[[#Totals],[Actual Costs]]</f>
        <v>500</v>
      </c>
    </row>
    <row r="70" spans="2:5" ht="21" customHeight="1" x14ac:dyDescent="0.3">
      <c r="B70" s="15"/>
      <c r="C70" s="16"/>
      <c r="D70" s="16"/>
      <c r="E70" s="16"/>
    </row>
    <row r="71" spans="2:5" ht="21" customHeight="1" x14ac:dyDescent="0.3">
      <c r="B71" s="12" t="s">
        <v>46</v>
      </c>
      <c r="C71" s="30" t="s">
        <v>1</v>
      </c>
      <c r="D71" s="30" t="s">
        <v>2</v>
      </c>
      <c r="E71" s="30" t="s">
        <v>54</v>
      </c>
    </row>
    <row r="72" spans="2:5" ht="21" customHeight="1" x14ac:dyDescent="0.3">
      <c r="B72" s="15" t="s">
        <v>47</v>
      </c>
      <c r="C72" s="16">
        <v>500</v>
      </c>
      <c r="D72" s="16"/>
      <c r="E72" s="16" t="str">
        <f>IF(OR(TBL_WeddingRings[[#This Row],[Estimated Costs]]="",TBL_WeddingRings[[#This Row],[Actual Costs]]=""),"",TBL_WeddingRings[[#This Row],[Estimated Costs]]-TBL_WeddingRings[[#This Row],[Actual Costs]])</f>
        <v/>
      </c>
    </row>
    <row r="73" spans="2:5" ht="21" customHeight="1" x14ac:dyDescent="0.3">
      <c r="B73" s="15" t="s">
        <v>48</v>
      </c>
      <c r="C73" s="16">
        <v>100</v>
      </c>
      <c r="D73" s="16"/>
      <c r="E73" s="16" t="str">
        <f>IF(OR(TBL_WeddingRings[[#This Row],[Estimated Costs]]="",TBL_WeddingRings[[#This Row],[Actual Costs]]=""),"",TBL_WeddingRings[[#This Row],[Estimated Costs]]-TBL_WeddingRings[[#This Row],[Actual Costs]])</f>
        <v/>
      </c>
    </row>
    <row r="74" spans="2:5" ht="21" customHeight="1" x14ac:dyDescent="0.3">
      <c r="B74" s="17" t="s">
        <v>55</v>
      </c>
      <c r="C74" s="18">
        <f>SUBTOTAL(109,TBL_WeddingRings[Estimated Costs])</f>
        <v>600</v>
      </c>
      <c r="D74" s="18">
        <f>SUBTOTAL(109,TBL_WeddingRings[Actual Costs])</f>
        <v>0</v>
      </c>
      <c r="E74" s="18">
        <f>TBL_WeddingRings[[#Totals],[Estimated Costs]]-TBL_WeddingRings[[#Totals],[Actual Costs]]</f>
        <v>600</v>
      </c>
    </row>
    <row r="75" spans="2:5" ht="21" customHeight="1" x14ac:dyDescent="0.3">
      <c r="B75" s="15"/>
      <c r="C75" s="16"/>
      <c r="D75" s="16"/>
      <c r="E75" s="16"/>
    </row>
    <row r="76" spans="2:5" ht="21" customHeight="1" x14ac:dyDescent="0.3">
      <c r="B76" s="12" t="s">
        <v>49</v>
      </c>
      <c r="C76" s="30" t="s">
        <v>1</v>
      </c>
      <c r="D76" s="30" t="s">
        <v>2</v>
      </c>
      <c r="E76" s="30" t="s">
        <v>54</v>
      </c>
    </row>
    <row r="77" spans="2:5" ht="21" customHeight="1" x14ac:dyDescent="0.3">
      <c r="B77" s="15" t="s">
        <v>50</v>
      </c>
      <c r="C77" s="16">
        <v>100</v>
      </c>
      <c r="D77" s="16"/>
      <c r="E77" s="16" t="str">
        <f>IF(OR(TBL_Transportation[[#This Row],[Estimated Costs]]="",TBL_Transportation[[#This Row],[Actual Costs]]=""),"",TBL_Transportation[[#This Row],[Estimated Costs]]-TBL_Transportation[[#This Row],[Actual Costs]])</f>
        <v/>
      </c>
    </row>
    <row r="78" spans="2:5" ht="21" customHeight="1" x14ac:dyDescent="0.3">
      <c r="B78" s="15" t="s">
        <v>51</v>
      </c>
      <c r="C78" s="16">
        <v>100</v>
      </c>
      <c r="D78" s="16"/>
      <c r="E78" s="16" t="str">
        <f>IF(OR(TBL_Transportation[[#This Row],[Estimated Costs]]="",TBL_Transportation[[#This Row],[Actual Costs]]=""),"",TBL_Transportation[[#This Row],[Estimated Costs]]-TBL_Transportation[[#This Row],[Actual Costs]])</f>
        <v/>
      </c>
    </row>
    <row r="79" spans="2:5" ht="21" customHeight="1" x14ac:dyDescent="0.3">
      <c r="B79" s="15" t="s">
        <v>52</v>
      </c>
      <c r="C79" s="16">
        <v>100</v>
      </c>
      <c r="D79" s="16"/>
      <c r="E79" s="16" t="str">
        <f>IF(OR(TBL_Transportation[[#This Row],[Estimated Costs]]="",TBL_Transportation[[#This Row],[Actual Costs]]=""),"",TBL_Transportation[[#This Row],[Estimated Costs]]-TBL_Transportation[[#This Row],[Actual Costs]])</f>
        <v/>
      </c>
    </row>
    <row r="80" spans="2:5" ht="21" customHeight="1" x14ac:dyDescent="0.3">
      <c r="B80" s="15" t="s">
        <v>53</v>
      </c>
      <c r="C80" s="16">
        <v>50</v>
      </c>
      <c r="D80" s="16"/>
      <c r="E80" s="16" t="str">
        <f>IF(OR(TBL_Transportation[[#This Row],[Estimated Costs]]="",TBL_Transportation[[#This Row],[Actual Costs]]=""),"",TBL_Transportation[[#This Row],[Estimated Costs]]-TBL_Transportation[[#This Row],[Actual Costs]])</f>
        <v/>
      </c>
    </row>
    <row r="81" spans="2:5" ht="21" customHeight="1" x14ac:dyDescent="0.3">
      <c r="B81" s="15" t="s">
        <v>7</v>
      </c>
      <c r="C81" s="16">
        <v>100</v>
      </c>
      <c r="D81" s="16"/>
      <c r="E81" s="16" t="str">
        <f>IF(OR(TBL_Transportation[[#This Row],[Estimated Costs]]="",TBL_Transportation[[#This Row],[Actual Costs]]=""),"",TBL_Transportation[[#This Row],[Estimated Costs]]-TBL_Transportation[[#This Row],[Actual Costs]])</f>
        <v/>
      </c>
    </row>
    <row r="82" spans="2:5" ht="21" customHeight="1" x14ac:dyDescent="0.3">
      <c r="B82" s="17" t="s">
        <v>55</v>
      </c>
      <c r="C82" s="18">
        <f>SUBTOTAL(109,TBL_Transportation[Estimated Costs])</f>
        <v>450</v>
      </c>
      <c r="D82" s="18">
        <f>SUBTOTAL(109,TBL_Transportation[Actual Costs])</f>
        <v>0</v>
      </c>
      <c r="E82" s="18">
        <f>TBL_Transportation[[#Totals],[Estimated Costs]]-TBL_Transportation[[#Totals],[Actual Costs]]</f>
        <v>450</v>
      </c>
    </row>
  </sheetData>
  <dataValidations count="1">
    <dataValidation allowBlank="1" showInputMessage="1" showErrorMessage="1" prompt="Add or edit specific expense items for each category._x000a__x000a_Enter estimated costs and actucal costs. Variance columns and Total rows are automatically calculated." sqref="A1" xr:uid="{00000000-0002-0000-0100-000000000000}"/>
  </dataValidations>
  <printOptions horizontalCentered="1"/>
  <pageMargins left="0.7" right="0.7" top="0.75" bottom="0.75" header="0.3" footer="0.3"/>
  <pageSetup orientation="portrait" r:id="rId1"/>
  <rowBreaks count="2" manualBreakCount="2">
    <brk id="31" max="16383" man="1"/>
    <brk id="58" max="16383" man="1"/>
  </rowBreaks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2DD64FE2-CBBB-4675-80E1-0E5A3AC4FCBF}"/>
</file>

<file path=customXml/itemProps21.xml><?xml version="1.0" encoding="utf-8"?>
<ds:datastoreItem xmlns:ds="http://schemas.openxmlformats.org/officeDocument/2006/customXml" ds:itemID="{86DBA7F0-6B00-40F5-AEC8-CA228E5EDE44}"/>
</file>

<file path=customXml/itemProps33.xml><?xml version="1.0" encoding="utf-8"?>
<ds:datastoreItem xmlns:ds="http://schemas.openxmlformats.org/officeDocument/2006/customXml" ds:itemID="{22A93B80-45A9-4418-8A5B-E9F910A5CBBD}"/>
</file>

<file path=docProps/app.xml><?xml version="1.0" encoding="utf-8"?>
<ap:Properties xmlns:vt="http://schemas.openxmlformats.org/officeDocument/2006/docPropsVTypes" xmlns:ap="http://schemas.openxmlformats.org/officeDocument/2006/extended-properties">
  <ap:Template>TM33449363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ap:HeadingPairs>
  <ap:TitlesOfParts>
    <vt:vector baseType="lpstr" size="4">
      <vt:lpstr>Wedding Budget</vt:lpstr>
      <vt:lpstr>Budget Details</vt:lpstr>
      <vt:lpstr>'Budget Details'!Print_Titles</vt:lpstr>
      <vt:lpstr>TBL_RankingData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2022-06-14T05:43:20Z</dcterms:created>
  <dcterms:modified xsi:type="dcterms:W3CDTF">2022-06-14T05:43:33Z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