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Ex2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Rutu\Downloads\"/>
    </mc:Choice>
  </mc:AlternateContent>
  <xr:revisionPtr revIDLastSave="0" documentId="13_ncr:1_{B0A388CF-D980-435F-9328-92B489637CEA}" xr6:coauthVersionLast="47" xr6:coauthVersionMax="47" xr10:uidLastSave="{00000000-0000-0000-0000-000000000000}"/>
  <bookViews>
    <workbookView xWindow="-120" yWindow="-120" windowWidth="20730" windowHeight="11040" xr2:uid="{F5A2CD09-CAD7-4E70-B041-CF0E798196D9}"/>
  </bookViews>
  <sheets>
    <sheet name="Feasibility Study" sheetId="1" r:id="rId1"/>
    <sheet name="CCA" sheetId="3" r:id="rId2"/>
    <sheet name="Charts" sheetId="4" r:id="rId3"/>
  </sheets>
  <definedNames>
    <definedName name="_xlchart.v1.0" hidden="1">'Feasibility Study'!$H$17:$AA$17</definedName>
    <definedName name="_xlchart.v1.1" hidden="1">Charts!$AD$21:$AD$25</definedName>
    <definedName name="_xlchart.v1.2" hidden="1">Charts!$AE$20</definedName>
    <definedName name="_xlchart.v1.3" hidden="1">Charts!$AE$21:$AE$25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Z23" i="1" s="1"/>
  <c r="AA23" i="1" s="1"/>
  <c r="M7" i="3"/>
  <c r="V12" i="3"/>
  <c r="O35" i="3"/>
  <c r="G35" i="3"/>
  <c r="R34" i="3"/>
  <c r="Q34" i="3"/>
  <c r="P34" i="3"/>
  <c r="O34" i="3"/>
  <c r="G34" i="3"/>
  <c r="F34" i="3"/>
  <c r="H34" i="3" s="1"/>
  <c r="I34" i="3" s="1"/>
  <c r="O33" i="3"/>
  <c r="M42" i="3"/>
  <c r="D6" i="3"/>
  <c r="D7" i="3" s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W25" i="3"/>
  <c r="G25" i="3"/>
  <c r="H25" i="3" s="1"/>
  <c r="F25" i="3"/>
  <c r="E25" i="3"/>
  <c r="E21" i="3"/>
  <c r="D25" i="3"/>
  <c r="D43" i="3"/>
  <c r="D36" i="3"/>
  <c r="D20" i="3"/>
  <c r="D14" i="3"/>
  <c r="I25" i="3" l="1"/>
  <c r="J25" i="3"/>
  <c r="K25" i="3"/>
  <c r="L25" i="3"/>
  <c r="M25" i="3"/>
  <c r="N25" i="3"/>
  <c r="O25" i="3"/>
  <c r="P25" i="3" l="1"/>
  <c r="Q25" i="3" l="1"/>
  <c r="R25" i="3"/>
  <c r="S25" i="3"/>
  <c r="T25" i="3" s="1"/>
  <c r="U25" i="3" l="1"/>
  <c r="V25" i="3" s="1"/>
  <c r="L19" i="1" l="1"/>
  <c r="M6" i="3"/>
  <c r="D37" i="3"/>
  <c r="N6" i="3"/>
  <c r="O6" i="3"/>
  <c r="P6" i="3"/>
  <c r="Q6" i="3"/>
  <c r="R6" i="3"/>
  <c r="S6" i="3"/>
  <c r="T6" i="3"/>
  <c r="U6" i="3"/>
  <c r="V6" i="3"/>
  <c r="W6" i="3"/>
  <c r="E35" i="3"/>
  <c r="F35" i="3" s="1"/>
  <c r="H35" i="3" s="1"/>
  <c r="I35" i="3" s="1"/>
  <c r="P35" i="3" s="1"/>
  <c r="Q35" i="3" s="1"/>
  <c r="R35" i="3" s="1"/>
  <c r="F5" i="3"/>
  <c r="G5" i="3" s="1"/>
  <c r="H5" i="3" s="1"/>
  <c r="I5" i="3" s="1"/>
  <c r="J5" i="3" s="1"/>
  <c r="K5" i="3" s="1"/>
  <c r="L5" i="3" s="1"/>
  <c r="L6" i="3" s="1"/>
  <c r="M47" i="3"/>
  <c r="I26" i="1"/>
  <c r="J26" i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D44" i="3"/>
  <c r="E42" i="3"/>
  <c r="F42" i="3" s="1"/>
  <c r="D48" i="3"/>
  <c r="E48" i="3" s="1"/>
  <c r="E34" i="3"/>
  <c r="D29" i="3"/>
  <c r="K6" i="3" l="1"/>
  <c r="J6" i="3"/>
  <c r="I6" i="3"/>
  <c r="H6" i="3"/>
  <c r="G6" i="3"/>
  <c r="F6" i="3"/>
  <c r="E6" i="3"/>
  <c r="I34" i="1" l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I35" i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I32" i="1"/>
  <c r="J32" i="1" s="1"/>
  <c r="K32" i="1" s="1"/>
  <c r="L32" i="1" s="1"/>
  <c r="M32" i="1" s="1"/>
  <c r="N32" i="1" s="1"/>
  <c r="O32" i="1" s="1"/>
  <c r="P32" i="1" s="1"/>
  <c r="Q32" i="1" s="1"/>
  <c r="R32" i="1" s="1"/>
  <c r="M14" i="3"/>
  <c r="E12" i="3"/>
  <c r="F12" i="3" s="1"/>
  <c r="G12" i="3" s="1"/>
  <c r="J12" i="3" s="1"/>
  <c r="K12" i="3" s="1"/>
  <c r="L12" i="3" s="1"/>
  <c r="N12" i="3" s="1"/>
  <c r="P12" i="3" s="1"/>
  <c r="V14" i="3" s="1"/>
  <c r="O14" i="3"/>
  <c r="H47" i="1"/>
  <c r="I19" i="1" l="1"/>
  <c r="Q12" i="3"/>
  <c r="Q14" i="3" s="1"/>
  <c r="D15" i="3"/>
  <c r="H41" i="1" s="1"/>
  <c r="R14" i="3"/>
  <c r="N14" i="3"/>
  <c r="L14" i="3"/>
  <c r="G14" i="3"/>
  <c r="F14" i="3"/>
  <c r="J14" i="3"/>
  <c r="E14" i="3"/>
  <c r="K14" i="3"/>
  <c r="T14" i="3"/>
  <c r="I14" i="3"/>
  <c r="P14" i="3"/>
  <c r="H14" i="3"/>
  <c r="I31" i="1"/>
  <c r="J31" i="1" s="1"/>
  <c r="K31" i="1" s="1"/>
  <c r="L31" i="1" s="1"/>
  <c r="M31" i="1" s="1"/>
  <c r="N31" i="1" s="1"/>
  <c r="O31" i="1" s="1"/>
  <c r="P31" i="1" s="1"/>
  <c r="Q31" i="1" s="1"/>
  <c r="I24" i="1"/>
  <c r="I37" i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I36" i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E33" i="3"/>
  <c r="H44" i="1"/>
  <c r="E28" i="3"/>
  <c r="I38" i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H28" i="1"/>
  <c r="I27" i="1"/>
  <c r="J27" i="1" s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I33" i="1"/>
  <c r="J33" i="1" s="1"/>
  <c r="K33" i="1" s="1"/>
  <c r="L33" i="1" s="1"/>
  <c r="E7" i="3" l="1"/>
  <c r="J24" i="1"/>
  <c r="E36" i="3"/>
  <c r="H40" i="1"/>
  <c r="H48" i="1" s="1"/>
  <c r="F48" i="3"/>
  <c r="J47" i="1" s="1"/>
  <c r="S12" i="3"/>
  <c r="S14" i="3" s="1"/>
  <c r="I47" i="1"/>
  <c r="E43" i="3"/>
  <c r="D21" i="3"/>
  <c r="H42" i="1" s="1"/>
  <c r="G48" i="3"/>
  <c r="F28" i="3"/>
  <c r="E29" i="3"/>
  <c r="I44" i="1" s="1"/>
  <c r="E15" i="3"/>
  <c r="H45" i="1"/>
  <c r="H46" i="1"/>
  <c r="M33" i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I28" i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R31" i="1"/>
  <c r="S31" i="1" s="1"/>
  <c r="T31" i="1" s="1"/>
  <c r="U31" i="1" s="1"/>
  <c r="V31" i="1" s="1"/>
  <c r="W31" i="1" s="1"/>
  <c r="X31" i="1" s="1"/>
  <c r="Y31" i="1" s="1"/>
  <c r="Z31" i="1" s="1"/>
  <c r="AA31" i="1" s="1"/>
  <c r="S32" i="1"/>
  <c r="T32" i="1" s="1"/>
  <c r="J19" i="1"/>
  <c r="F7" i="3" l="1"/>
  <c r="G7" i="3" s="1"/>
  <c r="U12" i="3"/>
  <c r="K24" i="1"/>
  <c r="I42" i="1"/>
  <c r="F36" i="3"/>
  <c r="G28" i="3"/>
  <c r="H28" i="3" s="1"/>
  <c r="I28" i="3" s="1"/>
  <c r="J28" i="3" s="1"/>
  <c r="K28" i="3" s="1"/>
  <c r="L28" i="3" s="1"/>
  <c r="M28" i="3" s="1"/>
  <c r="N28" i="3" s="1"/>
  <c r="O28" i="3" s="1"/>
  <c r="P28" i="3" s="1"/>
  <c r="Q28" i="3" s="1"/>
  <c r="R28" i="3" s="1"/>
  <c r="S28" i="3" s="1"/>
  <c r="T28" i="3" s="1"/>
  <c r="U28" i="3" s="1"/>
  <c r="V28" i="3" s="1"/>
  <c r="W28" i="3" s="1"/>
  <c r="F43" i="3"/>
  <c r="E37" i="3"/>
  <c r="I45" i="1" s="1"/>
  <c r="E44" i="3"/>
  <c r="F29" i="3"/>
  <c r="J44" i="1" s="1"/>
  <c r="K47" i="1"/>
  <c r="H48" i="3"/>
  <c r="F15" i="3"/>
  <c r="G15" i="3" s="1"/>
  <c r="K41" i="1" s="1"/>
  <c r="I41" i="1"/>
  <c r="U32" i="1"/>
  <c r="V32" i="1" s="1"/>
  <c r="W32" i="1" s="1"/>
  <c r="X32" i="1" s="1"/>
  <c r="Y32" i="1" s="1"/>
  <c r="Z32" i="1" s="1"/>
  <c r="AA32" i="1" s="1"/>
  <c r="I40" i="1"/>
  <c r="K19" i="1"/>
  <c r="W12" i="3" l="1"/>
  <c r="W14" i="3" s="1"/>
  <c r="J40" i="1"/>
  <c r="U14" i="3"/>
  <c r="L24" i="1"/>
  <c r="F21" i="3"/>
  <c r="J42" i="1" s="1"/>
  <c r="G36" i="3"/>
  <c r="H7" i="3"/>
  <c r="G29" i="3"/>
  <c r="K44" i="1" s="1"/>
  <c r="G43" i="3"/>
  <c r="F44" i="3"/>
  <c r="H15" i="3"/>
  <c r="I15" i="3" s="1"/>
  <c r="M41" i="1" s="1"/>
  <c r="F37" i="3"/>
  <c r="L47" i="1"/>
  <c r="J41" i="1"/>
  <c r="I46" i="1"/>
  <c r="I48" i="1" s="1"/>
  <c r="I48" i="3"/>
  <c r="M19" i="1"/>
  <c r="G21" i="3" l="1"/>
  <c r="H21" i="3" s="1"/>
  <c r="I21" i="3" s="1"/>
  <c r="M42" i="1" s="1"/>
  <c r="M24" i="1"/>
  <c r="H36" i="3"/>
  <c r="G37" i="3"/>
  <c r="K45" i="1" s="1"/>
  <c r="L40" i="1"/>
  <c r="K40" i="1"/>
  <c r="I7" i="3"/>
  <c r="L41" i="1"/>
  <c r="H29" i="3"/>
  <c r="L44" i="1" s="1"/>
  <c r="J15" i="3"/>
  <c r="N41" i="1" s="1"/>
  <c r="H43" i="3"/>
  <c r="J45" i="1"/>
  <c r="G44" i="3"/>
  <c r="J46" i="1"/>
  <c r="J21" i="3"/>
  <c r="K21" i="3" s="1"/>
  <c r="M47" i="1"/>
  <c r="J48" i="3"/>
  <c r="I49" i="1"/>
  <c r="I50" i="1" s="1"/>
  <c r="H19" i="1"/>
  <c r="H49" i="1" s="1"/>
  <c r="L42" i="1" l="1"/>
  <c r="K42" i="1"/>
  <c r="I29" i="3"/>
  <c r="J29" i="3" s="1"/>
  <c r="N44" i="1" s="1"/>
  <c r="H37" i="3"/>
  <c r="L45" i="1" s="1"/>
  <c r="J48" i="1"/>
  <c r="J49" i="1" s="1"/>
  <c r="J50" i="1" s="1"/>
  <c r="J51" i="1" s="1"/>
  <c r="N24" i="1"/>
  <c r="I36" i="3"/>
  <c r="J7" i="3"/>
  <c r="K7" i="3" s="1"/>
  <c r="K15" i="3"/>
  <c r="L15" i="3" s="1"/>
  <c r="P41" i="1" s="1"/>
  <c r="I43" i="3"/>
  <c r="K46" i="1"/>
  <c r="H44" i="3"/>
  <c r="L46" i="1" s="1"/>
  <c r="M40" i="1"/>
  <c r="N47" i="1"/>
  <c r="K48" i="3"/>
  <c r="L48" i="3" s="1"/>
  <c r="M48" i="3" s="1"/>
  <c r="N42" i="1"/>
  <c r="L21" i="3"/>
  <c r="O42" i="1"/>
  <c r="H50" i="1"/>
  <c r="H51" i="1" s="1"/>
  <c r="H53" i="1" s="1"/>
  <c r="J59" i="4" s="1"/>
  <c r="I51" i="1"/>
  <c r="N19" i="1"/>
  <c r="K48" i="1" l="1"/>
  <c r="K49" i="1" s="1"/>
  <c r="M15" i="3"/>
  <c r="Q41" i="1" s="1"/>
  <c r="I37" i="3"/>
  <c r="M45" i="1" s="1"/>
  <c r="M44" i="1"/>
  <c r="K29" i="3"/>
  <c r="L29" i="3" s="1"/>
  <c r="P44" i="1" s="1"/>
  <c r="L48" i="1"/>
  <c r="L49" i="1" s="1"/>
  <c r="O24" i="1"/>
  <c r="J36" i="3"/>
  <c r="L7" i="3"/>
  <c r="N7" i="3" s="1"/>
  <c r="O7" i="3" s="1"/>
  <c r="O41" i="1"/>
  <c r="I44" i="3"/>
  <c r="M46" i="1" s="1"/>
  <c r="J43" i="3"/>
  <c r="J53" i="1"/>
  <c r="J61" i="4" s="1"/>
  <c r="J52" i="1"/>
  <c r="N40" i="1"/>
  <c r="O40" i="1"/>
  <c r="P47" i="1"/>
  <c r="P42" i="1"/>
  <c r="M21" i="3"/>
  <c r="O47" i="1"/>
  <c r="O44" i="1"/>
  <c r="I52" i="1"/>
  <c r="I53" i="1"/>
  <c r="J60" i="4" s="1"/>
  <c r="H52" i="1"/>
  <c r="O19" i="1"/>
  <c r="J37" i="3" l="1"/>
  <c r="N45" i="1" s="1"/>
  <c r="N15" i="3"/>
  <c r="R41" i="1" s="1"/>
  <c r="M48" i="1"/>
  <c r="M49" i="1" s="1"/>
  <c r="M29" i="3"/>
  <c r="Q44" i="1" s="1"/>
  <c r="J44" i="3"/>
  <c r="N46" i="1" s="1"/>
  <c r="L50" i="1"/>
  <c r="L51" i="1" s="1"/>
  <c r="L52" i="1" s="1"/>
  <c r="K50" i="1"/>
  <c r="K51" i="1" s="1"/>
  <c r="K52" i="1" s="1"/>
  <c r="P24" i="1"/>
  <c r="K36" i="3"/>
  <c r="P7" i="3"/>
  <c r="Q7" i="3" s="1"/>
  <c r="R7" i="3" s="1"/>
  <c r="S7" i="3" s="1"/>
  <c r="T7" i="3" s="1"/>
  <c r="U7" i="3" s="1"/>
  <c r="V7" i="3" s="1"/>
  <c r="W7" i="3" s="1"/>
  <c r="P40" i="1"/>
  <c r="K43" i="3"/>
  <c r="Q47" i="1"/>
  <c r="N48" i="3"/>
  <c r="Q42" i="1"/>
  <c r="N21" i="3"/>
  <c r="P19" i="1"/>
  <c r="K37" i="3" l="1"/>
  <c r="O45" i="1" s="1"/>
  <c r="N48" i="1"/>
  <c r="N49" i="1" s="1"/>
  <c r="O15" i="3"/>
  <c r="S41" i="1" s="1"/>
  <c r="N29" i="3"/>
  <c r="R44" i="1" s="1"/>
  <c r="K44" i="3"/>
  <c r="O46" i="1" s="1"/>
  <c r="K53" i="1"/>
  <c r="J62" i="4" s="1"/>
  <c r="L53" i="1"/>
  <c r="J63" i="4" s="1"/>
  <c r="M50" i="1"/>
  <c r="M51" i="1" s="1"/>
  <c r="Q24" i="1"/>
  <c r="L36" i="3"/>
  <c r="Q40" i="1"/>
  <c r="L43" i="3"/>
  <c r="O21" i="3"/>
  <c r="R42" i="1"/>
  <c r="R47" i="1"/>
  <c r="O48" i="3"/>
  <c r="Q19" i="1"/>
  <c r="P15" i="3" l="1"/>
  <c r="T41" i="1" s="1"/>
  <c r="L37" i="3"/>
  <c r="P45" i="1" s="1"/>
  <c r="O48" i="1"/>
  <c r="O49" i="1" s="1"/>
  <c r="O29" i="3"/>
  <c r="S44" i="1" s="1"/>
  <c r="L44" i="3"/>
  <c r="P46" i="1" s="1"/>
  <c r="M52" i="1"/>
  <c r="M53" i="1"/>
  <c r="J64" i="4" s="1"/>
  <c r="N50" i="1"/>
  <c r="N51" i="1" s="1"/>
  <c r="R24" i="1"/>
  <c r="M36" i="3"/>
  <c r="R40" i="1"/>
  <c r="P29" i="3"/>
  <c r="T44" i="1" s="1"/>
  <c r="M43" i="3"/>
  <c r="S42" i="1"/>
  <c r="P21" i="3"/>
  <c r="T42" i="1" s="1"/>
  <c r="S47" i="1"/>
  <c r="P48" i="3"/>
  <c r="R19" i="1"/>
  <c r="Q15" i="3" l="1"/>
  <c r="U41" i="1" s="1"/>
  <c r="P48" i="1"/>
  <c r="P49" i="1" s="1"/>
  <c r="P50" i="1" s="1"/>
  <c r="P51" i="1" s="1"/>
  <c r="N53" i="1"/>
  <c r="J65" i="4" s="1"/>
  <c r="N52" i="1"/>
  <c r="O50" i="1"/>
  <c r="O51" i="1" s="1"/>
  <c r="O52" i="1" s="1"/>
  <c r="S24" i="1"/>
  <c r="M37" i="3"/>
  <c r="Q45" i="1" s="1"/>
  <c r="N36" i="3"/>
  <c r="S40" i="1"/>
  <c r="Q29" i="3"/>
  <c r="M44" i="3"/>
  <c r="Q46" i="1" s="1"/>
  <c r="N43" i="3"/>
  <c r="T47" i="1"/>
  <c r="Q48" i="3"/>
  <c r="Q21" i="3"/>
  <c r="S19" i="1"/>
  <c r="R15" i="3" l="1"/>
  <c r="V41" i="1" s="1"/>
  <c r="P52" i="1"/>
  <c r="P53" i="1"/>
  <c r="J67" i="4" s="1"/>
  <c r="Q48" i="1"/>
  <c r="Q49" i="1" s="1"/>
  <c r="O53" i="1"/>
  <c r="J66" i="4" s="1"/>
  <c r="T24" i="1"/>
  <c r="O36" i="3"/>
  <c r="N37" i="3"/>
  <c r="R45" i="1" s="1"/>
  <c r="T40" i="1"/>
  <c r="U40" i="1"/>
  <c r="R29" i="3"/>
  <c r="U44" i="1"/>
  <c r="O43" i="3"/>
  <c r="N44" i="3"/>
  <c r="R46" i="1" s="1"/>
  <c r="U42" i="1"/>
  <c r="R21" i="3"/>
  <c r="U47" i="1"/>
  <c r="R48" i="3"/>
  <c r="T19" i="1"/>
  <c r="S15" i="3" l="1"/>
  <c r="W41" i="1" s="1"/>
  <c r="T15" i="3"/>
  <c r="X41" i="1" s="1"/>
  <c r="R48" i="1"/>
  <c r="R49" i="1" s="1"/>
  <c r="R50" i="1" s="1"/>
  <c r="Q50" i="1"/>
  <c r="Q51" i="1" s="1"/>
  <c r="Q53" i="1" s="1"/>
  <c r="J68" i="4" s="1"/>
  <c r="U24" i="1"/>
  <c r="O37" i="3"/>
  <c r="S45" i="1" s="1"/>
  <c r="P36" i="3"/>
  <c r="V40" i="1"/>
  <c r="V44" i="1"/>
  <c r="S29" i="3"/>
  <c r="O44" i="3"/>
  <c r="S46" i="1" s="1"/>
  <c r="P43" i="3"/>
  <c r="V47" i="1"/>
  <c r="S48" i="3"/>
  <c r="V42" i="1"/>
  <c r="S21" i="3"/>
  <c r="U19" i="1"/>
  <c r="U15" i="3" l="1"/>
  <c r="Y41" i="1" s="1"/>
  <c r="S48" i="1"/>
  <c r="S49" i="1" s="1"/>
  <c r="S50" i="1" s="1"/>
  <c r="S51" i="1" s="1"/>
  <c r="S52" i="1" s="1"/>
  <c r="Q52" i="1"/>
  <c r="V24" i="1"/>
  <c r="R51" i="1"/>
  <c r="R53" i="1" s="1"/>
  <c r="J69" i="4" s="1"/>
  <c r="Q36" i="3"/>
  <c r="P44" i="3"/>
  <c r="T46" i="1" s="1"/>
  <c r="P37" i="3"/>
  <c r="T45" i="1" s="1"/>
  <c r="W40" i="1"/>
  <c r="Y40" i="1"/>
  <c r="W44" i="1"/>
  <c r="T29" i="3"/>
  <c r="Q43" i="3"/>
  <c r="W47" i="1"/>
  <c r="T48" i="3"/>
  <c r="W42" i="1"/>
  <c r="T21" i="3"/>
  <c r="V19" i="1"/>
  <c r="V15" i="3" l="1"/>
  <c r="Z41" i="1" s="1"/>
  <c r="T48" i="1"/>
  <c r="T49" i="1" s="1"/>
  <c r="W24" i="1"/>
  <c r="Q37" i="3"/>
  <c r="U45" i="1" s="1"/>
  <c r="R52" i="1"/>
  <c r="R36" i="3"/>
  <c r="Z40" i="1"/>
  <c r="X40" i="1"/>
  <c r="X44" i="1"/>
  <c r="U29" i="3"/>
  <c r="S53" i="1"/>
  <c r="J70" i="4" s="1"/>
  <c r="Q44" i="3"/>
  <c r="U46" i="1" s="1"/>
  <c r="R43" i="3"/>
  <c r="X47" i="1"/>
  <c r="U48" i="3"/>
  <c r="X42" i="1"/>
  <c r="U21" i="3"/>
  <c r="W19" i="1"/>
  <c r="W15" i="3" l="1"/>
  <c r="AA41" i="1" s="1"/>
  <c r="R37" i="3"/>
  <c r="V45" i="1" s="1"/>
  <c r="U48" i="1"/>
  <c r="U49" i="1" s="1"/>
  <c r="U50" i="1" s="1"/>
  <c r="U51" i="1" s="1"/>
  <c r="X24" i="1"/>
  <c r="S36" i="3"/>
  <c r="T50" i="1"/>
  <c r="T51" i="1" s="1"/>
  <c r="T53" i="1" s="1"/>
  <c r="J71" i="4" s="1"/>
  <c r="AA40" i="1"/>
  <c r="Y44" i="1"/>
  <c r="V29" i="3"/>
  <c r="S43" i="3"/>
  <c r="R44" i="3"/>
  <c r="V46" i="1" s="1"/>
  <c r="Y47" i="1"/>
  <c r="V48" i="3"/>
  <c r="Y42" i="1"/>
  <c r="V21" i="3"/>
  <c r="Z42" i="1" s="1"/>
  <c r="X19" i="1"/>
  <c r="V48" i="1" l="1"/>
  <c r="V49" i="1" s="1"/>
  <c r="U52" i="1"/>
  <c r="U53" i="1"/>
  <c r="J72" i="4" s="1"/>
  <c r="Y24" i="1"/>
  <c r="T36" i="3"/>
  <c r="S37" i="3"/>
  <c r="W45" i="1" s="1"/>
  <c r="T52" i="1"/>
  <c r="S44" i="3"/>
  <c r="W46" i="1" s="1"/>
  <c r="Z44" i="1"/>
  <c r="W29" i="3"/>
  <c r="AA44" i="1" s="1"/>
  <c r="T43" i="3"/>
  <c r="W21" i="3"/>
  <c r="AA42" i="1" s="1"/>
  <c r="Z47" i="1"/>
  <c r="W48" i="3"/>
  <c r="AA47" i="1" s="1"/>
  <c r="Y19" i="1"/>
  <c r="W48" i="1" l="1"/>
  <c r="W49" i="1" s="1"/>
  <c r="V50" i="1"/>
  <c r="V51" i="1" s="1"/>
  <c r="V53" i="1" s="1"/>
  <c r="J73" i="4" s="1"/>
  <c r="Z24" i="1"/>
  <c r="T37" i="3"/>
  <c r="X45" i="1" s="1"/>
  <c r="U36" i="3"/>
  <c r="T44" i="3"/>
  <c r="X46" i="1" s="1"/>
  <c r="U43" i="3"/>
  <c r="Z19" i="1"/>
  <c r="U37" i="3" l="1"/>
  <c r="Y45" i="1" s="1"/>
  <c r="X48" i="1"/>
  <c r="X49" i="1" s="1"/>
  <c r="V52" i="1"/>
  <c r="W50" i="1"/>
  <c r="W51" i="1" s="1"/>
  <c r="W53" i="1" s="1"/>
  <c r="J74" i="4" s="1"/>
  <c r="AA24" i="1"/>
  <c r="W36" i="3"/>
  <c r="V36" i="3"/>
  <c r="W43" i="3"/>
  <c r="V43" i="3"/>
  <c r="U44" i="3"/>
  <c r="Y46" i="1" s="1"/>
  <c r="AA19" i="1"/>
  <c r="Y48" i="1" l="1"/>
  <c r="Y49" i="1" s="1"/>
  <c r="V37" i="3"/>
  <c r="Z45" i="1" s="1"/>
  <c r="W52" i="1"/>
  <c r="X50" i="1"/>
  <c r="X51" i="1" s="1"/>
  <c r="X52" i="1" s="1"/>
  <c r="V44" i="3"/>
  <c r="Z46" i="1" s="1"/>
  <c r="Z48" i="1" l="1"/>
  <c r="Z49" i="1" s="1"/>
  <c r="W37" i="3"/>
  <c r="AA45" i="1" s="1"/>
  <c r="X53" i="1"/>
  <c r="J75" i="4" s="1"/>
  <c r="Y50" i="1"/>
  <c r="Y51" i="1" s="1"/>
  <c r="Y52" i="1" s="1"/>
  <c r="W44" i="3"/>
  <c r="AA46" i="1" s="1"/>
  <c r="AA48" i="1" l="1"/>
  <c r="AA49" i="1" s="1"/>
  <c r="Y53" i="1"/>
  <c r="J76" i="4" s="1"/>
  <c r="Z50" i="1"/>
  <c r="Z51" i="1" s="1"/>
  <c r="Z53" i="1" l="1"/>
  <c r="J77" i="4" s="1"/>
  <c r="Z52" i="1"/>
  <c r="AA50" i="1"/>
  <c r="AA51" i="1" s="1"/>
  <c r="AA53" i="1" s="1"/>
  <c r="J78" i="4" s="1"/>
  <c r="AA52" i="1" l="1"/>
</calcChain>
</file>

<file path=xl/sharedStrings.xml><?xml version="1.0" encoding="utf-8"?>
<sst xmlns="http://schemas.openxmlformats.org/spreadsheetml/2006/main" count="348" uniqueCount="110">
  <si>
    <t>Company Name</t>
  </si>
  <si>
    <t>TD Bank</t>
  </si>
  <si>
    <t>Date Conducted</t>
  </si>
  <si>
    <t>Version No.</t>
  </si>
  <si>
    <t>Proposed Initiative</t>
  </si>
  <si>
    <t>Acquisition of WiTricity</t>
  </si>
  <si>
    <t>Completed By</t>
  </si>
  <si>
    <t>Year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</si>
  <si>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</si>
  <si>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</si>
  <si>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</si>
  <si>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</si>
  <si>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</si>
  <si>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</si>
  <si>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</si>
  <si>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</si>
  <si>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</si>
  <si>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</si>
  <si>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</si>
  <si>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</si>
  <si>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</si>
  <si>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</si>
  <si>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</si>
  <si>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</si>
  <si>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</si>
  <si>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</si>
  <si>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</si>
  <si>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</si>
  <si>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Revenue</t>
  </si>
  <si>
    <t>Charging Equipment Sales</t>
  </si>
  <si>
    <t>Advertising and Sponsorship</t>
  </si>
  <si>
    <t>Income from Running Charging Stations</t>
  </si>
  <si>
    <t>EV Charging Fees</t>
  </si>
  <si>
    <t>Third-Party Contracts</t>
  </si>
  <si>
    <t>Government Subsidies</t>
  </si>
  <si>
    <t>Total Revenue</t>
  </si>
  <si>
    <t>Expenses</t>
  </si>
  <si>
    <t>Legal fees</t>
  </si>
  <si>
    <t>Due diligence costs</t>
  </si>
  <si>
    <t>Consulting fees for ProcessPro Partners</t>
  </si>
  <si>
    <t>Government licensing fees</t>
  </si>
  <si>
    <t>Maintenance and repairs</t>
  </si>
  <si>
    <t>Equipment and machinery insurance</t>
  </si>
  <si>
    <t>EV charging infrastructure development</t>
  </si>
  <si>
    <t>Data storage and cloud infrastructure</t>
  </si>
  <si>
    <t>Cybersecurity expenses</t>
  </si>
  <si>
    <t>Training and development programs</t>
  </si>
  <si>
    <t>Communication and Internet</t>
  </si>
  <si>
    <t>Utilities</t>
  </si>
  <si>
    <t>Distribution and Logistics</t>
  </si>
  <si>
    <t>Marketing and Advertising</t>
  </si>
  <si>
    <t>Environmental compliance audits</t>
  </si>
  <si>
    <t>Research &amp; Development (R&amp;D) investments for EV charging</t>
  </si>
  <si>
    <t>Warehouse and storage space</t>
  </si>
  <si>
    <t>Capital Cost Allowance (CCA)</t>
  </si>
  <si>
    <t>Class 1: Buildings (4%)</t>
  </si>
  <si>
    <t>Class 43: Machinery and equipment (30%)</t>
  </si>
  <si>
    <t>Class 8: Furniture (20%)</t>
  </si>
  <si>
    <t>Class 44 Patents and licenses (25%)</t>
  </si>
  <si>
    <t>Class 46  System softwares (30%)</t>
  </si>
  <si>
    <t>Class 50: General computer equipment (55% )</t>
  </si>
  <si>
    <t>Total Expenses</t>
  </si>
  <si>
    <t>Gross Profit</t>
  </si>
  <si>
    <t>Income Tax Rate(19.04%)</t>
  </si>
  <si>
    <t>Net Profit</t>
  </si>
  <si>
    <t>ROI</t>
  </si>
  <si>
    <t>Office buildings</t>
  </si>
  <si>
    <t>Manufacturing plant upgrades</t>
  </si>
  <si>
    <t>HVAC System</t>
  </si>
  <si>
    <t>Total</t>
  </si>
  <si>
    <t>CCA Amount</t>
  </si>
  <si>
    <t>Purchase of new equipment for production</t>
  </si>
  <si>
    <t>Office furnitures</t>
  </si>
  <si>
    <t>Office appliances</t>
  </si>
  <si>
    <t>Patents and intellectual property (IP) acquisition</t>
  </si>
  <si>
    <t>Software license purchase</t>
  </si>
  <si>
    <t>Software upgrades</t>
  </si>
  <si>
    <t>Sum</t>
  </si>
  <si>
    <t>Computers</t>
  </si>
  <si>
    <t>Hardware equipments</t>
  </si>
  <si>
    <r>
      <rPr>
        <b/>
        <sz val="24"/>
        <color theme="1"/>
        <rFont val="Calibri"/>
        <family val="2"/>
      </rPr>
      <t xml:space="preserve">Feasibility Study	</t>
    </r>
    <r>
      <rPr>
        <sz val="11"/>
        <color theme="1"/>
        <rFont val="Calibri"/>
        <family val="2"/>
      </rPr>
      <t xml:space="preserve">																		</t>
    </r>
  </si>
  <si>
    <t>-</t>
  </si>
  <si>
    <t>Employee Payroll</t>
  </si>
  <si>
    <t xml:space="preserve"> </t>
  </si>
  <si>
    <t>ROI %</t>
  </si>
  <si>
    <t>Process Pro Partners</t>
  </si>
  <si>
    <t>2024-2044</t>
  </si>
  <si>
    <t>Compliance expenses</t>
  </si>
  <si>
    <t>1.0.2</t>
  </si>
  <si>
    <t>11-15-2024</t>
  </si>
  <si>
    <t>Regulatory approval processes</t>
  </si>
  <si>
    <t>Class 43.1 : Electrical vehicle charging stations (EVCSs) set up (30%)</t>
  </si>
  <si>
    <t>Machinery and equipment of WiTricity</t>
  </si>
  <si>
    <t>CCA</t>
  </si>
  <si>
    <t>Licenses, trademarks and goodwill of Witricity</t>
  </si>
  <si>
    <t>Class 14.1: Intangible assests (5%)</t>
  </si>
  <si>
    <t>Interest Paid On Principal(3.75%)</t>
  </si>
  <si>
    <t>Revenue Streams</t>
  </si>
  <si>
    <t>Revenue Generated</t>
  </si>
  <si>
    <t>Z</t>
  </si>
  <si>
    <t>1 Year</t>
  </si>
  <si>
    <t>3 Years</t>
  </si>
  <si>
    <t>5 Years</t>
  </si>
  <si>
    <t>10 Years</t>
  </si>
  <si>
    <t>20 Years</t>
  </si>
  <si>
    <t>Timeframe</t>
  </si>
  <si>
    <t>WiTricity ROI (%)</t>
  </si>
  <si>
    <t>Space Economy ROI (%)</t>
  </si>
  <si>
    <t>Comparision Between Other Solutions</t>
  </si>
  <si>
    <t>TForce ROI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</si>
</sst>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;[Red]\-&quot;$&quot;#,##0.00"/>
    <numFmt numFmtId="164" formatCode="_(&quot;$&quot;* #,##0.00_);_(&quot;$&quot;* \(#,##0.00\);_(&quot;$&quot;* &quot;-&quot;??_);_(@_)"/>
    <numFmt numFmtId="165" formatCode="&quot;$&quot;#,##0.00"/>
    <numFmt numFmtId="166" formatCode="&quot;$&quot;\ #,##0.00"/>
  </numFmts>
  <fonts count="3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color theme="1"/>
      <name val="Calibri"/>
      <family val="2"/>
    </font>
    <font>
      <sz val="12"/>
      <color theme="1"/>
      <name val="Calibri"/>
      <family val="2"/>
    </font>
    <font>
      <b/>
      <sz val="14"/>
      <color theme="0"/>
      <name val="Calibri"/>
      <family val="2"/>
    </font>
    <font>
      <sz val="14"/>
      <color theme="1"/>
      <name val="Calibri"/>
      <family val="2"/>
    </font>
    <font>
      <b/>
      <sz val="24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0"/>
      <name val="Calibri"/>
      <family val="2"/>
    </font>
    <font>
      <sz val="11"/>
      <color rgb="FFFF000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2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theme="1"/>
      <name val="Aptos Narrow"/>
      <family val="2"/>
      <scheme val="minor"/>
    </font>
    <font>
      <b/>
      <sz val="18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b/>
      <sz val="16"/>
      <color theme="9" tint="0.79998168889431442"/>
      <name val="Calibri"/>
      <family val="2"/>
    </font>
    <font>
      <sz val="16"/>
      <color theme="1"/>
      <name val="Calibri"/>
      <family val="2"/>
    </font>
    <font>
      <b/>
      <sz val="16"/>
      <color theme="1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color theme="1"/>
      <name val="Aptos"/>
      <family val="2"/>
    </font>
    <font>
      <b/>
      <sz val="11"/>
      <color theme="1"/>
      <name val="Aptos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1B456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medium">
        <color theme="4" tint="-0.499984740745262"/>
      </left>
      <right/>
      <top/>
      <bottom/>
      <diagonal/>
    </border>
    <border>
      <left/>
      <right style="medium">
        <color theme="4" tint="-0.499984740745262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0" fontId="5" fillId="2" borderId="1" xfId="0" applyFont="1" applyFill="1" applyBorder="1" applyAlignment="1">
      <alignment horizontal="left" vertical="center" indent="1"/>
    </xf>
    <xf numFmtId="0" fontId="5" fillId="2" borderId="2" xfId="0" applyFont="1" applyFill="1" applyBorder="1" applyAlignment="1">
      <alignment horizontal="left" vertical="center" indent="1"/>
    </xf>
    <xf numFmtId="164" fontId="6" fillId="0" borderId="5" xfId="1" applyFont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3" fillId="0" borderId="0" xfId="0" applyFont="1"/>
    <xf numFmtId="164" fontId="3" fillId="0" borderId="0" xfId="1" applyFont="1"/>
    <xf numFmtId="0" fontId="8" fillId="0" borderId="0" xfId="0" applyFont="1"/>
    <xf numFmtId="0" fontId="10" fillId="0" borderId="0" xfId="0" applyFont="1" applyAlignment="1">
      <alignment horizontal="center" vertical="center"/>
    </xf>
    <xf numFmtId="164" fontId="3" fillId="0" borderId="0" xfId="0" applyNumberFormat="1" applyFont="1"/>
    <xf numFmtId="164" fontId="3" fillId="0" borderId="0" xfId="1" applyFont="1" applyBorder="1"/>
    <xf numFmtId="0" fontId="3" fillId="0" borderId="7" xfId="0" applyFont="1" applyBorder="1"/>
    <xf numFmtId="0" fontId="11" fillId="0" borderId="0" xfId="0" applyFont="1"/>
    <xf numFmtId="165" fontId="3" fillId="0" borderId="0" xfId="0" applyNumberFormat="1" applyFont="1"/>
    <xf numFmtId="0" fontId="11" fillId="0" borderId="6" xfId="0" applyFont="1" applyBorder="1"/>
    <xf numFmtId="0" fontId="3" fillId="0" borderId="3" xfId="0" applyFont="1" applyBorder="1"/>
    <xf numFmtId="0" fontId="3" fillId="0" borderId="11" xfId="0" applyFont="1" applyBorder="1"/>
    <xf numFmtId="0" fontId="4" fillId="8" borderId="3" xfId="0" applyFont="1" applyFill="1" applyBorder="1"/>
    <xf numFmtId="0" fontId="4" fillId="8" borderId="0" xfId="0" applyFont="1" applyFill="1"/>
    <xf numFmtId="164" fontId="3" fillId="0" borderId="11" xfId="1" applyFont="1" applyBorder="1"/>
    <xf numFmtId="164" fontId="3" fillId="0" borderId="11" xfId="0" applyNumberFormat="1" applyFont="1" applyBorder="1"/>
    <xf numFmtId="0" fontId="3" fillId="8" borderId="3" xfId="0" applyFont="1" applyFill="1" applyBorder="1"/>
    <xf numFmtId="0" fontId="3" fillId="8" borderId="0" xfId="0" applyFont="1" applyFill="1"/>
    <xf numFmtId="0" fontId="8" fillId="9" borderId="0" xfId="0" applyFont="1" applyFill="1"/>
    <xf numFmtId="0" fontId="3" fillId="9" borderId="0" xfId="0" applyFont="1" applyFill="1"/>
    <xf numFmtId="0" fontId="3" fillId="10" borderId="3" xfId="0" applyFont="1" applyFill="1" applyBorder="1"/>
    <xf numFmtId="0" fontId="3" fillId="10" borderId="0" xfId="0" applyFont="1" applyFill="1"/>
    <xf numFmtId="0" fontId="15" fillId="0" borderId="0" xfId="0" applyFont="1"/>
    <xf numFmtId="0" fontId="16" fillId="0" borderId="0" xfId="0" applyFont="1"/>
    <xf numFmtId="164" fontId="15" fillId="0" borderId="0" xfId="0" applyNumberFormat="1" applyFont="1"/>
    <xf numFmtId="0" fontId="8" fillId="9" borderId="8" xfId="0" applyFont="1" applyFill="1" applyBorder="1"/>
    <xf numFmtId="0" fontId="8" fillId="9" borderId="9" xfId="0" applyFont="1" applyFill="1" applyBorder="1"/>
    <xf numFmtId="0" fontId="8" fillId="9" borderId="10" xfId="0" applyFont="1" applyFill="1" applyBorder="1"/>
    <xf numFmtId="0" fontId="8" fillId="9" borderId="3" xfId="0" applyFont="1" applyFill="1" applyBorder="1" applyAlignment="1">
      <alignment wrapText="1"/>
    </xf>
    <xf numFmtId="0" fontId="8" fillId="9" borderId="11" xfId="0" applyFont="1" applyFill="1" applyBorder="1"/>
    <xf numFmtId="0" fontId="8" fillId="9" borderId="3" xfId="0" applyFont="1" applyFill="1" applyBorder="1"/>
    <xf numFmtId="164" fontId="8" fillId="9" borderId="0" xfId="0" applyNumberFormat="1" applyFont="1" applyFill="1"/>
    <xf numFmtId="164" fontId="8" fillId="9" borderId="11" xfId="0" applyNumberFormat="1" applyFont="1" applyFill="1" applyBorder="1"/>
    <xf numFmtId="0" fontId="14" fillId="8" borderId="3" xfId="0" applyFont="1" applyFill="1" applyBorder="1"/>
    <xf numFmtId="0" fontId="13" fillId="8" borderId="0" xfId="0" applyFont="1" applyFill="1"/>
    <xf numFmtId="0" fontId="13" fillId="10" borderId="12" xfId="0" applyFont="1" applyFill="1" applyBorder="1"/>
    <xf numFmtId="0" fontId="11" fillId="10" borderId="13" xfId="0" applyFont="1" applyFill="1" applyBorder="1"/>
    <xf numFmtId="164" fontId="3" fillId="0" borderId="13" xfId="0" applyNumberFormat="1" applyFont="1" applyBorder="1"/>
    <xf numFmtId="164" fontId="3" fillId="0" borderId="13" xfId="1" applyFont="1" applyBorder="1"/>
    <xf numFmtId="8" fontId="0" fillId="0" borderId="0" xfId="0" applyNumberFormat="1"/>
    <xf numFmtId="0" fontId="3" fillId="3" borderId="0" xfId="0" applyFont="1" applyFill="1"/>
    <xf numFmtId="0" fontId="10" fillId="3" borderId="0" xfId="0" applyFont="1" applyFill="1" applyAlignment="1">
      <alignment vertical="center"/>
    </xf>
    <xf numFmtId="164" fontId="3" fillId="3" borderId="0" xfId="0" applyNumberFormat="1" applyFont="1" applyFill="1"/>
    <xf numFmtId="10" fontId="0" fillId="0" borderId="0" xfId="0" applyNumberFormat="1"/>
    <xf numFmtId="0" fontId="6" fillId="0" borderId="4" xfId="2" applyNumberFormat="1" applyFont="1" applyBorder="1" applyAlignment="1">
      <alignment horizontal="left" vertical="center" indent="1"/>
    </xf>
    <xf numFmtId="0" fontId="8" fillId="11" borderId="3" xfId="0" applyFont="1" applyFill="1" applyBorder="1"/>
    <xf numFmtId="0" fontId="3" fillId="11" borderId="0" xfId="0" applyFont="1" applyFill="1"/>
    <xf numFmtId="0" fontId="3" fillId="11" borderId="11" xfId="0" applyFont="1" applyFill="1" applyBorder="1"/>
    <xf numFmtId="9" fontId="0" fillId="0" borderId="0" xfId="2" applyFont="1"/>
    <xf numFmtId="0" fontId="18" fillId="5" borderId="9" xfId="0" applyFont="1" applyFill="1" applyBorder="1" applyAlignment="1">
      <alignment horizontal="center" vertical="center"/>
    </xf>
    <xf numFmtId="164" fontId="18" fillId="5" borderId="9" xfId="1" applyFont="1" applyFill="1" applyBorder="1" applyAlignment="1">
      <alignment horizontal="center" vertical="center"/>
    </xf>
    <xf numFmtId="0" fontId="18" fillId="5" borderId="10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/>
    <xf numFmtId="164" fontId="4" fillId="3" borderId="0" xfId="1" applyFont="1" applyFill="1" applyBorder="1" applyAlignment="1">
      <alignment horizontal="center" vertical="center"/>
    </xf>
    <xf numFmtId="164" fontId="4" fillId="3" borderId="11" xfId="1" applyFont="1" applyFill="1" applyBorder="1" applyAlignment="1">
      <alignment horizontal="center" vertical="center"/>
    </xf>
    <xf numFmtId="165" fontId="19" fillId="6" borderId="0" xfId="1" applyNumberFormat="1" applyFont="1" applyFill="1" applyBorder="1" applyAlignment="1">
      <alignment horizontal="right" vertical="center"/>
    </xf>
    <xf numFmtId="165" fontId="19" fillId="6" borderId="11" xfId="1" applyNumberFormat="1" applyFont="1" applyFill="1" applyBorder="1" applyAlignment="1">
      <alignment horizontal="right" vertical="center"/>
    </xf>
    <xf numFmtId="164" fontId="4" fillId="0" borderId="0" xfId="0" applyNumberFormat="1" applyFont="1"/>
    <xf numFmtId="164" fontId="4" fillId="0" borderId="0" xfId="1" applyFont="1" applyBorder="1"/>
    <xf numFmtId="164" fontId="4" fillId="0" borderId="11" xfId="1" applyFont="1" applyBorder="1"/>
    <xf numFmtId="164" fontId="4" fillId="0" borderId="11" xfId="0" applyNumberFormat="1" applyFont="1" applyBorder="1"/>
    <xf numFmtId="164" fontId="19" fillId="6" borderId="0" xfId="1" applyFont="1" applyFill="1" applyBorder="1" applyAlignment="1">
      <alignment horizontal="center" vertical="center"/>
    </xf>
    <xf numFmtId="165" fontId="4" fillId="0" borderId="11" xfId="0" applyNumberFormat="1" applyFont="1" applyBorder="1"/>
    <xf numFmtId="166" fontId="4" fillId="0" borderId="11" xfId="0" applyNumberFormat="1" applyFont="1" applyBorder="1"/>
    <xf numFmtId="164" fontId="3" fillId="0" borderId="0" xfId="1" applyFont="1" applyBorder="1" applyAlignment="1">
      <alignment horizontal="center"/>
    </xf>
    <xf numFmtId="164" fontId="22" fillId="0" borderId="0" xfId="1" applyFont="1" applyAlignment="1">
      <alignment horizontal="center"/>
    </xf>
    <xf numFmtId="0" fontId="4" fillId="0" borderId="3" xfId="0" applyFont="1" applyBorder="1"/>
    <xf numFmtId="0" fontId="4" fillId="8" borderId="17" xfId="0" applyFont="1" applyFill="1" applyBorder="1"/>
    <xf numFmtId="164" fontId="4" fillId="0" borderId="0" xfId="1" applyFont="1" applyBorder="1" applyAlignment="1">
      <alignment horizontal="center"/>
    </xf>
    <xf numFmtId="164" fontId="4" fillId="0" borderId="0" xfId="1" applyFont="1" applyFill="1" applyBorder="1"/>
    <xf numFmtId="164" fontId="4" fillId="0" borderId="11" xfId="1" applyFont="1" applyFill="1" applyBorder="1"/>
    <xf numFmtId="164" fontId="4" fillId="0" borderId="0" xfId="1" applyFont="1" applyFill="1" applyBorder="1" applyAlignment="1">
      <alignment horizontal="center" vertical="center"/>
    </xf>
    <xf numFmtId="164" fontId="21" fillId="0" borderId="11" xfId="1" applyFont="1" applyFill="1" applyBorder="1" applyAlignment="1">
      <alignment horizontal="center" vertical="center"/>
    </xf>
    <xf numFmtId="0" fontId="3" fillId="8" borderId="17" xfId="0" applyFont="1" applyFill="1" applyBorder="1"/>
    <xf numFmtId="0" fontId="4" fillId="8" borderId="17" xfId="0" applyFont="1" applyFill="1" applyBorder="1" applyAlignment="1">
      <alignment horizontal="left"/>
    </xf>
    <xf numFmtId="10" fontId="9" fillId="6" borderId="13" xfId="0" applyNumberFormat="1" applyFont="1" applyFill="1" applyBorder="1" applyAlignment="1">
      <alignment vertical="center"/>
    </xf>
    <xf numFmtId="10" fontId="9" fillId="6" borderId="14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24" fillId="0" borderId="0" xfId="0" applyFont="1"/>
    <xf numFmtId="0" fontId="3" fillId="8" borderId="3" xfId="0" applyFont="1" applyFill="1" applyBorder="1" applyAlignment="1">
      <alignment horizontal="left"/>
    </xf>
    <xf numFmtId="0" fontId="3" fillId="8" borderId="0" xfId="0" applyFont="1" applyFill="1" applyAlignment="1">
      <alignment horizontal="left"/>
    </xf>
    <xf numFmtId="0" fontId="3" fillId="8" borderId="3" xfId="0" applyFont="1" applyFill="1" applyBorder="1" applyAlignment="1">
      <alignment wrapText="1"/>
    </xf>
    <xf numFmtId="0" fontId="3" fillId="8" borderId="0" xfId="0" applyFont="1" applyFill="1" applyAlignment="1">
      <alignment wrapText="1"/>
    </xf>
    <xf numFmtId="9" fontId="8" fillId="9" borderId="9" xfId="2" applyFont="1" applyFill="1" applyBorder="1" applyAlignment="1">
      <alignment horizontal="center"/>
    </xf>
    <xf numFmtId="9" fontId="8" fillId="9" borderId="0" xfId="0" applyNumberFormat="1" applyFont="1" applyFill="1" applyAlignment="1">
      <alignment horizontal="center"/>
    </xf>
    <xf numFmtId="9" fontId="8" fillId="11" borderId="0" xfId="0" applyNumberFormat="1" applyFont="1" applyFill="1" applyAlignment="1">
      <alignment horizontal="center"/>
    </xf>
    <xf numFmtId="0" fontId="25" fillId="5" borderId="8" xfId="0" applyFont="1" applyFill="1" applyBorder="1" applyAlignment="1">
      <alignment horizontal="center" vertical="center"/>
    </xf>
    <xf numFmtId="0" fontId="25" fillId="5" borderId="9" xfId="0" applyFont="1" applyFill="1" applyBorder="1" applyAlignment="1">
      <alignment horizontal="center" vertical="center"/>
    </xf>
    <xf numFmtId="164" fontId="25" fillId="5" borderId="9" xfId="1" applyFont="1" applyFill="1" applyBorder="1" applyAlignment="1">
      <alignment horizontal="center" vertical="center"/>
    </xf>
    <xf numFmtId="0" fontId="25" fillId="5" borderId="10" xfId="0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164" fontId="14" fillId="0" borderId="11" xfId="0" applyNumberFormat="1" applyFont="1" applyBorder="1" applyAlignment="1">
      <alignment horizontal="center" vertical="center"/>
    </xf>
    <xf numFmtId="0" fontId="13" fillId="0" borderId="0" xfId="0" applyFont="1"/>
    <xf numFmtId="164" fontId="4" fillId="0" borderId="0" xfId="0" applyNumberFormat="1" applyFont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0" fontId="14" fillId="8" borderId="0" xfId="0" applyFont="1" applyFill="1"/>
    <xf numFmtId="164" fontId="14" fillId="0" borderId="0" xfId="0" applyNumberFormat="1" applyFont="1"/>
    <xf numFmtId="164" fontId="14" fillId="0" borderId="0" xfId="0" quotePrefix="1" applyNumberFormat="1" applyFont="1"/>
    <xf numFmtId="164" fontId="27" fillId="0" borderId="0" xfId="0" quotePrefix="1" applyNumberFormat="1" applyFont="1"/>
    <xf numFmtId="164" fontId="14" fillId="0" borderId="0" xfId="0" applyNumberFormat="1" applyFont="1" applyAlignment="1">
      <alignment horizontal="center" vertical="center"/>
    </xf>
    <xf numFmtId="164" fontId="14" fillId="0" borderId="0" xfId="0" quotePrefix="1" applyNumberFormat="1" applyFont="1" applyAlignment="1">
      <alignment horizontal="center"/>
    </xf>
    <xf numFmtId="164" fontId="27" fillId="0" borderId="0" xfId="0" quotePrefix="1" applyNumberFormat="1" applyFont="1" applyAlignment="1">
      <alignment horizontal="center"/>
    </xf>
    <xf numFmtId="164" fontId="14" fillId="0" borderId="0" xfId="0" applyNumberFormat="1" applyFont="1" applyAlignment="1">
      <alignment horizontal="center"/>
    </xf>
    <xf numFmtId="165" fontId="4" fillId="0" borderId="0" xfId="0" applyNumberFormat="1" applyFont="1"/>
    <xf numFmtId="166" fontId="4" fillId="0" borderId="0" xfId="0" applyNumberFormat="1" applyFont="1"/>
    <xf numFmtId="0" fontId="22" fillId="0" borderId="0" xfId="0" applyFont="1"/>
    <xf numFmtId="164" fontId="26" fillId="0" borderId="0" xfId="1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4" fillId="3" borderId="0" xfId="0" applyFont="1" applyFill="1"/>
    <xf numFmtId="164" fontId="22" fillId="3" borderId="0" xfId="1" applyFont="1" applyFill="1" applyAlignment="1">
      <alignment horizontal="right" vertical="center"/>
    </xf>
    <xf numFmtId="164" fontId="22" fillId="3" borderId="0" xfId="1" applyFont="1" applyFill="1" applyAlignment="1">
      <alignment horizontal="center" vertical="center"/>
    </xf>
    <xf numFmtId="164" fontId="22" fillId="3" borderId="11" xfId="1" applyFont="1" applyFill="1" applyBorder="1" applyAlignment="1">
      <alignment horizontal="center" vertical="center"/>
    </xf>
    <xf numFmtId="164" fontId="14" fillId="3" borderId="0" xfId="0" applyNumberFormat="1" applyFont="1" applyFill="1" applyAlignment="1">
      <alignment horizontal="left" vertical="center"/>
    </xf>
    <xf numFmtId="9" fontId="3" fillId="8" borderId="0" xfId="0" applyNumberFormat="1" applyFont="1" applyFill="1" applyAlignment="1">
      <alignment horizontal="center"/>
    </xf>
    <xf numFmtId="9" fontId="3" fillId="10" borderId="0" xfId="0" applyNumberFormat="1" applyFont="1" applyFill="1" applyAlignment="1">
      <alignment horizontal="center"/>
    </xf>
    <xf numFmtId="0" fontId="17" fillId="0" borderId="0" xfId="0" applyFont="1"/>
    <xf numFmtId="164" fontId="22" fillId="0" borderId="0" xfId="0" applyNumberFormat="1" applyFont="1"/>
    <xf numFmtId="164" fontId="4" fillId="3" borderId="0" xfId="1" applyFont="1" applyFill="1" applyAlignment="1">
      <alignment horizontal="center" vertical="center"/>
    </xf>
    <xf numFmtId="164" fontId="3" fillId="0" borderId="0" xfId="1" applyFont="1" applyAlignment="1">
      <alignment horizontal="center"/>
    </xf>
    <xf numFmtId="0" fontId="29" fillId="0" borderId="19" xfId="0" applyFont="1" applyBorder="1" applyAlignment="1">
      <alignment vertical="center" wrapText="1"/>
    </xf>
    <xf numFmtId="0" fontId="28" fillId="0" borderId="20" xfId="0" applyFont="1" applyBorder="1" applyAlignment="1">
      <alignment vertical="center" wrapText="1"/>
    </xf>
    <xf numFmtId="10" fontId="28" fillId="0" borderId="14" xfId="0" applyNumberFormat="1" applyFont="1" applyBorder="1" applyAlignment="1">
      <alignment vertical="center" wrapText="1"/>
    </xf>
    <xf numFmtId="0" fontId="29" fillId="0" borderId="18" xfId="0" applyFont="1" applyBorder="1" applyAlignment="1">
      <alignment vertical="center" wrapText="1"/>
    </xf>
    <xf numFmtId="9" fontId="28" fillId="0" borderId="14" xfId="0" applyNumberFormat="1" applyFont="1" applyBorder="1" applyAlignment="1">
      <alignment vertical="center" wrapText="1"/>
    </xf>
    <xf numFmtId="164" fontId="20" fillId="0" borderId="0" xfId="1" applyFont="1" applyFill="1" applyBorder="1"/>
    <xf numFmtId="164" fontId="26" fillId="0" borderId="0" xfId="1" applyFont="1" applyFill="1"/>
    <xf numFmtId="164" fontId="11" fillId="0" borderId="0" xfId="0" applyNumberFormat="1" applyFont="1"/>
    <xf numFmtId="0" fontId="10" fillId="0" borderId="0" xfId="0" applyFont="1" applyAlignment="1">
      <alignment vertical="center"/>
    </xf>
    <xf numFmtId="0" fontId="18" fillId="5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left" vertical="center"/>
    </xf>
    <xf numFmtId="0" fontId="9" fillId="6" borderId="13" xfId="0" applyFont="1" applyFill="1" applyBorder="1" applyAlignment="1">
      <alignment horizontal="left" vertical="center"/>
    </xf>
    <xf numFmtId="0" fontId="10" fillId="7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6" borderId="3" xfId="0" applyFont="1" applyFill="1" applyBorder="1" applyAlignment="1">
      <alignment horizontal="left" vertical="center"/>
    </xf>
    <xf numFmtId="0" fontId="4" fillId="8" borderId="3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 indent="1"/>
    </xf>
    <xf numFmtId="14" fontId="6" fillId="0" borderId="2" xfId="0" applyNumberFormat="1" applyFont="1" applyBorder="1" applyAlignment="1">
      <alignment horizontal="left" vertical="center" indent="1"/>
    </xf>
    <xf numFmtId="0" fontId="9" fillId="4" borderId="3" xfId="0" applyFont="1" applyFill="1" applyBorder="1" applyAlignment="1">
      <alignment horizontal="left" vertical="center"/>
    </xf>
    <xf numFmtId="164" fontId="12" fillId="0" borderId="0" xfId="1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26" fillId="8" borderId="3" xfId="0" applyFont="1" applyFill="1" applyBorder="1" applyAlignment="1">
      <alignment vertical="center"/>
    </xf>
    <xf numFmtId="0" fontId="4" fillId="8" borderId="3" xfId="0" applyFont="1" applyFill="1" applyBorder="1" applyAlignment="1">
      <alignment vertical="center"/>
    </xf>
    <xf numFmtId="0" fontId="9" fillId="6" borderId="3" xfId="0" applyFont="1" applyFill="1" applyBorder="1" applyAlignment="1">
      <alignment horizontal="left" vertical="center"/>
    </xf>
    <xf numFmtId="0" fontId="23" fillId="4" borderId="0" xfId="0" applyFont="1" applyFill="1" applyAlignment="1">
      <alignment horizontal="left" vertical="center"/>
    </xf>
    <xf numFmtId="0" fontId="23" fillId="4" borderId="11" xfId="0" applyFont="1" applyFill="1" applyBorder="1" applyAlignment="1">
      <alignment horizontal="left" vertical="center"/>
    </xf>
    <xf numFmtId="0" fontId="27" fillId="8" borderId="3" xfId="0" applyFont="1" applyFill="1" applyBorder="1" applyAlignment="1">
      <alignment horizontal="left" vertical="center"/>
    </xf>
    <xf numFmtId="0" fontId="27" fillId="8" borderId="0" xfId="0" applyFont="1" applyFill="1" applyAlignment="1">
      <alignment horizontal="left" vertical="center"/>
    </xf>
    <xf numFmtId="0" fontId="4" fillId="8" borderId="3" xfId="0" applyFont="1" applyFill="1" applyBorder="1" applyAlignment="1">
      <alignment horizontal="left"/>
    </xf>
    <xf numFmtId="0" fontId="4" fillId="8" borderId="0" xfId="0" applyFont="1" applyFill="1" applyAlignment="1">
      <alignment horizontal="left"/>
    </xf>
    <xf numFmtId="0" fontId="25" fillId="5" borderId="15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center" vertic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4" fillId="8" borderId="6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From Charging Equipment Sales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'Feasibility Study'!$A$13:$G$13</c:f>
              <c:strCache>
                <c:ptCount val="7"/>
                <c:pt idx="0">
                  <c:v>Charging Equipment Sales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'Feasibility Study'!$H$13:$AA$13</c:f>
              <c:numCache>
                <c:formatCode>_("$"* #,##0.00_);_("$"* \(#,##0.00\);_("$"* "-"??_);_(@_)</c:formatCode>
                <c:ptCount val="20"/>
                <c:pt idx="0">
                  <c:v>25000000</c:v>
                </c:pt>
                <c:pt idx="1">
                  <c:v>30000000</c:v>
                </c:pt>
                <c:pt idx="2">
                  <c:v>36000000</c:v>
                </c:pt>
                <c:pt idx="3">
                  <c:v>43200000</c:v>
                </c:pt>
                <c:pt idx="4">
                  <c:v>51840000</c:v>
                </c:pt>
                <c:pt idx="5">
                  <c:v>62210000</c:v>
                </c:pt>
                <c:pt idx="6">
                  <c:v>74650000</c:v>
                </c:pt>
                <c:pt idx="7">
                  <c:v>89500000</c:v>
                </c:pt>
                <c:pt idx="8">
                  <c:v>107500000</c:v>
                </c:pt>
                <c:pt idx="9">
                  <c:v>129000000</c:v>
                </c:pt>
                <c:pt idx="10">
                  <c:v>160850000</c:v>
                </c:pt>
                <c:pt idx="11">
                  <c:v>168890000</c:v>
                </c:pt>
                <c:pt idx="12">
                  <c:v>177330000</c:v>
                </c:pt>
                <c:pt idx="13">
                  <c:v>186200000</c:v>
                </c:pt>
                <c:pt idx="14">
                  <c:v>195510000</c:v>
                </c:pt>
                <c:pt idx="15">
                  <c:v>205280000</c:v>
                </c:pt>
                <c:pt idx="16">
                  <c:v>215540000</c:v>
                </c:pt>
                <c:pt idx="17">
                  <c:v>226310000</c:v>
                </c:pt>
                <c:pt idx="18">
                  <c:v>237630000</c:v>
                </c:pt>
                <c:pt idx="19">
                  <c:v>249510000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A7-4878-BFF1-9F4E29EA1A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14228528"/>
        <c:axId val="1314213648"/>
      </c:lineChart>
      <c:catAx>
        <c:axId val="131422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13648"/>
        <c:crosses val="autoZero"/>
        <c:auto val="1"/>
        <c:lblAlgn val="ctr"/>
        <c:lblOffset val="100"/>
        <c:noMultiLvlLbl val="0"/>
      </c:catAx>
      <c:valAx>
        <c:axId val="131421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2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Charts!$AE$42</c:f>
              <c:strCache>
                <c:ptCount val="1"/>
                <c:pt idx="0">
                  <c:v>Space Economy ROI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6729221347331582E-2"/>
                  <c:y val="-0.14579870224555264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EAB-4340-B0EE-22472655FD60}"/>
                </c:ext>
              </c:extLst>
            </c:dLbl>
            <c:dLbl>
              <c:idx val="1"/>
              <c:layout>
                <c:manualLayout>
                  <c:x val="-8.495144356955385E-2"/>
                  <c:y val="-9.02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EAB-4340-B0EE-22472655FD60}"/>
                </c:ext>
              </c:extLst>
            </c:dLbl>
            <c:dLbl>
              <c:idx val="2"/>
              <c:layout>
                <c:manualLayout>
                  <c:x val="-7.8347331583552157E-2"/>
                  <c:y val="-7.63542578011081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AB-4340-B0EE-22472655FD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Charts!$AD$43:$AD$47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20 Years</c:v>
                </c:pt>
              </c:strCache>
            </c:strRef>
          </c:cat>
          <c:val>
            <c:numRef>
              <c:f>Charts!$AE$43:$AE$47</c:f>
              <c:numCache>
                <c:formatCode>0.00%</c:formatCode>
                <c:ptCount val="5"/>
                <c:pt idx="0" formatCode="0%">
                  <c:v>-0.6</c:v>
                </c:pt>
                <c:pt idx="1">
                  <c:v>-0.3</c:v>
                </c:pt>
                <c:pt idx="2">
                  <c:v>0.1</c:v>
                </c:pt>
                <c:pt idx="3">
                  <c:v>0.75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AB-4340-B0EE-22472655FD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71880144"/>
        <c:axId val="471905584"/>
      </c:lineChart>
      <c:catAx>
        <c:axId val="47188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905584"/>
        <c:crosses val="autoZero"/>
        <c:auto val="1"/>
        <c:lblAlgn val="ctr"/>
        <c:lblOffset val="100"/>
        <c:noMultiLvlLbl val="0"/>
      </c:catAx>
      <c:valAx>
        <c:axId val="47190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ROI%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88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WiTricity Vs Space Economy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Charts!$AR$4</c:f>
              <c:strCache>
                <c:ptCount val="1"/>
                <c:pt idx="0">
                  <c:v>WiTricity ROI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Charts!$AQ$5:$AQ$9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20 Years</c:v>
                </c:pt>
              </c:strCache>
            </c:strRef>
          </c:cat>
          <c:val>
            <c:numRef>
              <c:f>Charts!$AR$5:$AR$9</c:f>
              <c:numCache>
                <c:formatCode>0.00%</c:formatCode>
                <c:ptCount val="5"/>
                <c:pt idx="0">
                  <c:v>-0.4491</c:v>
                </c:pt>
                <c:pt idx="1">
                  <c:v>-0.15210000000000001</c:v>
                </c:pt>
                <c:pt idx="2">
                  <c:v>0.35470000000000002</c:v>
                </c:pt>
                <c:pt idx="3">
                  <c:v>1.8769</c:v>
                </c:pt>
                <c:pt idx="4">
                  <c:v>4.4870999999999999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01-4C28-8965-3AACE5CADFA9}"/>
            </c:ext>
          </c:extLst>
        </c:ser>
        <c:ser>
          <c:idx val="1"/>
          <c:order val="1"/>
          <c:tx>
            <c:strRef>
              <c:f>Charts!$AS$4</c:f>
              <c:strCache>
                <c:ptCount val="1"/>
                <c:pt idx="0">
                  <c:v>Space Economy ROI (%)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Charts!$AQ$5:$AQ$9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20 Years</c:v>
                </c:pt>
              </c:strCache>
            </c:strRef>
          </c:cat>
          <c:val>
            <c:numRef>
              <c:f>Charts!$AS$5:$AS$9</c:f>
              <c:numCache>
                <c:formatCode>0.00%</c:formatCode>
                <c:ptCount val="5"/>
                <c:pt idx="0" formatCode="0%">
                  <c:v>-0.6</c:v>
                </c:pt>
                <c:pt idx="1">
                  <c:v>-0.3</c:v>
                </c:pt>
                <c:pt idx="2">
                  <c:v>0.1</c:v>
                </c:pt>
                <c:pt idx="3">
                  <c:v>0.75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01-4C28-8965-3AACE5CAD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4731072"/>
        <c:axId val="1964744992"/>
      </c:barChart>
      <c:catAx>
        <c:axId val="1964731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44992"/>
        <c:crosses val="autoZero"/>
        <c:auto val="1"/>
        <c:lblAlgn val="ctr"/>
        <c:lblOffset val="100"/>
        <c:noMultiLvlLbl val="0"/>
      </c:catAx>
      <c:valAx>
        <c:axId val="19647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ROI%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4731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WiTricity Vs TForce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Charts!$AR$15</c:f>
              <c:strCache>
                <c:ptCount val="1"/>
                <c:pt idx="0">
                  <c:v>TForce ROI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Charts!$AQ$16:$AQ$20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20 Years</c:v>
                </c:pt>
              </c:strCache>
            </c:strRef>
          </c:cat>
          <c:val>
            <c:numRef>
              <c:f>Charts!$AR$16:$AR$20</c:f>
              <c:numCache>
                <c:formatCode>0%</c:formatCode>
                <c:ptCount val="5"/>
                <c:pt idx="0">
                  <c:v>0.05</c:v>
                </c:pt>
                <c:pt idx="1">
                  <c:v>7.0000000000000007E-2</c:v>
                </c:pt>
                <c:pt idx="2">
                  <c:v>0.12</c:v>
                </c:pt>
                <c:pt idx="3">
                  <c:v>0.25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3F-431E-86A1-69D7D792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7649056"/>
        <c:axId val="447630336"/>
      </c:barChart>
      <c:lineChart>
        <c:grouping val="standard"/>
        <c:varyColors val="0"/>
        <c:ser>
          <c:idx val="1"/>
          <c:order val="1"/>
          <c:tx>
            <c:strRef>
              <c:f>Charts!$AS$15</c:f>
              <c:strCache>
                <c:ptCount val="1"/>
                <c:pt idx="0">
                  <c:v>WiTricity ROI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Charts!$AQ$16:$AQ$20</c:f>
              <c:strCache>
                <c:ptCount val="5"/>
                <c:pt idx="0">
                  <c:v>1 Year</c:v>
                </c:pt>
                <c:pt idx="1">
                  <c:v>3 Years</c:v>
                </c:pt>
                <c:pt idx="2">
                  <c:v>5 Years</c:v>
                </c:pt>
                <c:pt idx="3">
                  <c:v>10 Years</c:v>
                </c:pt>
                <c:pt idx="4">
                  <c:v>20 Years</c:v>
                </c:pt>
              </c:strCache>
            </c:strRef>
          </c:cat>
          <c:val>
            <c:numRef>
              <c:f>Charts!$AS$16:$AS$20</c:f>
              <c:numCache>
                <c:formatCode>0.00%</c:formatCode>
                <c:ptCount val="5"/>
                <c:pt idx="0" formatCode="0%">
                  <c:v>-0.25</c:v>
                </c:pt>
                <c:pt idx="1">
                  <c:v>-0.15210000000000001</c:v>
                </c:pt>
                <c:pt idx="2">
                  <c:v>0.35470000000000002</c:v>
                </c:pt>
                <c:pt idx="3">
                  <c:v>1.8769</c:v>
                </c:pt>
                <c:pt idx="4">
                  <c:v>4.4870999999999999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3F-431E-86A1-69D7D7929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7649056"/>
        <c:axId val="447630336"/>
      </c:lineChart>
      <c:catAx>
        <c:axId val="44764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30336"/>
        <c:crosses val="autoZero"/>
        <c:auto val="1"/>
        <c:lblAlgn val="ctr"/>
        <c:lblOffset val="100"/>
        <c:noMultiLvlLbl val="0"/>
      </c:catAx>
      <c:valAx>
        <c:axId val="44763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ROI%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649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Advertising and Sponsorship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'Feasibility Study'!$A$14:$G$14</c:f>
              <c:strCache>
                <c:ptCount val="7"/>
                <c:pt idx="0">
                  <c:v>Advertising and Sponsorship</c:v>
                </c:pt>
                <c:pt idx="1">
                  <c:v>Advertising and Sponsorship</c:v>
                </c:pt>
                <c:pt idx="2">
                  <c:v>Advertising and Sponsorship</c:v>
                </c:pt>
                <c:pt idx="3">
                  <c:v>Advertising and Sponsorship</c:v>
                </c:pt>
                <c:pt idx="4">
                  <c:v>Advertising and Sponsorship</c:v>
                </c:pt>
                <c:pt idx="5">
                  <c:v>Advertising and Sponsorship</c:v>
                </c:pt>
                <c:pt idx="6">
                  <c:v>Advertising and Sponsorship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val>
            <c:numRef>
              <c:f>'Feasibility Study'!$H$14:$AA$14</c:f>
              <c:numCache>
                <c:formatCode>_("$"* #,##0.00_);_("$"* \(#,##0.00\);_("$"* "-"??_);_(@_)</c:formatCode>
                <c:ptCount val="20"/>
                <c:pt idx="0">
                  <c:v>250000</c:v>
                </c:pt>
                <c:pt idx="1">
                  <c:v>280000</c:v>
                </c:pt>
                <c:pt idx="2">
                  <c:v>310000</c:v>
                </c:pt>
                <c:pt idx="3">
                  <c:v>350000</c:v>
                </c:pt>
                <c:pt idx="4">
                  <c:v>390000</c:v>
                </c:pt>
                <c:pt idx="5">
                  <c:v>440000</c:v>
                </c:pt>
                <c:pt idx="6">
                  <c:v>490000</c:v>
                </c:pt>
                <c:pt idx="7">
                  <c:v>550000</c:v>
                </c:pt>
                <c:pt idx="8">
                  <c:v>610000</c:v>
                </c:pt>
                <c:pt idx="9">
                  <c:v>680000</c:v>
                </c:pt>
                <c:pt idx="10">
                  <c:v>780000</c:v>
                </c:pt>
                <c:pt idx="11">
                  <c:v>870000</c:v>
                </c:pt>
                <c:pt idx="12">
                  <c:v>970000</c:v>
                </c:pt>
                <c:pt idx="13">
                  <c:v>1080000</c:v>
                </c:pt>
                <c:pt idx="14">
                  <c:v>1210000</c:v>
                </c:pt>
                <c:pt idx="15">
                  <c:v>1360000</c:v>
                </c:pt>
                <c:pt idx="16">
                  <c:v>1520000</c:v>
                </c:pt>
                <c:pt idx="17">
                  <c:v>1700000</c:v>
                </c:pt>
                <c:pt idx="18">
                  <c:v>1900000</c:v>
                </c:pt>
                <c:pt idx="19">
                  <c:v>2120000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88C-B9EA-A40F8D8B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14229488"/>
        <c:axId val="1314233328"/>
      </c:barChart>
      <c:catAx>
        <c:axId val="1314229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33328"/>
        <c:crosses val="autoZero"/>
        <c:auto val="1"/>
        <c:lblAlgn val="ctr"/>
        <c:lblOffset val="100"/>
        <c:noMultiLvlLbl val="0"/>
      </c:catAx>
      <c:valAx>
        <c:axId val="13142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229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 i="0" u="none" strike="noStrike" kern="1200" baseline="0">
          <a:solidFill>
            <a:schemeClr val="tx2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From Running Charging Stations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'Feasibility Study'!$A$15:$G$15</c:f>
              <c:strCache>
                <c:ptCount val="7"/>
                <c:pt idx="0">
                  <c:v>Income from Running Charging Stations</c:v>
                </c:pt>
                <c:pt idx="1">
                  <c:v>Income from Running Charging Stations</c:v>
                </c:pt>
                <c:pt idx="2">
                  <c:v>Income from Running Charging Stations</c:v>
                </c:pt>
                <c:pt idx="3">
                  <c:v>Income from Running Charging Stations</c:v>
                </c:pt>
                <c:pt idx="4">
                  <c:v>Income from Running Charging Stations</c:v>
                </c:pt>
                <c:pt idx="5">
                  <c:v>Income from Running Charging Stations</c:v>
                </c:pt>
                <c:pt idx="6">
                  <c:v>Income from Running Charging Stations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val>
            <c:numRef>
              <c:f>'Feasibility Study'!$H$15:$AA$15</c:f>
              <c:numCache>
                <c:formatCode>_("$"* #,##0.00_);_("$"* \(#,##0.00\);_("$"* "-"??_);_(@_)</c:formatCode>
                <c:ptCount val="20"/>
                <c:pt idx="0">
                  <c:v>7500000</c:v>
                </c:pt>
                <c:pt idx="1">
                  <c:v>8630000</c:v>
                </c:pt>
                <c:pt idx="2">
                  <c:v>9920000</c:v>
                </c:pt>
                <c:pt idx="3">
                  <c:v>11410000</c:v>
                </c:pt>
                <c:pt idx="4">
                  <c:v>13130000</c:v>
                </c:pt>
                <c:pt idx="5">
                  <c:v>15100000</c:v>
                </c:pt>
                <c:pt idx="6">
                  <c:v>17360000</c:v>
                </c:pt>
                <c:pt idx="7">
                  <c:v>19960000</c:v>
                </c:pt>
                <c:pt idx="8">
                  <c:v>22950000</c:v>
                </c:pt>
                <c:pt idx="9">
                  <c:v>26390000</c:v>
                </c:pt>
                <c:pt idx="10">
                  <c:v>30400000</c:v>
                </c:pt>
                <c:pt idx="11">
                  <c:v>32830000</c:v>
                </c:pt>
                <c:pt idx="12">
                  <c:v>35450000</c:v>
                </c:pt>
                <c:pt idx="13">
                  <c:v>38290000</c:v>
                </c:pt>
                <c:pt idx="14">
                  <c:v>41350000</c:v>
                </c:pt>
                <c:pt idx="15">
                  <c:v>44650000</c:v>
                </c:pt>
                <c:pt idx="16">
                  <c:v>48220000</c:v>
                </c:pt>
                <c:pt idx="17">
                  <c:v>52090000</c:v>
                </c:pt>
                <c:pt idx="18">
                  <c:v>56260000</c:v>
                </c:pt>
                <c:pt idx="19">
                  <c:v>60760000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4-4B72-9703-05F76FCB3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679535"/>
        <c:axId val="1452704975"/>
      </c:areaChart>
      <c:catAx>
        <c:axId val="1452679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704975"/>
        <c:crosses val="autoZero"/>
        <c:auto val="1"/>
        <c:lblAlgn val="ctr"/>
        <c:lblOffset val="100"/>
        <c:noMultiLvlLbl val="0"/>
      </c:catAx>
      <c:valAx>
        <c:axId val="145270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267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Government Subsidies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'Feasibility Study'!$H$18:$AA$18</c:f>
              <c:numCache>
                <c:formatCode>_("$"* #,##0.00_);_("$"* \(#,##0.00\);_("$"* "-"??_);_(@_)</c:formatCode>
                <c:ptCount val="20"/>
                <c:pt idx="0">
                  <c:v>5000000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99-4C0C-9AEB-1C246E9D2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54752287"/>
        <c:axId val="1454767167"/>
        <c:axId val="0"/>
      </c:bar3DChart>
      <c:catAx>
        <c:axId val="1454752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67167"/>
        <c:crosses val="autoZero"/>
        <c:auto val="1"/>
        <c:lblAlgn val="ctr"/>
        <c:lblOffset val="100"/>
        <c:noMultiLvlLbl val="0"/>
      </c:catAx>
      <c:valAx>
        <c:axId val="145476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752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From Charging Stations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'Feasibility Study'!$H$16:$AA$16</c:f>
              <c:numCache>
                <c:formatCode>_("$"* #,##0.00_);_("$"* \(#,##0.00\);_("$"* "-"??_);_(@_)</c:formatCode>
                <c:ptCount val="20"/>
                <c:pt idx="0">
                  <c:v>12240000</c:v>
                </c:pt>
                <c:pt idx="1">
                  <c:v>15120000</c:v>
                </c:pt>
                <c:pt idx="2">
                  <c:v>19100000</c:v>
                </c:pt>
                <c:pt idx="3">
                  <c:v>23300000</c:v>
                </c:pt>
                <c:pt idx="4">
                  <c:v>27810000</c:v>
                </c:pt>
                <c:pt idx="5">
                  <c:v>32690000</c:v>
                </c:pt>
                <c:pt idx="6">
                  <c:v>37970000</c:v>
                </c:pt>
                <c:pt idx="7">
                  <c:v>43700000</c:v>
                </c:pt>
                <c:pt idx="8">
                  <c:v>49930000</c:v>
                </c:pt>
                <c:pt idx="9">
                  <c:v>56730000</c:v>
                </c:pt>
                <c:pt idx="10">
                  <c:v>62280000</c:v>
                </c:pt>
                <c:pt idx="11">
                  <c:v>68220000</c:v>
                </c:pt>
                <c:pt idx="12">
                  <c:v>74590000</c:v>
                </c:pt>
                <c:pt idx="13">
                  <c:v>81370000</c:v>
                </c:pt>
                <c:pt idx="14">
                  <c:v>88620000</c:v>
                </c:pt>
                <c:pt idx="15">
                  <c:v>96330000</c:v>
                </c:pt>
                <c:pt idx="16">
                  <c:v>104560000</c:v>
                </c:pt>
                <c:pt idx="17">
                  <c:v>113330000</c:v>
                </c:pt>
                <c:pt idx="18">
                  <c:v>122670000</c:v>
                </c:pt>
                <c:pt idx="19">
                  <c:v>132630000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6-4C74-9BE3-A2448328A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1713520"/>
        <c:axId val="1311703920"/>
      </c:lineChart>
      <c:catAx>
        <c:axId val="1311713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03920"/>
        <c:crosses val="autoZero"/>
        <c:auto val="1"/>
        <c:lblAlgn val="ctr"/>
        <c:lblOffset val="100"/>
        <c:noMultiLvlLbl val="0"/>
      </c:catAx>
      <c:valAx>
        <c:axId val="13117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171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Contribution From Revenue Sources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54483814523185"/>
          <c:y val="0.16218832020997373"/>
          <c:w val="0.47213254593175852"/>
          <c:h val="0.78688757655293085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738-4C05-8063-D22BDABB191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738-4C05-8063-D22BDABB191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738-4C05-8063-D22BDABB191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738-4C05-8063-D22BDABB1913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738-4C05-8063-D22BDABB1913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738-4C05-8063-D22BDABB19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lang="en-US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Charts!$A$42:$G$47</c15:sqref>
                  </c15:fullRef>
                  <c15:levelRef>
                    <c15:sqref>Charts!$A$42:$A$47</c15:sqref>
                  </c15:levelRef>
                </c:ext>
              </c:extLst>
              <c:f>Charts!$A$42:$A$47</c:f>
              <c:strCache>
                <c:ptCount val="6"/>
                <c:pt idx="0">
                  <c:v>Charging Equipment Sales</c:v>
                </c:pt>
                <c:pt idx="1">
                  <c:v>Advertising and Sponsorship</c:v>
                </c:pt>
                <c:pt idx="2">
                  <c:v>Income from Running Charging Stations</c:v>
                </c:pt>
                <c:pt idx="3">
                  <c:v>EV Charging Fees</c:v>
                </c:pt>
                <c:pt idx="4">
                  <c:v>Third-Party Contracts</c:v>
                </c:pt>
                <c:pt idx="5">
                  <c:v>Government Subsidies</c:v>
                </c:pt>
              </c:strCache>
            </c:strRef>
          </c:cat>
          <c:val>
            <c:numRef>
              <c:f>Charts!$H$42:$H$47</c:f>
              <c:numCache>
                <c:formatCode>_("$"* #,##0.00_);_("$"* \(#,##0.00\);_("$"* "-"??_);_(@_)</c:formatCode>
                <c:ptCount val="6"/>
                <c:pt idx="0">
                  <c:v>794014101.60000002</c:v>
                </c:pt>
                <c:pt idx="1">
                  <c:v>330659541.02999997</c:v>
                </c:pt>
                <c:pt idx="2">
                  <c:v>358113633.13999999</c:v>
                </c:pt>
                <c:pt idx="3">
                  <c:v>309456231.41000003</c:v>
                </c:pt>
                <c:pt idx="4">
                  <c:v>859124992.39999998</c:v>
                </c:pt>
                <c:pt idx="5">
                  <c:v>20000000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53-4E36-90D8-0113FC85408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Projected ROI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'Feasibility Study'!$A$53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'Feasibility Study'!$B$53:$AA$53</c:f>
              <c:numCache>
                <c:formatCode>General</c:formatCode>
                <c:ptCount val="26"/>
                <c:pt idx="6" formatCode="0.00%">
                  <c:v>-0.44912659066865135</c:v>
                </c:pt>
                <c:pt idx="7" formatCode="0.00%">
                  <c:v>-0.48167225287602483</c:v>
                </c:pt>
                <c:pt idx="8" formatCode="0.00%">
                  <c:v>-0.34307168183670522</c:v>
                </c:pt>
                <c:pt idx="9" formatCode="0.00%">
                  <c:v>-0.13000793157804552</c:v>
                </c:pt>
                <c:pt idx="10" formatCode="0.00%">
                  <c:v>8.1366886434375327E-2</c:v>
                </c:pt>
                <c:pt idx="11" formatCode="0.00%">
                  <c:v>0.31367866554371354</c:v>
                </c:pt>
                <c:pt idx="12" formatCode="0.00%">
                  <c:v>0.5796121364784429</c:v>
                </c:pt>
                <c:pt idx="13" formatCode="0.00%">
                  <c:v>0.8876139444961233</c:v>
                </c:pt>
                <c:pt idx="14" formatCode="0.00%">
                  <c:v>1.2485848243979643</c:v>
                </c:pt>
                <c:pt idx="15" formatCode="0.00%">
                  <c:v>1.1414384936957471</c:v>
                </c:pt>
                <c:pt idx="16" formatCode="0.00%">
                  <c:v>1.6011426848547412</c:v>
                </c:pt>
                <c:pt idx="17" formatCode="0.00%">
                  <c:v>1.9280662114774438</c:v>
                </c:pt>
                <c:pt idx="18" formatCode="0.00%">
                  <c:v>2.2731675479838098</c:v>
                </c:pt>
                <c:pt idx="19" formatCode="0.00%">
                  <c:v>2.6108084419456725</c:v>
                </c:pt>
                <c:pt idx="20" formatCode="0.00%">
                  <c:v>2.7470313167303684</c:v>
                </c:pt>
                <c:pt idx="21" formatCode="0.00%">
                  <c:v>3.1182674531249153</c:v>
                </c:pt>
                <c:pt idx="22" formatCode="0.00%">
                  <c:v>3.5177356193718294</c:v>
                </c:pt>
                <c:pt idx="23" formatCode="0.00%">
                  <c:v>3.9108767505467554</c:v>
                </c:pt>
                <c:pt idx="24" formatCode="0.00%">
                  <c:v>4.0145617227106731</c:v>
                </c:pt>
                <c:pt idx="25" formatCode="0.00%">
                  <c:v>4.4871285198753492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D7-4E7B-9F91-588BD17F7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0148976"/>
        <c:axId val="650146096"/>
      </c:barChart>
      <c:catAx>
        <c:axId val="650148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46096"/>
        <c:crosses val="autoZero"/>
        <c:auto val="1"/>
        <c:lblAlgn val="ctr"/>
        <c:lblOffset val="100"/>
        <c:noMultiLvlLbl val="0"/>
      </c:catAx>
      <c:valAx>
        <c:axId val="65014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Growth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14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Charts!$J$58</c:f>
              <c:strCache>
                <c:ptCount val="1"/>
                <c:pt idx="0">
                  <c:v>ROI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Charts!$I$59:$I$78</c:f>
              <c:strCache>
                <c:ptCount val="20"/>
                <c:pt idx="0">
                  <c:v>Year 1</c:v>
                </c:pt>
                <c:pt idx="1">
                  <c:v>Year 2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</c:strCache>
            </c:strRef>
          </c:cat>
          <c:val>
            <c:numRef>
              <c:f>Charts!$J$59:$J$78</c:f>
              <c:numCache>
                <c:formatCode>0%</c:formatCode>
                <c:ptCount val="20"/>
                <c:pt idx="0">
                  <c:v>-0.44912659066865135</c:v>
                </c:pt>
                <c:pt idx="1">
                  <c:v>-0.48167225287602483</c:v>
                </c:pt>
                <c:pt idx="2">
                  <c:v>-0.34307168183670522</c:v>
                </c:pt>
                <c:pt idx="3">
                  <c:v>-0.13000793157804552</c:v>
                </c:pt>
                <c:pt idx="4">
                  <c:v>8.1366886434375327E-2</c:v>
                </c:pt>
                <c:pt idx="5">
                  <c:v>0.31367866554371354</c:v>
                </c:pt>
                <c:pt idx="6">
                  <c:v>0.5796121364784429</c:v>
                </c:pt>
                <c:pt idx="7">
                  <c:v>0.8876139444961233</c:v>
                </c:pt>
                <c:pt idx="8">
                  <c:v>1.2485848243979643</c:v>
                </c:pt>
                <c:pt idx="9">
                  <c:v>1.1414384936957471</c:v>
                </c:pt>
                <c:pt idx="10">
                  <c:v>1.6011426848547412</c:v>
                </c:pt>
                <c:pt idx="11">
                  <c:v>1.9280662114774438</c:v>
                </c:pt>
                <c:pt idx="12">
                  <c:v>2.2731675479838098</c:v>
                </c:pt>
                <c:pt idx="13">
                  <c:v>2.6108084419456725</c:v>
                </c:pt>
                <c:pt idx="14">
                  <c:v>2.7470313167303684</c:v>
                </c:pt>
                <c:pt idx="15">
                  <c:v>3.1182674531249153</c:v>
                </c:pt>
                <c:pt idx="16">
                  <c:v>3.5177356193718294</c:v>
                </c:pt>
                <c:pt idx="17">
                  <c:v>3.9108767505467554</c:v>
                </c:pt>
                <c:pt idx="18">
                  <c:v>4.0145617227106731</c:v>
                </c:pt>
                <c:pt idx="19">
                  <c:v>4.4871285198753492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79-4248-8264-A5A5D1FD8E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2417504"/>
        <c:axId val="992415584"/>
      </c:lineChart>
      <c:catAx>
        <c:axId val="99241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15584"/>
        <c:crosses val="autoZero"/>
        <c:auto val="1"/>
        <c:lblAlgn val="ctr"/>
        <c:lblOffset val="100"/>
        <c:noMultiLvlLbl val="0"/>
      </c:catAx>
      <c:valAx>
        <c:axId val="9924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Growth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417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Revenue From EV Charging Fees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'Feasibility Study'!$A$16:$G$16</c:f>
              <c:strCache>
                <c:ptCount val="7"/>
                <c:pt idx="0">
                  <c:v>EV Charging Fees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'Feasibility Study'!$H$11:$AA$12</c:f>
              <c:strCache>
                <c:ptCount val="20"/>
                <c:pt idx="0">
                  <c:v>Year 1</c:v>
                </c:pt>
                <c:pt idx="1">
                  <c:v> Year 2 </c:v>
                </c:pt>
                <c:pt idx="2">
                  <c:v>Year 3</c:v>
                </c:pt>
                <c:pt idx="3">
                  <c:v>Year 4</c:v>
                </c:pt>
                <c:pt idx="4">
                  <c:v>Year 5</c:v>
                </c:pt>
                <c:pt idx="5">
                  <c:v>Year 6</c:v>
                </c:pt>
                <c:pt idx="6">
                  <c:v>Year 7</c:v>
                </c:pt>
                <c:pt idx="7">
                  <c:v>Year 8</c:v>
                </c:pt>
                <c:pt idx="8">
                  <c:v>Year 9</c:v>
                </c:pt>
                <c:pt idx="9">
                  <c:v>Year 10</c:v>
                </c:pt>
                <c:pt idx="10">
                  <c:v>Year 11</c:v>
                </c:pt>
                <c:pt idx="11">
                  <c:v>Year 12</c:v>
                </c:pt>
                <c:pt idx="12">
                  <c:v>Year 13</c:v>
                </c:pt>
                <c:pt idx="13">
                  <c:v>Year 14</c:v>
                </c:pt>
                <c:pt idx="14">
                  <c:v>Year 15</c:v>
                </c:pt>
                <c:pt idx="15">
                  <c:v>Year 16</c:v>
                </c:pt>
                <c:pt idx="16">
                  <c:v>Year 17</c:v>
                </c:pt>
                <c:pt idx="17">
                  <c:v>Year 18</c:v>
                </c:pt>
                <c:pt idx="18">
                  <c:v>Year 19</c:v>
                </c:pt>
                <c:pt idx="19">
                  <c:v>Year 20</c:v>
                </c:pt>
              </c:strCache>
            </c:strRef>
          </c:xVal>
          <c:yVal>
            <c:numRef>
              <c:f>'Feasibility Study'!$H$16:$AA$16</c:f>
              <c:numCache>
                <c:formatCode>_("$"* #,##0.00_);_("$"* \(#,##0.00\);_("$"* "-"??_);_(@_)</c:formatCode>
                <c:ptCount val="20"/>
                <c:pt idx="0">
                  <c:v>12240000</c:v>
                </c:pt>
                <c:pt idx="1">
                  <c:v>15120000</c:v>
                </c:pt>
                <c:pt idx="2">
                  <c:v>19100000</c:v>
                </c:pt>
                <c:pt idx="3">
                  <c:v>23300000</c:v>
                </c:pt>
                <c:pt idx="4">
                  <c:v>27810000</c:v>
                </c:pt>
                <c:pt idx="5">
                  <c:v>32690000</c:v>
                </c:pt>
                <c:pt idx="6">
                  <c:v>37970000</c:v>
                </c:pt>
                <c:pt idx="7">
                  <c:v>43700000</c:v>
                </c:pt>
                <c:pt idx="8">
                  <c:v>49930000</c:v>
                </c:pt>
                <c:pt idx="9">
                  <c:v>56730000</c:v>
                </c:pt>
                <c:pt idx="10">
                  <c:v>62280000</c:v>
                </c:pt>
                <c:pt idx="11">
                  <c:v>68220000</c:v>
                </c:pt>
                <c:pt idx="12">
                  <c:v>74590000</c:v>
                </c:pt>
                <c:pt idx="13">
                  <c:v>81370000</c:v>
                </c:pt>
                <c:pt idx="14">
                  <c:v>88620000</c:v>
                </c:pt>
                <c:pt idx="15">
                  <c:v>96330000</c:v>
                </c:pt>
                <c:pt idx="16">
                  <c:v>104560000</c:v>
                </c:pt>
                <c:pt idx="17">
                  <c:v>113330000</c:v>
                </c:pt>
                <c:pt idx="18">
                  <c:v>122670000</c:v>
                </c:pt>
                <c:pt idx="19">
                  <c:v>132630000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8-4B7C-AD37-D2941391D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885423"/>
        <c:axId val="429884463"/>
      </c:scatterChart>
      <c:valAx>
        <c:axId val="4298854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4463"/>
        <c:crosses val="autoZero"/>
        <c:crossBetween val="midCat"/>
      </c:valAx>
      <c:valAx>
        <c:axId val="42988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854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 dir="row">_xlchart.v1.0</cx:f>
      </cx:numDim>
    </cx:data>
  </cx:chartData>
  <cx:chart>
    <cx:title pos="t" align="ctr" overlay="0">
      <cx:tx>
        <cx:txData>
          <cx:v>Revenue From Third  Parties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Revenue From Third  Parties</a:t>
          </a:r>
        </a:p>
      </cx:txPr>
    </cx:title>
    <cx:plotArea>
      <cx:plotAreaRegion>
        <cx:series layoutId="waterfall" uniqueId="{D19625E0-91B4-4375-B84C-8969269F43EF}">
          <cx:dataId val="0"/>
          <cx:layoutPr>
            <cx:subtotals/>
          </cx:layoutPr>
        </cx:series>
      </cx:plotAreaRegion>
      <cx:axis id="0">
        <cx:catScaling gapWidth="0.5"/>
        <cx:title>
          <cx:tx>
            <cx:txData>
              <cx:v>Year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Year</a:t>
              </a:r>
            </a:p>
          </cx:txPr>
        </cx:title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CA" b="1"/>
          </a:p>
        </cx:txPr>
      </cx:axis>
      <cx:axis id="1">
        <cx:valScaling/>
        <cx:title>
          <cx:tx>
            <cx:txData>
              <cx:v>Revenue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b="1"/>
              </a:pPr>
              <a:r>
                <a:rPr lang="en-US" sz="9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Revenue</a:t>
              </a:r>
            </a:p>
          </cx:txPr>
        </cx:title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CA" b="1"/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</cx:f>
      </cx:strDim>
      <cx:numDim type="val">
        <cx:f>_xlchart.v1.3</cx:f>
      </cx:numDim>
    </cx:data>
  </cx:chartData>
  <cx:chart>
    <cx:title pos="t" align="ctr" overlay="0">
      <cx:tx>
        <cx:txData>
          <cx:v>ROI % Achieved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ROI % Achieved</a:t>
          </a:r>
        </a:p>
      </cx:txPr>
    </cx:title>
    <cx:plotArea>
      <cx:plotAreaRegion>
        <cx:series layoutId="waterfall" uniqueId="{EA2EE104-3FED-41FB-A760-E79CD555F64C}">
          <cx:tx>
            <cx:txData>
              <cx:f>_xlchart.v1.2</cx:f>
              <cx:v>WiTricity ROI (%)</cx:v>
            </cx:txData>
          </cx:tx>
          <cx:dataLabels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CA" b="1"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rgbClr val="595959"/>
                </a:solidFill>
                <a:latin typeface="Aptos Narrow" panose="020B0004020202020204" pitchFamily="34" charset="0"/>
                <a:ea typeface="Aptos Narrow" panose="020B0004020202020204" pitchFamily="34" charset="0"/>
                <a:cs typeface="Aptos Narrow" panose="020B0004020202020204" pitchFamily="34" charset="0"/>
              </a:defRPr>
            </a:pPr>
            <a:endParaRPr lang="en-CA" b="1"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900" b="1" i="0">
              <a:solidFill>
                <a:srgbClr val="595959"/>
              </a:solidFill>
              <a:latin typeface="Aptos Narrow" panose="020B0004020202020204" pitchFamily="34" charset="0"/>
              <a:ea typeface="Aptos Narrow" panose="020B0004020202020204" pitchFamily="34" charset="0"/>
              <a:cs typeface="Aptos Narrow" panose="020B0004020202020204" pitchFamily="34" charset="0"/>
            </a:defRPr>
          </a:pPr>
          <a:endParaRPr lang="en-CA" b="1"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8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lt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lumMod val="60000"/>
        </a:schemeClr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2857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25400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2857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40000"/>
            <a:lumOff val="60000"/>
          </a:schemeClr>
        </a:solidFill>
        <a:round/>
      </a:ln>
    </cs:spPr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1.xml"/><Relationship Id="rId3" Type="http://schemas.openxmlformats.org/officeDocument/2006/relationships/chart" Target="../charts/chart3.xml"/><Relationship Id="rId7" Type="http://schemas.openxmlformats.org/officeDocument/2006/relationships/chart" Target="../charts/chart6.xml"/><Relationship Id="rId12" Type="http://schemas.openxmlformats.org/officeDocument/2006/relationships/chart" Target="../charts/chart10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microsoft.com/office/2014/relationships/chartEx" Target="../charts/chartEx2.xml"/><Relationship Id="rId5" Type="http://schemas.openxmlformats.org/officeDocument/2006/relationships/chart" Target="../charts/chart5.xml"/><Relationship Id="rId10" Type="http://schemas.openxmlformats.org/officeDocument/2006/relationships/chart" Target="../charts/chart9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2300824</xdr:colOff>
      <xdr:row>1</xdr:row>
      <xdr:rowOff>1545</xdr:rowOff>
    </xdr:from>
    <xdr:to>
      <xdr:col>0</xdr:col>
      <xdr:colOff>2908261</xdr:colOff>
      <xdr:row>4</xdr:row>
      <xdr:rowOff>87352</xdr:rowOff>
    </xdr:to>
    <xdr:pic>
      <xdr:nvPicPr>
        <xdr:cNvPr id="2" name="Picture 1" descr="A logo for a company&#10;&#10;Description automatically generated">
          <a:extLst>
            <a:ext uri="{FF2B5EF4-FFF2-40B4-BE49-F238E27FC236}">
              <a16:creationId xmlns:a16="http://schemas.microsoft.com/office/drawing/2014/main" id="{81304D98-F285-EDAF-EE6F-A8955A45F3D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064" t="15948" r="16496" b="15944"/>
        <a:stretch/>
      </xdr:blipFill>
      <xdr:spPr bwMode="auto">
        <a:xfrm>
          <a:off x="2300824" y="184811"/>
          <a:ext cx="615429" cy="635604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403860</xdr:colOff>
      <xdr:row>17</xdr:row>
      <xdr:rowOff>22860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6C24C451-5481-403B-BD62-B3EE0E1643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519545</xdr:colOff>
      <xdr:row>0</xdr:row>
      <xdr:rowOff>51954</xdr:rowOff>
    </xdr:from>
    <xdr:to>
      <xdr:col>19</xdr:col>
      <xdr:colOff>164523</xdr:colOff>
      <xdr:row>17</xdr:row>
      <xdr:rowOff>34636</xdr:rowOff>
    </xdr:to>
    <xdr:graphicFrame macro="">
      <xdr:nvGraphicFramePr>
        <xdr:cNvPr id="13" name="Chart 2">
          <a:extLst>
            <a:ext uri="{FF2B5EF4-FFF2-40B4-BE49-F238E27FC236}">
              <a16:creationId xmlns:a16="http://schemas.microsoft.com/office/drawing/2014/main" id="{1160AA28-372E-4F9F-9138-D68CCC28B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164522</xdr:rowOff>
    </xdr:from>
    <xdr:to>
      <xdr:col>10</xdr:col>
      <xdr:colOff>406977</xdr:colOff>
      <xdr:row>35</xdr:row>
      <xdr:rowOff>112568</xdr:rowOff>
    </xdr:to>
    <xdr:graphicFrame macro="">
      <xdr:nvGraphicFramePr>
        <xdr:cNvPr id="17" name="Chart 3">
          <a:extLst>
            <a:ext uri="{FF2B5EF4-FFF2-40B4-BE49-F238E27FC236}">
              <a16:creationId xmlns:a16="http://schemas.microsoft.com/office/drawing/2014/main" id="{BFE24CF8-1957-489B-AB08-2C1BD57F4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376829</xdr:colOff>
      <xdr:row>17</xdr:row>
      <xdr:rowOff>157498</xdr:rowOff>
    </xdr:from>
    <xdr:to>
      <xdr:col>28</xdr:col>
      <xdr:colOff>519546</xdr:colOff>
      <xdr:row>35</xdr:row>
      <xdr:rowOff>155862</xdr:rowOff>
    </xdr:to>
    <xdr:graphicFrame macro="">
      <xdr:nvGraphicFramePr>
        <xdr:cNvPr id="135" name="Chart 4">
          <a:extLst>
            <a:ext uri="{FF2B5EF4-FFF2-40B4-BE49-F238E27FC236}">
              <a16:creationId xmlns:a16="http://schemas.microsoft.com/office/drawing/2014/main" id="{CB3A7C1F-06B0-4C83-BBA4-0C2BDC7AB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396586</xdr:colOff>
      <xdr:row>0</xdr:row>
      <xdr:rowOff>64770</xdr:rowOff>
    </xdr:from>
    <xdr:to>
      <xdr:col>28</xdr:col>
      <xdr:colOff>8659</xdr:colOff>
      <xdr:row>17</xdr:row>
      <xdr:rowOff>17319</xdr:rowOff>
    </xdr:to>
    <xdr:graphicFrame macro="">
      <xdr:nvGraphicFramePr>
        <xdr:cNvPr id="134" name="Chart 5">
          <a:extLst>
            <a:ext uri="{FF2B5EF4-FFF2-40B4-BE49-F238E27FC236}">
              <a16:creationId xmlns:a16="http://schemas.microsoft.com/office/drawing/2014/main" id="{F72D60A3-1E14-48A7-8757-68AE055C9E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203606</xdr:colOff>
      <xdr:row>0</xdr:row>
      <xdr:rowOff>55934</xdr:rowOff>
    </xdr:from>
    <xdr:to>
      <xdr:col>37</xdr:col>
      <xdr:colOff>372340</xdr:colOff>
      <xdr:row>17</xdr:row>
      <xdr:rowOff>25978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3" name="Chart 6">
              <a:extLst>
                <a:ext uri="{FF2B5EF4-FFF2-40B4-BE49-F238E27FC236}">
                  <a16:creationId xmlns:a16="http://schemas.microsoft.com/office/drawing/2014/main" id="{536DE7B8-9FF1-4F91-9CDB-4ED034A066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815331" y="55934"/>
              <a:ext cx="5798009" cy="4265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411480</xdr:colOff>
      <xdr:row>39</xdr:row>
      <xdr:rowOff>64770</xdr:rowOff>
    </xdr:from>
    <xdr:to>
      <xdr:col>16</xdr:col>
      <xdr:colOff>106680</xdr:colOff>
      <xdr:row>53</xdr:row>
      <xdr:rowOff>156210</xdr:rowOff>
    </xdr:to>
    <xdr:graphicFrame macro="">
      <xdr:nvGraphicFramePr>
        <xdr:cNvPr id="188" name="Chart 14">
          <a:extLst>
            <a:ext uri="{FF2B5EF4-FFF2-40B4-BE49-F238E27FC236}">
              <a16:creationId xmlns:a16="http://schemas.microsoft.com/office/drawing/2014/main" id="{86B9C9EF-D047-B0D8-DC88-C35B03F84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554182</xdr:colOff>
      <xdr:row>18</xdr:row>
      <xdr:rowOff>17319</xdr:rowOff>
    </xdr:from>
    <xdr:to>
      <xdr:col>19</xdr:col>
      <xdr:colOff>138544</xdr:colOff>
      <xdr:row>35</xdr:row>
      <xdr:rowOff>86591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B5F703B-91E4-4A6A-9D8A-F87207177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61782</xdr:colOff>
      <xdr:row>56</xdr:row>
      <xdr:rowOff>39131</xdr:rowOff>
    </xdr:from>
    <xdr:to>
      <xdr:col>25</xdr:col>
      <xdr:colOff>391297</xdr:colOff>
      <xdr:row>75</xdr:row>
      <xdr:rowOff>51487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8C9646-AD92-0ECD-DDE1-ABA28EE75C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0</xdr:colOff>
      <xdr:row>42</xdr:row>
      <xdr:rowOff>0</xdr:rowOff>
    </xdr:from>
    <xdr:to>
      <xdr:col>27</xdr:col>
      <xdr:colOff>319216</xdr:colOff>
      <xdr:row>56</xdr:row>
      <xdr:rowOff>96795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60FF90-E378-4D87-A459-3ABBA8823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480580</xdr:colOff>
      <xdr:row>20</xdr:row>
      <xdr:rowOff>65809</xdr:rowOff>
    </xdr:from>
    <xdr:to>
      <xdr:col>39</xdr:col>
      <xdr:colOff>203489</xdr:colOff>
      <xdr:row>35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87F908E8-E6B2-C55C-3F6B-01DA377C64A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063980" y="5152159"/>
              <a:ext cx="4599709" cy="28774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142874</xdr:colOff>
      <xdr:row>37</xdr:row>
      <xdr:rowOff>169718</xdr:rowOff>
    </xdr:from>
    <xdr:to>
      <xdr:col>39</xdr:col>
      <xdr:colOff>471920</xdr:colOff>
      <xdr:row>50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25312D-CD1D-015E-5546-1F6B85F5C7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99579</xdr:colOff>
      <xdr:row>1</xdr:row>
      <xdr:rowOff>161059</xdr:rowOff>
    </xdr:from>
    <xdr:to>
      <xdr:col>53</xdr:col>
      <xdr:colOff>428625</xdr:colOff>
      <xdr:row>14</xdr:row>
      <xdr:rowOff>107373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701F9E4-232D-AEE2-B778-085A56FD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45</xdr:col>
      <xdr:colOff>601807</xdr:colOff>
      <xdr:row>14</xdr:row>
      <xdr:rowOff>247650</xdr:rowOff>
    </xdr:from>
    <xdr:to>
      <xdr:col>53</xdr:col>
      <xdr:colOff>324716</xdr:colOff>
      <xdr:row>27</xdr:row>
      <xdr:rowOff>167986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033AA1D-BDAF-4E49-E586-5F1B66784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41EA-DC77-42B9-B6B5-9E4758DDA97B}">
  <dimension ref="A1:AQ64"/>
  <sheetViews>
    <sheetView showGridLines="0" tabSelected="1" topLeftCell="R1" zoomScale="63" zoomScaleNormal="63" workbookViewId="0">
      <pane ySplit="11" topLeftCell="A39" activePane="bottomLeft" state="frozen"/>
      <selection pane="bottomLeft" sqref="A1:AL5"/>
    </sheetView>
  </sheetViews>
  <sheetFormatPr defaultColWidth="8.7109375" defaultRowHeight="15" x14ac:dyDescent="0.25"/>
  <cols>
    <col min="1" max="1" width="69" style="5" bestFit="1" customWidth="1"/>
    <col min="2" max="3" width="8.7109375" style="5"/>
    <col min="4" max="4" width="8.7109375" style="5" customWidth="1"/>
    <col min="5" max="5" width="20.7109375" style="5" bestFit="1" customWidth="1"/>
    <col min="6" max="6" width="1.7109375" style="5" customWidth="1"/>
    <col min="7" max="7" width="23.28515625" style="5" customWidth="1"/>
    <col min="8" max="8" width="21.7109375" style="5" customWidth="1"/>
    <col min="9" max="9" width="25.42578125" style="6" customWidth="1"/>
    <col min="10" max="11" width="21.7109375" style="5" bestFit="1" customWidth="1"/>
    <col min="12" max="13" width="22.140625" style="5" bestFit="1" customWidth="1"/>
    <col min="14" max="14" width="27.140625" style="5" customWidth="1"/>
    <col min="15" max="15" width="22.7109375" style="5" bestFit="1" customWidth="1"/>
    <col min="16" max="16" width="23.140625" style="5" bestFit="1" customWidth="1"/>
    <col min="17" max="17" width="25.85546875" style="5" customWidth="1"/>
    <col min="18" max="18" width="28" style="5" customWidth="1"/>
    <col min="19" max="19" width="22.7109375" style="5" bestFit="1" customWidth="1"/>
    <col min="20" max="20" width="21.85546875" style="5" bestFit="1" customWidth="1"/>
    <col min="21" max="22" width="24.42578125" style="5" bestFit="1" customWidth="1"/>
    <col min="23" max="23" width="22.7109375" style="5" bestFit="1" customWidth="1"/>
    <col min="24" max="24" width="22.28515625" style="5" bestFit="1" customWidth="1"/>
    <col min="25" max="25" width="24.42578125" style="5" bestFit="1" customWidth="1"/>
    <col min="26" max="26" width="23.140625" style="5" bestFit="1" customWidth="1"/>
    <col min="27" max="27" width="22.28515625" style="5" bestFit="1" customWidth="1"/>
    <col min="28" max="28" width="43.5703125" style="5" bestFit="1" customWidth="1"/>
    <col min="29" max="16384" width="8.7109375" style="5"/>
  </cols>
  <sheetData>
    <row r="1" spans="1:43" ht="14.65" customHeight="1" x14ac:dyDescent="0.25">
      <c r="A1" s="140" t="s">
        <v>80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</row>
    <row r="2" spans="1:43" x14ac:dyDescent="0.25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0"/>
      <c r="AA2" s="140"/>
      <c r="AB2" s="140"/>
      <c r="AC2" s="140"/>
      <c r="AD2" s="140"/>
      <c r="AE2" s="140"/>
      <c r="AF2" s="140"/>
      <c r="AG2" s="140"/>
      <c r="AH2" s="140"/>
      <c r="AI2" s="140"/>
      <c r="AJ2" s="140"/>
      <c r="AK2" s="140"/>
      <c r="AL2" s="140"/>
    </row>
    <row r="3" spans="1:43" x14ac:dyDescent="0.25">
      <c r="A3" s="140"/>
      <c r="B3" s="140"/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140"/>
    </row>
    <row r="4" spans="1:43" x14ac:dyDescent="0.25">
      <c r="A4" s="140"/>
      <c r="B4" s="140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0"/>
      <c r="X4" s="140"/>
      <c r="Y4" s="140"/>
      <c r="Z4" s="140"/>
      <c r="AA4" s="140"/>
      <c r="AB4" s="140"/>
      <c r="AC4" s="140"/>
      <c r="AD4" s="140"/>
      <c r="AE4" s="140"/>
      <c r="AF4" s="140"/>
      <c r="AG4" s="140"/>
      <c r="AH4" s="140"/>
      <c r="AI4" s="140"/>
      <c r="AJ4" s="140"/>
      <c r="AK4" s="140"/>
      <c r="AL4" s="140"/>
    </row>
    <row r="5" spans="1:43" x14ac:dyDescent="0.25">
      <c r="A5" s="140"/>
      <c r="B5" s="140"/>
      <c r="C5" s="140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  <c r="R5" s="140"/>
      <c r="S5" s="140"/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140"/>
      <c r="AG5" s="140"/>
      <c r="AH5" s="140"/>
      <c r="AI5" s="140"/>
      <c r="AJ5" s="140"/>
      <c r="AK5" s="140"/>
      <c r="AL5" s="140"/>
    </row>
    <row r="6" spans="1:43" ht="18.75" x14ac:dyDescent="0.25">
      <c r="A6" s="1" t="s">
        <v>0</v>
      </c>
      <c r="B6" s="143" t="s">
        <v>1</v>
      </c>
      <c r="C6" s="143"/>
      <c r="D6" s="143"/>
      <c r="E6" s="1" t="s">
        <v>2</v>
      </c>
      <c r="F6" s="144" t="s">
        <v>89</v>
      </c>
      <c r="G6" s="144"/>
      <c r="H6" s="1" t="s">
        <v>3</v>
      </c>
      <c r="I6" s="3" t="s">
        <v>88</v>
      </c>
      <c r="AB6" s="45"/>
    </row>
    <row r="7" spans="1:43" ht="18.75" x14ac:dyDescent="0.25">
      <c r="A7" s="1" t="s">
        <v>4</v>
      </c>
      <c r="B7" s="143" t="s">
        <v>5</v>
      </c>
      <c r="C7" s="143"/>
      <c r="D7" s="143"/>
      <c r="E7" s="1" t="s">
        <v>6</v>
      </c>
      <c r="F7" s="143" t="s">
        <v>85</v>
      </c>
      <c r="G7" s="143"/>
      <c r="H7" s="2" t="s">
        <v>7</v>
      </c>
      <c r="I7" s="49" t="s">
        <v>86</v>
      </c>
      <c r="AB7" s="45"/>
    </row>
    <row r="8" spans="1:43" ht="8.65" customHeight="1" x14ac:dyDescent="0.25">
      <c r="AB8" s="45"/>
    </row>
    <row r="9" spans="1:43" ht="0.6" customHeight="1" x14ac:dyDescent="0.25">
      <c r="AB9" s="45"/>
    </row>
    <row r="10" spans="1:43" ht="17.649999999999999" customHeight="1" thickBot="1" x14ac:dyDescent="0.3">
      <c r="A10" s="7"/>
      <c r="AB10" s="45"/>
    </row>
    <row r="11" spans="1:43" s="58" customFormat="1" ht="25.15" customHeight="1" x14ac:dyDescent="0.35">
      <c r="A11" s="135"/>
      <c r="B11" s="135"/>
      <c r="C11" s="135"/>
      <c r="D11" s="135"/>
      <c r="E11" s="135"/>
      <c r="F11" s="135"/>
      <c r="G11" s="135"/>
      <c r="H11" s="54" t="s">
        <v>8</v>
      </c>
      <c r="I11" s="55" t="s">
        <v>9</v>
      </c>
      <c r="J11" s="54" t="s">
        <v>10</v>
      </c>
      <c r="K11" s="54" t="s">
        <v>11</v>
      </c>
      <c r="L11" s="54" t="s">
        <v>12</v>
      </c>
      <c r="M11" s="54" t="s">
        <v>13</v>
      </c>
      <c r="N11" s="54" t="s">
        <v>14</v>
      </c>
      <c r="O11" s="54" t="s">
        <v>15</v>
      </c>
      <c r="P11" s="54" t="s">
        <v>16</v>
      </c>
      <c r="Q11" s="54" t="s">
        <v>17</v>
      </c>
      <c r="R11" s="54" t="s">
        <v>18</v>
      </c>
      <c r="S11" s="54" t="s">
        <v>19</v>
      </c>
      <c r="T11" s="54" t="s">
        <v>20</v>
      </c>
      <c r="U11" s="54" t="s">
        <v>21</v>
      </c>
      <c r="V11" s="54" t="s">
        <v>22</v>
      </c>
      <c r="W11" s="54" t="s">
        <v>23</v>
      </c>
      <c r="X11" s="54" t="s">
        <v>24</v>
      </c>
      <c r="Y11" s="54" t="s">
        <v>25</v>
      </c>
      <c r="Z11" s="54" t="s">
        <v>26</v>
      </c>
      <c r="AA11" s="56" t="s">
        <v>27</v>
      </c>
      <c r="AB11" s="57"/>
      <c r="AC11" s="57"/>
    </row>
    <row r="12" spans="1:43" ht="21" x14ac:dyDescent="0.25">
      <c r="A12" s="145" t="s">
        <v>28</v>
      </c>
      <c r="B12" s="145"/>
      <c r="C12" s="145"/>
      <c r="D12" s="145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8"/>
      <c r="AA12" s="138"/>
      <c r="AB12" s="46"/>
      <c r="AC12" s="134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</row>
    <row r="13" spans="1:43" ht="15.75" x14ac:dyDescent="0.25">
      <c r="A13" s="142" t="s">
        <v>29</v>
      </c>
      <c r="B13" s="142"/>
      <c r="C13" s="142"/>
      <c r="D13" s="142"/>
      <c r="E13" s="142"/>
      <c r="F13" s="142"/>
      <c r="G13" s="142"/>
      <c r="H13" s="116">
        <v>25000000</v>
      </c>
      <c r="I13" s="117">
        <v>30000000</v>
      </c>
      <c r="J13" s="117">
        <v>36000000</v>
      </c>
      <c r="K13" s="117">
        <v>43200000</v>
      </c>
      <c r="L13" s="117">
        <v>51840000</v>
      </c>
      <c r="M13" s="117">
        <v>62210000</v>
      </c>
      <c r="N13" s="117">
        <v>74650000</v>
      </c>
      <c r="O13" s="117">
        <v>89500000</v>
      </c>
      <c r="P13" s="117">
        <v>107500000</v>
      </c>
      <c r="Q13" s="117">
        <v>129000000</v>
      </c>
      <c r="R13" s="117">
        <v>160850000</v>
      </c>
      <c r="S13" s="117">
        <v>168890000</v>
      </c>
      <c r="T13" s="117">
        <v>177330000</v>
      </c>
      <c r="U13" s="117">
        <v>186200000</v>
      </c>
      <c r="V13" s="117">
        <v>195510000</v>
      </c>
      <c r="W13" s="117">
        <v>205280000</v>
      </c>
      <c r="X13" s="117">
        <v>215540000</v>
      </c>
      <c r="Y13" s="117">
        <v>226310000</v>
      </c>
      <c r="Z13" s="117">
        <v>237630000</v>
      </c>
      <c r="AA13" s="118">
        <v>249510000</v>
      </c>
      <c r="AB13" s="47"/>
    </row>
    <row r="14" spans="1:43" ht="15.75" x14ac:dyDescent="0.25">
      <c r="A14" s="142" t="s">
        <v>30</v>
      </c>
      <c r="B14" s="142" t="s">
        <v>30</v>
      </c>
      <c r="C14" s="142" t="s">
        <v>30</v>
      </c>
      <c r="D14" s="142" t="s">
        <v>30</v>
      </c>
      <c r="E14" s="142" t="s">
        <v>30</v>
      </c>
      <c r="F14" s="142" t="s">
        <v>30</v>
      </c>
      <c r="G14" s="142" t="s">
        <v>30</v>
      </c>
      <c r="H14" s="116">
        <v>250000</v>
      </c>
      <c r="I14" s="117">
        <v>280000</v>
      </c>
      <c r="J14" s="117">
        <v>310000</v>
      </c>
      <c r="K14" s="117">
        <v>350000</v>
      </c>
      <c r="L14" s="117">
        <v>390000</v>
      </c>
      <c r="M14" s="117">
        <v>440000</v>
      </c>
      <c r="N14" s="117">
        <v>490000</v>
      </c>
      <c r="O14" s="117">
        <v>550000</v>
      </c>
      <c r="P14" s="117">
        <v>610000</v>
      </c>
      <c r="Q14" s="117">
        <v>680000</v>
      </c>
      <c r="R14" s="117">
        <v>780000</v>
      </c>
      <c r="S14" s="117">
        <v>870000</v>
      </c>
      <c r="T14" s="117">
        <v>970000</v>
      </c>
      <c r="U14" s="117">
        <v>1080000</v>
      </c>
      <c r="V14" s="117">
        <v>1210000</v>
      </c>
      <c r="W14" s="117">
        <v>1360000</v>
      </c>
      <c r="X14" s="117">
        <v>1520000</v>
      </c>
      <c r="Y14" s="117">
        <v>1700000</v>
      </c>
      <c r="Z14" s="117">
        <v>1900000</v>
      </c>
      <c r="AA14" s="118">
        <v>2120000</v>
      </c>
      <c r="AB14" s="47"/>
    </row>
    <row r="15" spans="1:43" ht="15.75" x14ac:dyDescent="0.25">
      <c r="A15" s="142" t="s">
        <v>31</v>
      </c>
      <c r="B15" s="142" t="s">
        <v>31</v>
      </c>
      <c r="C15" s="142" t="s">
        <v>31</v>
      </c>
      <c r="D15" s="142" t="s">
        <v>31</v>
      </c>
      <c r="E15" s="142" t="s">
        <v>31</v>
      </c>
      <c r="F15" s="142" t="s">
        <v>31</v>
      </c>
      <c r="G15" s="142" t="s">
        <v>31</v>
      </c>
      <c r="H15" s="116">
        <v>7500000</v>
      </c>
      <c r="I15" s="117">
        <v>8630000</v>
      </c>
      <c r="J15" s="117">
        <v>9920000</v>
      </c>
      <c r="K15" s="117">
        <v>11410000</v>
      </c>
      <c r="L15" s="117">
        <v>13130000</v>
      </c>
      <c r="M15" s="117">
        <v>15100000</v>
      </c>
      <c r="N15" s="117">
        <v>17360000</v>
      </c>
      <c r="O15" s="117">
        <v>19960000</v>
      </c>
      <c r="P15" s="117">
        <v>22950000</v>
      </c>
      <c r="Q15" s="117">
        <v>26390000</v>
      </c>
      <c r="R15" s="117">
        <v>30400000</v>
      </c>
      <c r="S15" s="117">
        <v>32830000</v>
      </c>
      <c r="T15" s="117">
        <v>35450000</v>
      </c>
      <c r="U15" s="117">
        <v>38290000</v>
      </c>
      <c r="V15" s="117">
        <v>41350000</v>
      </c>
      <c r="W15" s="117">
        <v>44650000</v>
      </c>
      <c r="X15" s="117">
        <v>48220000</v>
      </c>
      <c r="Y15" s="117">
        <v>52090000</v>
      </c>
      <c r="Z15" s="117">
        <v>56260000</v>
      </c>
      <c r="AA15" s="118">
        <v>60760000</v>
      </c>
      <c r="AB15" s="47"/>
    </row>
    <row r="16" spans="1:43" ht="15.75" x14ac:dyDescent="0.25">
      <c r="A16" s="142" t="s">
        <v>32</v>
      </c>
      <c r="B16" s="142"/>
      <c r="C16" s="142"/>
      <c r="D16" s="142"/>
      <c r="E16" s="142"/>
      <c r="F16" s="142"/>
      <c r="G16" s="142"/>
      <c r="H16" s="116">
        <v>12240000</v>
      </c>
      <c r="I16" s="117">
        <v>15120000</v>
      </c>
      <c r="J16" s="117">
        <v>19100000</v>
      </c>
      <c r="K16" s="117">
        <v>23300000</v>
      </c>
      <c r="L16" s="117">
        <v>27810000</v>
      </c>
      <c r="M16" s="117">
        <v>32690000</v>
      </c>
      <c r="N16" s="117">
        <v>37970000</v>
      </c>
      <c r="O16" s="117">
        <v>43700000</v>
      </c>
      <c r="P16" s="117">
        <v>49930000</v>
      </c>
      <c r="Q16" s="117">
        <v>56730000</v>
      </c>
      <c r="R16" s="117">
        <v>62280000</v>
      </c>
      <c r="S16" s="117">
        <v>68220000</v>
      </c>
      <c r="T16" s="117">
        <v>74590000</v>
      </c>
      <c r="U16" s="117">
        <v>81370000</v>
      </c>
      <c r="V16" s="117">
        <v>88620000</v>
      </c>
      <c r="W16" s="117">
        <v>96330000</v>
      </c>
      <c r="X16" s="117">
        <v>104560000</v>
      </c>
      <c r="Y16" s="117">
        <v>113330000</v>
      </c>
      <c r="Z16" s="117">
        <v>122670000</v>
      </c>
      <c r="AA16" s="118">
        <v>132630000</v>
      </c>
      <c r="AB16" s="47"/>
    </row>
    <row r="17" spans="1:28" ht="15.75" x14ac:dyDescent="0.25">
      <c r="A17" s="142" t="s">
        <v>33</v>
      </c>
      <c r="B17" s="142"/>
      <c r="C17" s="142"/>
      <c r="D17" s="142"/>
      <c r="E17" s="142"/>
      <c r="F17" s="142"/>
      <c r="G17" s="142"/>
      <c r="H17" s="116">
        <v>4000000</v>
      </c>
      <c r="I17" s="117">
        <v>4400000</v>
      </c>
      <c r="J17" s="117">
        <v>4840000</v>
      </c>
      <c r="K17" s="117">
        <v>5320000</v>
      </c>
      <c r="L17" s="117">
        <v>5860000</v>
      </c>
      <c r="M17" s="117">
        <v>6440000</v>
      </c>
      <c r="N17" s="117">
        <v>7080000</v>
      </c>
      <c r="O17" s="117">
        <v>7780000</v>
      </c>
      <c r="P17" s="117">
        <v>8560000</v>
      </c>
      <c r="Q17" s="117">
        <v>9410000</v>
      </c>
      <c r="R17" s="117">
        <v>10380000</v>
      </c>
      <c r="S17" s="117">
        <v>11420000</v>
      </c>
      <c r="T17" s="117">
        <v>12570000</v>
      </c>
      <c r="U17" s="117">
        <v>13820000</v>
      </c>
      <c r="V17" s="117">
        <v>15200000</v>
      </c>
      <c r="W17" s="117">
        <v>16720000</v>
      </c>
      <c r="X17" s="117">
        <v>18390000</v>
      </c>
      <c r="Y17" s="117">
        <v>20230000</v>
      </c>
      <c r="Z17" s="117">
        <v>22250000</v>
      </c>
      <c r="AA17" s="118">
        <v>24470000</v>
      </c>
      <c r="AB17" s="47"/>
    </row>
    <row r="18" spans="1:28" ht="15.75" x14ac:dyDescent="0.25">
      <c r="A18" s="142" t="s">
        <v>34</v>
      </c>
      <c r="B18" s="142" t="s">
        <v>34</v>
      </c>
      <c r="C18" s="142" t="s">
        <v>34</v>
      </c>
      <c r="D18" s="142" t="s">
        <v>34</v>
      </c>
      <c r="E18" s="142" t="s">
        <v>34</v>
      </c>
      <c r="F18" s="142" t="s">
        <v>34</v>
      </c>
      <c r="G18" s="142" t="s">
        <v>34</v>
      </c>
      <c r="H18" s="116">
        <v>5000000</v>
      </c>
      <c r="I18" s="117">
        <v>0</v>
      </c>
      <c r="J18" s="117">
        <v>0</v>
      </c>
      <c r="K18" s="117">
        <v>0</v>
      </c>
      <c r="L18" s="117">
        <v>0</v>
      </c>
      <c r="M18" s="117">
        <v>0</v>
      </c>
      <c r="N18" s="117">
        <v>0</v>
      </c>
      <c r="O18" s="117">
        <v>0</v>
      </c>
      <c r="P18" s="117">
        <v>0</v>
      </c>
      <c r="Q18" s="117">
        <v>0</v>
      </c>
      <c r="R18" s="117">
        <v>0</v>
      </c>
      <c r="S18" s="117">
        <v>0</v>
      </c>
      <c r="T18" s="117">
        <v>0</v>
      </c>
      <c r="U18" s="117">
        <v>0</v>
      </c>
      <c r="V18" s="117">
        <v>0</v>
      </c>
      <c r="W18" s="117">
        <v>0</v>
      </c>
      <c r="X18" s="117">
        <v>0</v>
      </c>
      <c r="Y18" s="117">
        <v>0</v>
      </c>
      <c r="Z18" s="117">
        <v>0</v>
      </c>
      <c r="AA18" s="118">
        <v>0</v>
      </c>
      <c r="AB18" s="47"/>
    </row>
    <row r="19" spans="1:28" ht="18.75" x14ac:dyDescent="0.25">
      <c r="A19" s="141" t="s">
        <v>35</v>
      </c>
      <c r="B19" s="141"/>
      <c r="C19" s="141"/>
      <c r="D19" s="141"/>
      <c r="E19" s="141"/>
      <c r="F19" s="141"/>
      <c r="G19" s="141"/>
      <c r="H19" s="61">
        <f t="shared" ref="H19:M19" si="0">SUM(H13:H18)</f>
        <v>53990000</v>
      </c>
      <c r="I19" s="61">
        <f>SUM(I13:I18)</f>
        <v>58430000</v>
      </c>
      <c r="J19" s="61">
        <f t="shared" si="0"/>
        <v>70170000</v>
      </c>
      <c r="K19" s="61">
        <f t="shared" si="0"/>
        <v>83580000</v>
      </c>
      <c r="L19" s="61">
        <f>SUM(L13:L18)</f>
        <v>99030000</v>
      </c>
      <c r="M19" s="61">
        <f t="shared" si="0"/>
        <v>116880000</v>
      </c>
      <c r="N19" s="61">
        <f t="shared" ref="N19:AA19" si="1">SUM(N13:N18)</f>
        <v>137550000</v>
      </c>
      <c r="O19" s="61">
        <f t="shared" si="1"/>
        <v>161490000</v>
      </c>
      <c r="P19" s="61">
        <f t="shared" si="1"/>
        <v>189550000</v>
      </c>
      <c r="Q19" s="61">
        <f t="shared" si="1"/>
        <v>222210000</v>
      </c>
      <c r="R19" s="61">
        <f t="shared" si="1"/>
        <v>264690000</v>
      </c>
      <c r="S19" s="61">
        <f t="shared" si="1"/>
        <v>282230000</v>
      </c>
      <c r="T19" s="61">
        <f t="shared" si="1"/>
        <v>300910000</v>
      </c>
      <c r="U19" s="61">
        <f t="shared" si="1"/>
        <v>320760000</v>
      </c>
      <c r="V19" s="61">
        <f t="shared" si="1"/>
        <v>341890000</v>
      </c>
      <c r="W19" s="61">
        <f t="shared" si="1"/>
        <v>364340000</v>
      </c>
      <c r="X19" s="61">
        <f t="shared" si="1"/>
        <v>388230000</v>
      </c>
      <c r="Y19" s="61">
        <f t="shared" si="1"/>
        <v>413660000</v>
      </c>
      <c r="Z19" s="61">
        <f t="shared" si="1"/>
        <v>440710000</v>
      </c>
      <c r="AA19" s="62">
        <f t="shared" si="1"/>
        <v>469490000</v>
      </c>
      <c r="AB19" s="47"/>
    </row>
    <row r="20" spans="1:28" x14ac:dyDescent="0.25">
      <c r="A20" s="15"/>
      <c r="I20" s="10"/>
      <c r="AA20" s="16"/>
    </row>
    <row r="21" spans="1:28" ht="21" x14ac:dyDescent="0.25">
      <c r="A21" s="145" t="s">
        <v>36</v>
      </c>
      <c r="B21" s="145"/>
      <c r="C21" s="145"/>
      <c r="D21" s="145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8"/>
      <c r="AA21" s="148"/>
    </row>
    <row r="22" spans="1:28" s="115" customFormat="1" ht="15.75" x14ac:dyDescent="0.25">
      <c r="A22" s="154" t="s">
        <v>96</v>
      </c>
      <c r="B22" s="155"/>
      <c r="C22" s="155"/>
      <c r="D22" s="155"/>
      <c r="E22" s="155"/>
      <c r="F22" s="155"/>
      <c r="G22" s="155"/>
      <c r="H22" s="119">
        <v>22387500</v>
      </c>
      <c r="I22" s="119">
        <v>22387500</v>
      </c>
      <c r="J22" s="119">
        <v>22387500</v>
      </c>
      <c r="K22" s="119">
        <v>22387500</v>
      </c>
      <c r="L22" s="119">
        <v>22387500</v>
      </c>
      <c r="M22" s="119">
        <v>22387500</v>
      </c>
      <c r="N22" s="119">
        <v>22387500</v>
      </c>
      <c r="O22" s="119">
        <v>22387500</v>
      </c>
      <c r="P22" s="119">
        <v>22387500</v>
      </c>
      <c r="Q22" s="119">
        <v>22387500</v>
      </c>
      <c r="R22" s="119">
        <v>22387500</v>
      </c>
      <c r="S22" s="119">
        <v>22387500</v>
      </c>
      <c r="T22" s="119">
        <v>22387500</v>
      </c>
      <c r="U22" s="119">
        <v>22387500</v>
      </c>
      <c r="V22" s="119">
        <v>22387500</v>
      </c>
      <c r="W22" s="119">
        <v>22387500</v>
      </c>
      <c r="X22" s="119">
        <v>22387500</v>
      </c>
      <c r="Y22" s="119">
        <v>22387500</v>
      </c>
      <c r="Z22" s="119">
        <v>22387500</v>
      </c>
      <c r="AA22" s="119">
        <v>22387500</v>
      </c>
    </row>
    <row r="23" spans="1:28" s="112" customFormat="1" ht="15.75" x14ac:dyDescent="0.25">
      <c r="A23" s="149" t="s">
        <v>37</v>
      </c>
      <c r="B23" s="149"/>
      <c r="C23" s="149"/>
      <c r="D23" s="149"/>
      <c r="E23" s="149"/>
      <c r="F23" s="149"/>
      <c r="G23" s="149"/>
      <c r="H23" s="114">
        <v>750000</v>
      </c>
      <c r="I23" s="113">
        <f t="shared" ref="I23:AA23" si="2">H23*(1+2%)</f>
        <v>765000</v>
      </c>
      <c r="J23" s="113">
        <f t="shared" si="2"/>
        <v>780300</v>
      </c>
      <c r="K23" s="113">
        <f t="shared" si="2"/>
        <v>795906</v>
      </c>
      <c r="L23" s="113">
        <f t="shared" si="2"/>
        <v>811824.12</v>
      </c>
      <c r="M23" s="113">
        <f t="shared" si="2"/>
        <v>828060.60239999997</v>
      </c>
      <c r="N23" s="113">
        <f t="shared" si="2"/>
        <v>844621.81444799993</v>
      </c>
      <c r="O23" s="113">
        <f t="shared" si="2"/>
        <v>861514.25073695998</v>
      </c>
      <c r="P23" s="113">
        <f t="shared" si="2"/>
        <v>878744.53575169924</v>
      </c>
      <c r="Q23" s="113">
        <f t="shared" si="2"/>
        <v>896319.42646673322</v>
      </c>
      <c r="R23" s="113">
        <f t="shared" si="2"/>
        <v>914245.8149960679</v>
      </c>
      <c r="S23" s="113">
        <f t="shared" si="2"/>
        <v>932530.73129598924</v>
      </c>
      <c r="T23" s="113">
        <f t="shared" si="2"/>
        <v>951181.34592190909</v>
      </c>
      <c r="U23" s="113">
        <f t="shared" si="2"/>
        <v>970204.97284034733</v>
      </c>
      <c r="V23" s="113">
        <f t="shared" si="2"/>
        <v>989609.07229715434</v>
      </c>
      <c r="W23" s="113">
        <f t="shared" si="2"/>
        <v>1009401.2537430974</v>
      </c>
      <c r="X23" s="113">
        <f t="shared" si="2"/>
        <v>1029589.2788179594</v>
      </c>
      <c r="Y23" s="113">
        <f t="shared" si="2"/>
        <v>1050181.0643943185</v>
      </c>
      <c r="Z23" s="113">
        <f t="shared" si="2"/>
        <v>1071184.6856822048</v>
      </c>
      <c r="AA23" s="113">
        <f t="shared" si="2"/>
        <v>1092608.3793958488</v>
      </c>
    </row>
    <row r="24" spans="1:28" ht="15.75" x14ac:dyDescent="0.25">
      <c r="A24" s="150" t="s">
        <v>38</v>
      </c>
      <c r="B24" s="150"/>
      <c r="C24" s="150"/>
      <c r="D24" s="150"/>
      <c r="E24" s="150"/>
      <c r="F24" s="150"/>
      <c r="G24" s="150"/>
      <c r="H24" s="101">
        <v>3000000</v>
      </c>
      <c r="I24" s="59">
        <f t="shared" ref="I24:AA24" si="3">H24*1.02</f>
        <v>3060000</v>
      </c>
      <c r="J24" s="59">
        <f t="shared" si="3"/>
        <v>3121200</v>
      </c>
      <c r="K24" s="59">
        <f t="shared" si="3"/>
        <v>3183624</v>
      </c>
      <c r="L24" s="59">
        <f t="shared" si="3"/>
        <v>3247296.48</v>
      </c>
      <c r="M24" s="59">
        <f t="shared" si="3"/>
        <v>3312242.4095999999</v>
      </c>
      <c r="N24" s="59">
        <f t="shared" si="3"/>
        <v>3378487.2577919997</v>
      </c>
      <c r="O24" s="59">
        <f t="shared" si="3"/>
        <v>3446057.0029478399</v>
      </c>
      <c r="P24" s="59">
        <f t="shared" si="3"/>
        <v>3514978.1430067969</v>
      </c>
      <c r="Q24" s="59">
        <f t="shared" si="3"/>
        <v>3585277.7058669329</v>
      </c>
      <c r="R24" s="59">
        <f t="shared" si="3"/>
        <v>3656983.2599842716</v>
      </c>
      <c r="S24" s="59">
        <f t="shared" si="3"/>
        <v>3730122.925183957</v>
      </c>
      <c r="T24" s="59">
        <f t="shared" si="3"/>
        <v>3804725.3836876363</v>
      </c>
      <c r="U24" s="59">
        <f t="shared" si="3"/>
        <v>3880819.8913613893</v>
      </c>
      <c r="V24" s="59">
        <f t="shared" si="3"/>
        <v>3958436.2891886174</v>
      </c>
      <c r="W24" s="59">
        <f t="shared" si="3"/>
        <v>4037605.0149723897</v>
      </c>
      <c r="X24" s="59">
        <f t="shared" si="3"/>
        <v>4118357.1152718375</v>
      </c>
      <c r="Y24" s="59">
        <f t="shared" si="3"/>
        <v>4200724.257577274</v>
      </c>
      <c r="Z24" s="59">
        <f t="shared" si="3"/>
        <v>4284738.7427288191</v>
      </c>
      <c r="AA24" s="60">
        <f t="shared" si="3"/>
        <v>4370433.5175833954</v>
      </c>
    </row>
    <row r="25" spans="1:28" ht="15.75" x14ac:dyDescent="0.25">
      <c r="A25" s="150" t="s">
        <v>39</v>
      </c>
      <c r="B25" s="150"/>
      <c r="C25" s="150"/>
      <c r="D25" s="150"/>
      <c r="E25" s="150"/>
      <c r="F25" s="150"/>
      <c r="G25" s="150"/>
      <c r="H25" s="101">
        <v>5000000</v>
      </c>
      <c r="I25" s="59">
        <v>0</v>
      </c>
      <c r="J25" s="59">
        <v>0</v>
      </c>
      <c r="K25" s="59">
        <v>0</v>
      </c>
      <c r="L25" s="59">
        <v>0</v>
      </c>
      <c r="M25" s="59">
        <v>0</v>
      </c>
      <c r="N25" s="59">
        <v>0</v>
      </c>
      <c r="O25" s="59">
        <v>0</v>
      </c>
      <c r="P25" s="59">
        <v>0</v>
      </c>
      <c r="Q25" s="59">
        <v>0</v>
      </c>
      <c r="R25" s="59">
        <v>0</v>
      </c>
      <c r="S25" s="59">
        <v>0</v>
      </c>
      <c r="T25" s="59">
        <v>0</v>
      </c>
      <c r="U25" s="59">
        <v>0</v>
      </c>
      <c r="V25" s="59">
        <v>0</v>
      </c>
      <c r="W25" s="59">
        <v>0</v>
      </c>
      <c r="X25" s="59">
        <v>0</v>
      </c>
      <c r="Y25" s="59">
        <v>0</v>
      </c>
      <c r="Z25" s="59">
        <v>0</v>
      </c>
      <c r="AA25" s="124">
        <v>0</v>
      </c>
    </row>
    <row r="26" spans="1:28" ht="15.75" x14ac:dyDescent="0.25">
      <c r="A26" s="150" t="s">
        <v>40</v>
      </c>
      <c r="B26" s="150"/>
      <c r="C26" s="150"/>
      <c r="D26" s="150"/>
      <c r="E26" s="150"/>
      <c r="F26" s="150"/>
      <c r="G26" s="150"/>
      <c r="H26" s="100">
        <v>2300</v>
      </c>
      <c r="I26" s="77">
        <f>500</f>
        <v>500</v>
      </c>
      <c r="J26" s="77">
        <f>I26*(1+3%)</f>
        <v>515</v>
      </c>
      <c r="K26" s="77">
        <f t="shared" ref="K26:AA26" si="4">J26*1.02</f>
        <v>525.29999999999995</v>
      </c>
      <c r="L26" s="77">
        <f t="shared" si="4"/>
        <v>535.80599999999993</v>
      </c>
      <c r="M26" s="77">
        <f t="shared" si="4"/>
        <v>546.52211999999997</v>
      </c>
      <c r="N26" s="77">
        <f t="shared" si="4"/>
        <v>557.45256240000003</v>
      </c>
      <c r="O26" s="77">
        <f t="shared" si="4"/>
        <v>568.60161364800001</v>
      </c>
      <c r="P26" s="77">
        <f t="shared" si="4"/>
        <v>579.97364592096005</v>
      </c>
      <c r="Q26" s="77">
        <f t="shared" si="4"/>
        <v>591.57311883937928</v>
      </c>
      <c r="R26" s="77">
        <f t="shared" si="4"/>
        <v>603.40458121616689</v>
      </c>
      <c r="S26" s="77">
        <f t="shared" si="4"/>
        <v>615.47267284049019</v>
      </c>
      <c r="T26" s="77">
        <f t="shared" si="4"/>
        <v>627.78212629730001</v>
      </c>
      <c r="U26" s="77">
        <f t="shared" si="4"/>
        <v>640.33776882324605</v>
      </c>
      <c r="V26" s="77">
        <f t="shared" si="4"/>
        <v>653.14452419971099</v>
      </c>
      <c r="W26" s="77">
        <f t="shared" si="4"/>
        <v>666.20741468370522</v>
      </c>
      <c r="X26" s="77">
        <f t="shared" si="4"/>
        <v>679.53156297737939</v>
      </c>
      <c r="Y26" s="77">
        <f t="shared" si="4"/>
        <v>693.12219423692704</v>
      </c>
      <c r="Z26" s="77">
        <f t="shared" si="4"/>
        <v>706.98463812166563</v>
      </c>
      <c r="AA26" s="78">
        <f t="shared" si="4"/>
        <v>721.12433088409898</v>
      </c>
    </row>
    <row r="27" spans="1:28" ht="15.75" x14ac:dyDescent="0.25">
      <c r="A27" s="17" t="s">
        <v>41</v>
      </c>
      <c r="B27" s="18"/>
      <c r="C27" s="18"/>
      <c r="D27" s="18"/>
      <c r="E27" s="18"/>
      <c r="F27" s="18"/>
      <c r="G27" s="18"/>
      <c r="H27" s="63">
        <v>175800</v>
      </c>
      <c r="I27" s="64">
        <f>H27*(1+0.02)</f>
        <v>179316</v>
      </c>
      <c r="J27" s="64">
        <f t="shared" ref="J27:AA27" si="5">I27*(1+0.02)</f>
        <v>182902.32</v>
      </c>
      <c r="K27" s="64">
        <f t="shared" si="5"/>
        <v>186560.3664</v>
      </c>
      <c r="L27" s="64">
        <f t="shared" si="5"/>
        <v>190291.57372799999</v>
      </c>
      <c r="M27" s="64">
        <f t="shared" si="5"/>
        <v>194097.40520255998</v>
      </c>
      <c r="N27" s="64">
        <f t="shared" si="5"/>
        <v>197979.35330661118</v>
      </c>
      <c r="O27" s="64">
        <f t="shared" si="5"/>
        <v>201938.94037274341</v>
      </c>
      <c r="P27" s="64">
        <f t="shared" si="5"/>
        <v>205977.71918019827</v>
      </c>
      <c r="Q27" s="64">
        <f t="shared" si="5"/>
        <v>210097.27356380224</v>
      </c>
      <c r="R27" s="64">
        <f t="shared" si="5"/>
        <v>214299.21903507828</v>
      </c>
      <c r="S27" s="64">
        <f t="shared" si="5"/>
        <v>218585.20341577983</v>
      </c>
      <c r="T27" s="64">
        <f t="shared" si="5"/>
        <v>222956.90748409543</v>
      </c>
      <c r="U27" s="64">
        <f t="shared" si="5"/>
        <v>227416.04563377734</v>
      </c>
      <c r="V27" s="64">
        <f t="shared" si="5"/>
        <v>231964.36654645289</v>
      </c>
      <c r="W27" s="64">
        <f t="shared" si="5"/>
        <v>236603.65387738196</v>
      </c>
      <c r="X27" s="64">
        <f t="shared" si="5"/>
        <v>241335.72695492962</v>
      </c>
      <c r="Y27" s="64">
        <f t="shared" si="5"/>
        <v>246162.4414940282</v>
      </c>
      <c r="Z27" s="64">
        <f t="shared" si="5"/>
        <v>251085.69032390876</v>
      </c>
      <c r="AA27" s="65">
        <f t="shared" si="5"/>
        <v>256107.40413038695</v>
      </c>
    </row>
    <row r="28" spans="1:28" ht="15.75" x14ac:dyDescent="0.25">
      <c r="A28" s="17" t="s">
        <v>42</v>
      </c>
      <c r="B28" s="18"/>
      <c r="C28" s="18"/>
      <c r="D28" s="18"/>
      <c r="E28" s="18"/>
      <c r="F28" s="18"/>
      <c r="G28" s="18"/>
      <c r="H28" s="63">
        <f>4752000*0.02</f>
        <v>95040</v>
      </c>
      <c r="I28" s="64">
        <f>H28*(1+0.02)</f>
        <v>96940.800000000003</v>
      </c>
      <c r="J28" s="64">
        <f t="shared" ref="J28:AA28" si="6">I28*(1+0.02)</f>
        <v>98879.616000000009</v>
      </c>
      <c r="K28" s="64">
        <f t="shared" si="6"/>
        <v>100857.20832000001</v>
      </c>
      <c r="L28" s="64">
        <f t="shared" si="6"/>
        <v>102874.35248640001</v>
      </c>
      <c r="M28" s="64">
        <f t="shared" si="6"/>
        <v>104931.83953612801</v>
      </c>
      <c r="N28" s="64">
        <f t="shared" si="6"/>
        <v>107030.47632685058</v>
      </c>
      <c r="O28" s="64">
        <f t="shared" si="6"/>
        <v>109171.08585338759</v>
      </c>
      <c r="P28" s="64">
        <f t="shared" si="6"/>
        <v>111354.50757045535</v>
      </c>
      <c r="Q28" s="64">
        <f t="shared" si="6"/>
        <v>113581.59772186445</v>
      </c>
      <c r="R28" s="64">
        <f t="shared" si="6"/>
        <v>115853.22967630175</v>
      </c>
      <c r="S28" s="64">
        <f t="shared" si="6"/>
        <v>118170.29426982779</v>
      </c>
      <c r="T28" s="64">
        <f t="shared" si="6"/>
        <v>120533.70015522435</v>
      </c>
      <c r="U28" s="64">
        <f t="shared" si="6"/>
        <v>122944.37415832884</v>
      </c>
      <c r="V28" s="64">
        <f t="shared" si="6"/>
        <v>125403.26164149541</v>
      </c>
      <c r="W28" s="64">
        <f t="shared" si="6"/>
        <v>127911.32687432531</v>
      </c>
      <c r="X28" s="64">
        <f t="shared" si="6"/>
        <v>130469.55341181182</v>
      </c>
      <c r="Y28" s="64">
        <f t="shared" si="6"/>
        <v>133078.94448004806</v>
      </c>
      <c r="Z28" s="64">
        <f t="shared" si="6"/>
        <v>135740.52336964902</v>
      </c>
      <c r="AA28" s="65">
        <f t="shared" si="6"/>
        <v>138455.33383704201</v>
      </c>
    </row>
    <row r="29" spans="1:28" s="12" customFormat="1" ht="15.75" x14ac:dyDescent="0.25">
      <c r="A29" s="156" t="s">
        <v>82</v>
      </c>
      <c r="B29" s="157"/>
      <c r="C29" s="157"/>
      <c r="D29" s="157"/>
      <c r="E29" s="157"/>
      <c r="F29" s="157"/>
      <c r="G29" s="157"/>
      <c r="H29" s="131">
        <v>19354638</v>
      </c>
      <c r="I29" s="131">
        <v>19354638</v>
      </c>
      <c r="J29" s="131">
        <v>19354638</v>
      </c>
      <c r="K29" s="131">
        <v>19354638</v>
      </c>
      <c r="L29" s="75">
        <v>17318821.870000001</v>
      </c>
      <c r="M29" s="75">
        <v>17081501</v>
      </c>
      <c r="N29" s="75">
        <v>17081501</v>
      </c>
      <c r="O29" s="75">
        <v>17081501</v>
      </c>
      <c r="P29" s="75">
        <v>17081501</v>
      </c>
      <c r="Q29" s="75">
        <v>17081501</v>
      </c>
      <c r="R29" s="75">
        <v>20388157.309999999</v>
      </c>
      <c r="S29" s="75">
        <v>20342465</v>
      </c>
      <c r="T29" s="75">
        <v>20342465</v>
      </c>
      <c r="U29" s="75">
        <v>20342465</v>
      </c>
      <c r="V29" s="75">
        <v>20342465</v>
      </c>
      <c r="W29" s="75">
        <v>20680992</v>
      </c>
      <c r="X29" s="75">
        <v>20522752</v>
      </c>
      <c r="Y29" s="75">
        <v>20522752</v>
      </c>
      <c r="Z29" s="75">
        <v>20522752</v>
      </c>
      <c r="AA29" s="132">
        <v>20522752</v>
      </c>
    </row>
    <row r="30" spans="1:28" s="99" customFormat="1" ht="15.75" x14ac:dyDescent="0.25">
      <c r="A30" s="38" t="s">
        <v>46</v>
      </c>
      <c r="B30" s="102"/>
      <c r="C30" s="102"/>
      <c r="D30" s="102"/>
      <c r="E30" s="102"/>
      <c r="F30" s="102"/>
      <c r="G30" s="102"/>
      <c r="H30" s="103">
        <v>37000</v>
      </c>
      <c r="I30" s="103">
        <v>35150</v>
      </c>
      <c r="J30" s="103">
        <v>33392.5</v>
      </c>
      <c r="K30" s="104" t="s">
        <v>81</v>
      </c>
      <c r="L30" s="105" t="s">
        <v>81</v>
      </c>
      <c r="M30" s="105" t="s">
        <v>81</v>
      </c>
      <c r="N30" s="105" t="s">
        <v>81</v>
      </c>
      <c r="O30" s="106">
        <v>30000</v>
      </c>
      <c r="P30" s="107" t="s">
        <v>81</v>
      </c>
      <c r="Q30" s="108" t="s">
        <v>81</v>
      </c>
      <c r="R30" s="108" t="s">
        <v>81</v>
      </c>
      <c r="S30" s="109">
        <v>29540</v>
      </c>
      <c r="T30" s="104" t="s">
        <v>81</v>
      </c>
      <c r="U30" s="105" t="s">
        <v>81</v>
      </c>
      <c r="V30" s="105" t="s">
        <v>81</v>
      </c>
      <c r="W30" s="103">
        <v>29092</v>
      </c>
      <c r="X30" s="107" t="s">
        <v>81</v>
      </c>
      <c r="Y30" s="108" t="s">
        <v>81</v>
      </c>
      <c r="Z30" s="108" t="s">
        <v>81</v>
      </c>
      <c r="AA30" s="98">
        <v>28655.82</v>
      </c>
    </row>
    <row r="31" spans="1:28" s="12" customFormat="1" ht="15.75" x14ac:dyDescent="0.25">
      <c r="A31" s="17" t="s">
        <v>47</v>
      </c>
      <c r="B31" s="18"/>
      <c r="C31" s="18"/>
      <c r="D31" s="18"/>
      <c r="E31" s="18"/>
      <c r="F31" s="18"/>
      <c r="G31" s="18"/>
      <c r="H31" s="63">
        <v>80000</v>
      </c>
      <c r="I31" s="64">
        <f>H31+(H31*0.012)</f>
        <v>80960</v>
      </c>
      <c r="J31" s="64">
        <f t="shared" ref="J31:M31" si="7">I31+(I31*0.012)</f>
        <v>81931.520000000004</v>
      </c>
      <c r="K31" s="64">
        <f t="shared" si="7"/>
        <v>82914.698239999998</v>
      </c>
      <c r="L31" s="64">
        <f t="shared" si="7"/>
        <v>83909.674618880003</v>
      </c>
      <c r="M31" s="64">
        <f t="shared" si="7"/>
        <v>84916.590714306556</v>
      </c>
      <c r="N31" s="64">
        <f>M31+(M31*0.025)</f>
        <v>87039.505482164226</v>
      </c>
      <c r="O31" s="64">
        <f>N31+(N31*0.025)</f>
        <v>89215.493119218329</v>
      </c>
      <c r="P31" s="64">
        <f>O31+(O31*0.025)</f>
        <v>91445.880447198782</v>
      </c>
      <c r="Q31" s="64">
        <f>P31+(P31*0.025)</f>
        <v>93732.027458378754</v>
      </c>
      <c r="R31" s="64">
        <f>Q31+(Q31*0.03)</f>
        <v>96543.988282130114</v>
      </c>
      <c r="S31" s="64">
        <f t="shared" ref="S31:AA31" si="8">R31+(R31*0.03)</f>
        <v>99440.307930594019</v>
      </c>
      <c r="T31" s="64">
        <f t="shared" si="8"/>
        <v>102423.51716851184</v>
      </c>
      <c r="U31" s="64">
        <f t="shared" si="8"/>
        <v>105496.22268356719</v>
      </c>
      <c r="V31" s="64">
        <f t="shared" si="8"/>
        <v>108661.1093640742</v>
      </c>
      <c r="W31" s="64">
        <f t="shared" si="8"/>
        <v>111920.94264499642</v>
      </c>
      <c r="X31" s="64">
        <f t="shared" si="8"/>
        <v>115278.57092434632</v>
      </c>
      <c r="Y31" s="64">
        <f t="shared" si="8"/>
        <v>118736.92805207671</v>
      </c>
      <c r="Z31" s="64">
        <f t="shared" si="8"/>
        <v>122299.03589363901</v>
      </c>
      <c r="AA31" s="65">
        <f t="shared" si="8"/>
        <v>125968.00697044819</v>
      </c>
      <c r="AB31" s="133"/>
    </row>
    <row r="32" spans="1:28" s="12" customFormat="1" ht="15.75" x14ac:dyDescent="0.25">
      <c r="A32" s="17" t="s">
        <v>48</v>
      </c>
      <c r="B32" s="18"/>
      <c r="C32" s="18"/>
      <c r="D32" s="18"/>
      <c r="E32" s="18"/>
      <c r="F32" s="18"/>
      <c r="G32" s="18"/>
      <c r="H32" s="63">
        <v>88300</v>
      </c>
      <c r="I32" s="64">
        <f t="shared" ref="I32:Q32" si="9">H32+(H32*0.05)</f>
        <v>92715</v>
      </c>
      <c r="J32" s="64">
        <f t="shared" si="9"/>
        <v>97350.75</v>
      </c>
      <c r="K32" s="64">
        <f t="shared" si="9"/>
        <v>102218.28750000001</v>
      </c>
      <c r="L32" s="64">
        <f t="shared" si="9"/>
        <v>107329.201875</v>
      </c>
      <c r="M32" s="64">
        <f t="shared" si="9"/>
        <v>112695.66196875001</v>
      </c>
      <c r="N32" s="64">
        <f t="shared" si="9"/>
        <v>118330.44506718751</v>
      </c>
      <c r="O32" s="64">
        <f t="shared" si="9"/>
        <v>124246.96732054689</v>
      </c>
      <c r="P32" s="64">
        <f t="shared" si="9"/>
        <v>130459.31568657423</v>
      </c>
      <c r="Q32" s="64">
        <f t="shared" si="9"/>
        <v>136982.28147090293</v>
      </c>
      <c r="R32" s="64">
        <f>Q32+(Q32*0.04)</f>
        <v>142461.57272973904</v>
      </c>
      <c r="S32" s="64">
        <f t="shared" ref="S32:T32" si="10">R32+(R32*0.04)</f>
        <v>148160.03563892859</v>
      </c>
      <c r="T32" s="64">
        <f t="shared" si="10"/>
        <v>154086.43706448574</v>
      </c>
      <c r="U32" s="64">
        <f>T32+(T32*0.04)</f>
        <v>160249.89454706517</v>
      </c>
      <c r="V32" s="64">
        <f>U32+(U32*0.04)</f>
        <v>166659.89032894777</v>
      </c>
      <c r="W32" s="64">
        <f t="shared" ref="W32:AA32" si="11">V32+(V32*0.028)</f>
        <v>171326.36725815831</v>
      </c>
      <c r="X32" s="64">
        <f t="shared" si="11"/>
        <v>176123.50554138675</v>
      </c>
      <c r="Y32" s="64">
        <f t="shared" si="11"/>
        <v>181054.96369654557</v>
      </c>
      <c r="Z32" s="64">
        <f t="shared" si="11"/>
        <v>186124.50268004884</v>
      </c>
      <c r="AA32" s="65">
        <f t="shared" si="11"/>
        <v>191335.98875509022</v>
      </c>
    </row>
    <row r="33" spans="1:29" s="12" customFormat="1" ht="15.75" x14ac:dyDescent="0.25">
      <c r="A33" s="4" t="s">
        <v>49</v>
      </c>
      <c r="B33" s="18"/>
      <c r="C33" s="18"/>
      <c r="D33" s="18"/>
      <c r="E33" s="18"/>
      <c r="F33" s="18"/>
      <c r="G33" s="18"/>
      <c r="H33" s="63">
        <v>525000</v>
      </c>
      <c r="I33" s="64">
        <f>H33+(H33*0.03)</f>
        <v>540750</v>
      </c>
      <c r="J33" s="64">
        <f>I33+(I33*0.03)</f>
        <v>556972.5</v>
      </c>
      <c r="K33" s="64">
        <f>J33+(J33*0.03)</f>
        <v>573681.67500000005</v>
      </c>
      <c r="L33" s="64">
        <f>K33+(K33*0.03)</f>
        <v>590892.12525000004</v>
      </c>
      <c r="M33" s="64">
        <f>L33+(L33*0.03)</f>
        <v>608618.88900750002</v>
      </c>
      <c r="N33" s="64">
        <f t="shared" ref="N33:AA33" si="12">M33+(M33*0.035)</f>
        <v>629920.55012276256</v>
      </c>
      <c r="O33" s="64">
        <f t="shared" si="12"/>
        <v>651967.7693770593</v>
      </c>
      <c r="P33" s="64">
        <f t="shared" si="12"/>
        <v>674786.6413052564</v>
      </c>
      <c r="Q33" s="64">
        <f t="shared" si="12"/>
        <v>698404.17375094036</v>
      </c>
      <c r="R33" s="64">
        <f t="shared" si="12"/>
        <v>722848.31983222323</v>
      </c>
      <c r="S33" s="64">
        <f t="shared" si="12"/>
        <v>748148.01102635101</v>
      </c>
      <c r="T33" s="64">
        <f t="shared" si="12"/>
        <v>774333.19141227333</v>
      </c>
      <c r="U33" s="64">
        <f t="shared" si="12"/>
        <v>801434.85311170295</v>
      </c>
      <c r="V33" s="64">
        <f t="shared" si="12"/>
        <v>829485.07297061256</v>
      </c>
      <c r="W33" s="64">
        <f t="shared" si="12"/>
        <v>858517.05052458402</v>
      </c>
      <c r="X33" s="64">
        <f t="shared" si="12"/>
        <v>888565.14729294449</v>
      </c>
      <c r="Y33" s="64">
        <f t="shared" si="12"/>
        <v>919664.9274481975</v>
      </c>
      <c r="Z33" s="64">
        <f t="shared" si="12"/>
        <v>951853.19990888448</v>
      </c>
      <c r="AA33" s="65">
        <f t="shared" si="12"/>
        <v>985168.06190569547</v>
      </c>
      <c r="AB33" s="133"/>
    </row>
    <row r="34" spans="1:29" s="28" customFormat="1" ht="15.75" x14ac:dyDescent="0.25">
      <c r="A34" s="17" t="s">
        <v>50</v>
      </c>
      <c r="B34" s="18"/>
      <c r="C34" s="18"/>
      <c r="D34" s="18"/>
      <c r="E34" s="18"/>
      <c r="F34" s="18"/>
      <c r="G34" s="18"/>
      <c r="H34" s="63">
        <v>17500000</v>
      </c>
      <c r="I34" s="64">
        <f>H34-(H34*0.02)</f>
        <v>17150000</v>
      </c>
      <c r="J34" s="64">
        <f>I34-(I34*0.02)</f>
        <v>16807000</v>
      </c>
      <c r="K34" s="64">
        <f>J34-(J34*0.02)</f>
        <v>16470860</v>
      </c>
      <c r="L34" s="64">
        <f>K34-(K34*0.02)</f>
        <v>16141442.800000001</v>
      </c>
      <c r="M34" s="64">
        <f t="shared" ref="M34:R34" si="13">L34-(L34*0.08)</f>
        <v>14850127.376</v>
      </c>
      <c r="N34" s="64">
        <f t="shared" si="13"/>
        <v>13662117.18592</v>
      </c>
      <c r="O34" s="64">
        <f t="shared" si="13"/>
        <v>12569147.811046399</v>
      </c>
      <c r="P34" s="64">
        <f t="shared" si="13"/>
        <v>11563615.986162687</v>
      </c>
      <c r="Q34" s="64">
        <f t="shared" si="13"/>
        <v>10638526.707269672</v>
      </c>
      <c r="R34" s="64">
        <f t="shared" si="13"/>
        <v>9787444.5706880987</v>
      </c>
      <c r="S34" s="64">
        <f t="shared" ref="S34:AA34" si="14">R34-(R34*0.13)</f>
        <v>8515076.7764986455</v>
      </c>
      <c r="T34" s="64">
        <f t="shared" si="14"/>
        <v>7408116.7955538221</v>
      </c>
      <c r="U34" s="64">
        <f t="shared" si="14"/>
        <v>6445061.6121318247</v>
      </c>
      <c r="V34" s="64">
        <f t="shared" si="14"/>
        <v>5607203.6025546873</v>
      </c>
      <c r="W34" s="64">
        <f t="shared" si="14"/>
        <v>4878267.1342225783</v>
      </c>
      <c r="X34" s="64">
        <f t="shared" si="14"/>
        <v>4244092.4067736436</v>
      </c>
      <c r="Y34" s="64">
        <f t="shared" si="14"/>
        <v>3692360.3938930701</v>
      </c>
      <c r="Z34" s="64">
        <f t="shared" si="14"/>
        <v>3212353.5426869709</v>
      </c>
      <c r="AA34" s="65">
        <f t="shared" si="14"/>
        <v>2794747.5821376648</v>
      </c>
    </row>
    <row r="35" spans="1:29" s="27" customFormat="1" ht="15.75" x14ac:dyDescent="0.25">
      <c r="A35" s="17" t="s">
        <v>51</v>
      </c>
      <c r="B35" s="18"/>
      <c r="C35" s="18"/>
      <c r="D35" s="18"/>
      <c r="E35" s="18"/>
      <c r="F35" s="18"/>
      <c r="G35" s="18"/>
      <c r="H35" s="63">
        <v>200000</v>
      </c>
      <c r="I35" s="64">
        <f t="shared" ref="I35:AA35" si="15">H35*1.02</f>
        <v>204000</v>
      </c>
      <c r="J35" s="64">
        <f t="shared" si="15"/>
        <v>208080</v>
      </c>
      <c r="K35" s="64">
        <f t="shared" si="15"/>
        <v>212241.6</v>
      </c>
      <c r="L35" s="64">
        <f t="shared" si="15"/>
        <v>216486.432</v>
      </c>
      <c r="M35" s="64">
        <f t="shared" si="15"/>
        <v>220816.16064000002</v>
      </c>
      <c r="N35" s="64">
        <f t="shared" si="15"/>
        <v>225232.48385280001</v>
      </c>
      <c r="O35" s="64">
        <f t="shared" si="15"/>
        <v>229737.13352985602</v>
      </c>
      <c r="P35" s="64">
        <f t="shared" si="15"/>
        <v>234331.87620045315</v>
      </c>
      <c r="Q35" s="64">
        <f t="shared" si="15"/>
        <v>239018.51372446222</v>
      </c>
      <c r="R35" s="64">
        <f t="shared" si="15"/>
        <v>243798.88399895147</v>
      </c>
      <c r="S35" s="64">
        <f t="shared" si="15"/>
        <v>248674.86167893049</v>
      </c>
      <c r="T35" s="64">
        <f t="shared" si="15"/>
        <v>253648.35891250911</v>
      </c>
      <c r="U35" s="64">
        <f t="shared" si="15"/>
        <v>258721.32609075931</v>
      </c>
      <c r="V35" s="64">
        <f t="shared" si="15"/>
        <v>263895.75261257449</v>
      </c>
      <c r="W35" s="64">
        <f t="shared" si="15"/>
        <v>269173.66766482597</v>
      </c>
      <c r="X35" s="64">
        <f t="shared" si="15"/>
        <v>274557.14101812249</v>
      </c>
      <c r="Y35" s="64">
        <f t="shared" si="15"/>
        <v>280048.28383848496</v>
      </c>
      <c r="Z35" s="64">
        <f t="shared" si="15"/>
        <v>285649.24951525469</v>
      </c>
      <c r="AA35" s="65">
        <f t="shared" si="15"/>
        <v>291362.23450555978</v>
      </c>
    </row>
    <row r="36" spans="1:29" ht="15.75" x14ac:dyDescent="0.25">
      <c r="A36" s="17" t="s">
        <v>90</v>
      </c>
      <c r="B36" s="18"/>
      <c r="C36" s="18"/>
      <c r="D36" s="18"/>
      <c r="E36" s="18"/>
      <c r="F36" s="18"/>
      <c r="G36" s="18"/>
      <c r="H36" s="63">
        <v>125000</v>
      </c>
      <c r="I36" s="64">
        <f t="shared" ref="I36:AA36" si="16">H36*1.02</f>
        <v>127500</v>
      </c>
      <c r="J36" s="64">
        <f t="shared" si="16"/>
        <v>130050</v>
      </c>
      <c r="K36" s="64">
        <f t="shared" si="16"/>
        <v>132651</v>
      </c>
      <c r="L36" s="64">
        <f t="shared" si="16"/>
        <v>135304.01999999999</v>
      </c>
      <c r="M36" s="64">
        <f t="shared" si="16"/>
        <v>138010.1004</v>
      </c>
      <c r="N36" s="64">
        <f t="shared" si="16"/>
        <v>140770.30240799999</v>
      </c>
      <c r="O36" s="64">
        <f t="shared" si="16"/>
        <v>143585.70845615998</v>
      </c>
      <c r="P36" s="64">
        <f t="shared" si="16"/>
        <v>146457.42262528319</v>
      </c>
      <c r="Q36" s="64">
        <f t="shared" si="16"/>
        <v>149386.57107778886</v>
      </c>
      <c r="R36" s="64">
        <f t="shared" si="16"/>
        <v>152374.30249934463</v>
      </c>
      <c r="S36" s="64">
        <f t="shared" si="16"/>
        <v>155421.78854933151</v>
      </c>
      <c r="T36" s="64">
        <f t="shared" si="16"/>
        <v>158530.22432031814</v>
      </c>
      <c r="U36" s="64">
        <f t="shared" si="16"/>
        <v>161700.82880672452</v>
      </c>
      <c r="V36" s="64">
        <f t="shared" si="16"/>
        <v>164934.845382859</v>
      </c>
      <c r="W36" s="64">
        <f t="shared" si="16"/>
        <v>168233.54229051617</v>
      </c>
      <c r="X36" s="64">
        <f t="shared" si="16"/>
        <v>171598.21313632649</v>
      </c>
      <c r="Y36" s="64">
        <f t="shared" si="16"/>
        <v>175030.17739905303</v>
      </c>
      <c r="Z36" s="64">
        <f t="shared" si="16"/>
        <v>178530.7809470341</v>
      </c>
      <c r="AA36" s="65">
        <f t="shared" si="16"/>
        <v>182101.39656597478</v>
      </c>
    </row>
    <row r="37" spans="1:29" ht="15.75" x14ac:dyDescent="0.25">
      <c r="A37" s="17" t="s">
        <v>87</v>
      </c>
      <c r="B37" s="18"/>
      <c r="C37" s="18"/>
      <c r="D37" s="18"/>
      <c r="E37" s="18"/>
      <c r="F37" s="18"/>
      <c r="G37" s="18"/>
      <c r="H37" s="63">
        <v>2000000</v>
      </c>
      <c r="I37" s="64">
        <f t="shared" ref="I37:AA37" si="17">H37*1.02</f>
        <v>2040000</v>
      </c>
      <c r="J37" s="64">
        <f t="shared" si="17"/>
        <v>2080800</v>
      </c>
      <c r="K37" s="64">
        <f t="shared" si="17"/>
        <v>2122416</v>
      </c>
      <c r="L37" s="64">
        <f t="shared" si="17"/>
        <v>2164864.3199999998</v>
      </c>
      <c r="M37" s="64">
        <f t="shared" si="17"/>
        <v>2208161.6063999999</v>
      </c>
      <c r="N37" s="64">
        <f t="shared" si="17"/>
        <v>2252324.8385279998</v>
      </c>
      <c r="O37" s="64">
        <f t="shared" si="17"/>
        <v>2297371.3352985596</v>
      </c>
      <c r="P37" s="64">
        <f t="shared" si="17"/>
        <v>2343318.762004531</v>
      </c>
      <c r="Q37" s="64">
        <f t="shared" si="17"/>
        <v>2390185.1372446218</v>
      </c>
      <c r="R37" s="64">
        <f t="shared" si="17"/>
        <v>2437988.8399895141</v>
      </c>
      <c r="S37" s="64">
        <f t="shared" si="17"/>
        <v>2486748.6167893042</v>
      </c>
      <c r="T37" s="64">
        <f t="shared" si="17"/>
        <v>2536483.5891250903</v>
      </c>
      <c r="U37" s="64">
        <f t="shared" si="17"/>
        <v>2587213.2609075923</v>
      </c>
      <c r="V37" s="64">
        <f t="shared" si="17"/>
        <v>2638957.526125744</v>
      </c>
      <c r="W37" s="64">
        <f t="shared" si="17"/>
        <v>2691736.6766482587</v>
      </c>
      <c r="X37" s="64">
        <f t="shared" si="17"/>
        <v>2745571.4101812239</v>
      </c>
      <c r="Y37" s="64">
        <f t="shared" si="17"/>
        <v>2800482.8383848486</v>
      </c>
      <c r="Z37" s="64">
        <f t="shared" si="17"/>
        <v>2856492.4951525456</v>
      </c>
      <c r="AA37" s="65">
        <f t="shared" si="17"/>
        <v>2913622.3450555964</v>
      </c>
    </row>
    <row r="38" spans="1:29" ht="15.75" x14ac:dyDescent="0.25">
      <c r="A38" s="38" t="s">
        <v>52</v>
      </c>
      <c r="B38" s="102"/>
      <c r="C38" s="102"/>
      <c r="D38" s="102"/>
      <c r="E38" s="102"/>
      <c r="F38" s="102"/>
      <c r="G38" s="102"/>
      <c r="H38" s="63">
        <v>8000000</v>
      </c>
      <c r="I38" s="75">
        <f t="shared" ref="I38:J38" si="18">H38+(H38*0.025)</f>
        <v>8200000</v>
      </c>
      <c r="J38" s="75">
        <f t="shared" si="18"/>
        <v>8405000</v>
      </c>
      <c r="K38" s="75">
        <f>J38-(J38*0.25)</f>
        <v>6303750</v>
      </c>
      <c r="L38" s="75">
        <f>K38-(K38*0.25)</f>
        <v>4727812.5</v>
      </c>
      <c r="M38" s="75">
        <f t="shared" ref="M38:AA38" si="19">L38+(L38*0.005)</f>
        <v>4751451.5625</v>
      </c>
      <c r="N38" s="75">
        <f t="shared" si="19"/>
        <v>4775208.8203125</v>
      </c>
      <c r="O38" s="75">
        <f t="shared" si="19"/>
        <v>4799084.8644140624</v>
      </c>
      <c r="P38" s="75">
        <f t="shared" si="19"/>
        <v>4823080.2887361329</v>
      </c>
      <c r="Q38" s="75">
        <f t="shared" si="19"/>
        <v>4847195.6901798137</v>
      </c>
      <c r="R38" s="75">
        <f t="shared" si="19"/>
        <v>4871431.6686307127</v>
      </c>
      <c r="S38" s="75">
        <f t="shared" si="19"/>
        <v>4895788.8269738667</v>
      </c>
      <c r="T38" s="75">
        <f t="shared" si="19"/>
        <v>4920267.7711087363</v>
      </c>
      <c r="U38" s="75">
        <f t="shared" si="19"/>
        <v>4944869.1099642804</v>
      </c>
      <c r="V38" s="75">
        <f t="shared" si="19"/>
        <v>4969593.4555141022</v>
      </c>
      <c r="W38" s="75">
        <f t="shared" si="19"/>
        <v>4994441.4227916729</v>
      </c>
      <c r="X38" s="75">
        <f t="shared" si="19"/>
        <v>5019413.6299056308</v>
      </c>
      <c r="Y38" s="75">
        <f t="shared" si="19"/>
        <v>5044510.6980551593</v>
      </c>
      <c r="Z38" s="75">
        <f t="shared" si="19"/>
        <v>5069733.2515454348</v>
      </c>
      <c r="AA38" s="76">
        <f t="shared" si="19"/>
        <v>5095081.9178031618</v>
      </c>
    </row>
    <row r="39" spans="1:29" ht="21" customHeight="1" x14ac:dyDescent="0.25">
      <c r="A39" s="145" t="s">
        <v>54</v>
      </c>
      <c r="B39" s="152"/>
      <c r="C39" s="152"/>
      <c r="D39" s="152"/>
      <c r="E39" s="152"/>
      <c r="F39" s="152"/>
      <c r="G39" s="152"/>
      <c r="H39" s="152"/>
      <c r="I39" s="152"/>
      <c r="J39" s="152"/>
      <c r="K39" s="152"/>
      <c r="L39" s="152"/>
      <c r="M39" s="152"/>
      <c r="N39" s="152"/>
      <c r="O39" s="152"/>
      <c r="P39" s="152"/>
      <c r="Q39" s="152"/>
      <c r="R39" s="152"/>
      <c r="S39" s="152"/>
      <c r="T39" s="152"/>
      <c r="U39" s="152"/>
      <c r="V39" s="152"/>
      <c r="W39" s="152"/>
      <c r="X39" s="152"/>
      <c r="Y39" s="152"/>
      <c r="Z39" s="152"/>
      <c r="AA39" s="153"/>
    </row>
    <row r="40" spans="1:29" ht="15.75" x14ac:dyDescent="0.25">
      <c r="A40" s="17" t="s">
        <v>55</v>
      </c>
      <c r="B40" s="18"/>
      <c r="C40" s="18"/>
      <c r="D40" s="18"/>
      <c r="E40" s="18"/>
      <c r="F40" s="18"/>
      <c r="G40" s="18"/>
      <c r="H40" s="63">
        <f>CCA!D7</f>
        <v>576420</v>
      </c>
      <c r="I40" s="63">
        <f>CCA!E7</f>
        <v>1129783.2</v>
      </c>
      <c r="J40" s="63">
        <f>CCA!F7</f>
        <v>1084591.872</v>
      </c>
      <c r="K40" s="63">
        <f>CCA!G7</f>
        <v>1041208.19712</v>
      </c>
      <c r="L40" s="63">
        <f>CCA!H7</f>
        <v>999559.86923519999</v>
      </c>
      <c r="M40" s="63">
        <f>CCA!I7</f>
        <v>959577.47446579207</v>
      </c>
      <c r="N40" s="63">
        <f>CCA!J7</f>
        <v>921194.3754871604</v>
      </c>
      <c r="O40" s="63">
        <f>CCA!K7</f>
        <v>884346.60046767385</v>
      </c>
      <c r="P40" s="63">
        <f>CCA!L7</f>
        <v>848972.73644896701</v>
      </c>
      <c r="Q40" s="63">
        <f>CCA!M7</f>
        <v>1615013.8269910084</v>
      </c>
      <c r="R40" s="63">
        <f>CCA!N7</f>
        <v>1550413.2739113679</v>
      </c>
      <c r="S40" s="63">
        <f>CCA!O7</f>
        <v>1488396.7429549133</v>
      </c>
      <c r="T40" s="63">
        <f>CCA!P7</f>
        <v>1428860.8732367167</v>
      </c>
      <c r="U40" s="63">
        <f>CCA!Q7</f>
        <v>1371706.4383072481</v>
      </c>
      <c r="V40" s="63">
        <f>CCA!R7</f>
        <v>1316838.1807749581</v>
      </c>
      <c r="W40" s="63">
        <f>CCA!S7</f>
        <v>1264164.6535439598</v>
      </c>
      <c r="X40" s="63">
        <f>CCA!T7</f>
        <v>1213598.0674022015</v>
      </c>
      <c r="Y40" s="63">
        <f>CCA!U7</f>
        <v>1165054.1447061133</v>
      </c>
      <c r="Z40" s="63">
        <f>CCA!V7</f>
        <v>1118451.9789178688</v>
      </c>
      <c r="AA40" s="66">
        <f>CCA!W7</f>
        <v>1073713.8997611541</v>
      </c>
    </row>
    <row r="41" spans="1:29" ht="15.75" x14ac:dyDescent="0.25">
      <c r="A41" s="17" t="s">
        <v>56</v>
      </c>
      <c r="B41" s="18"/>
      <c r="C41" s="18"/>
      <c r="D41" s="18"/>
      <c r="E41" s="18"/>
      <c r="F41" s="18"/>
      <c r="G41" s="18"/>
      <c r="H41" s="63">
        <f>CCA!D15</f>
        <v>7500000</v>
      </c>
      <c r="I41" s="63">
        <f>CCA!E15</f>
        <v>12750000</v>
      </c>
      <c r="J41" s="63">
        <f>CCA!F15</f>
        <v>8925000</v>
      </c>
      <c r="K41" s="63">
        <f>CCA!G15</f>
        <v>6247500</v>
      </c>
      <c r="L41" s="63">
        <f>CCA!H15</f>
        <v>7373400</v>
      </c>
      <c r="M41" s="63">
        <f>CCA!I15</f>
        <v>5161380</v>
      </c>
      <c r="N41" s="63">
        <f>CCA!J15</f>
        <v>3612966</v>
      </c>
      <c r="O41" s="63">
        <f>CCA!K15</f>
        <v>2529076.1999999997</v>
      </c>
      <c r="P41" s="63">
        <f>CCA!L15</f>
        <v>1770353.3399999992</v>
      </c>
      <c r="Q41" s="63">
        <f>CCA!M15</f>
        <v>5682997.3380000005</v>
      </c>
      <c r="R41" s="63">
        <f>CCA!N15</f>
        <v>3978098.1366000003</v>
      </c>
      <c r="S41" s="63">
        <f>CCA!O15</f>
        <v>2784668.6956199994</v>
      </c>
      <c r="T41" s="63">
        <f>CCA!P15</f>
        <v>1949268.0869340017</v>
      </c>
      <c r="U41" s="63">
        <f>CCA!Q15</f>
        <v>1364487.6608538015</v>
      </c>
      <c r="V41" s="63">
        <f>CCA!R15</f>
        <v>5167291.3625976602</v>
      </c>
      <c r="W41" s="63">
        <f>CCA!S15</f>
        <v>3617103.9538183627</v>
      </c>
      <c r="X41" s="63">
        <f>CCA!T15</f>
        <v>2531972.7676728531</v>
      </c>
      <c r="Y41" s="63">
        <f>CCA!U15</f>
        <v>1772380.9373709976</v>
      </c>
      <c r="Z41" s="63">
        <f>CCA!V15</f>
        <v>5515998.9061596971</v>
      </c>
      <c r="AA41" s="66">
        <f>CCA!W15</f>
        <v>3861199.2343117874</v>
      </c>
    </row>
    <row r="42" spans="1:29" ht="15.75" x14ac:dyDescent="0.25">
      <c r="A42" s="17" t="s">
        <v>57</v>
      </c>
      <c r="B42" s="18"/>
      <c r="C42" s="18"/>
      <c r="D42" s="18"/>
      <c r="E42" s="18"/>
      <c r="F42" s="18"/>
      <c r="G42" s="18"/>
      <c r="H42" s="63">
        <f>CCA!D21</f>
        <v>11000</v>
      </c>
      <c r="I42" s="63">
        <f>CCA!E21</f>
        <v>19800</v>
      </c>
      <c r="J42" s="63">
        <f>CCA!F21</f>
        <v>15840</v>
      </c>
      <c r="K42" s="63">
        <f>CCA!G21</f>
        <v>12672</v>
      </c>
      <c r="L42" s="63">
        <f>CCA!H21</f>
        <v>10137.6</v>
      </c>
      <c r="M42" s="63">
        <f>CCA!I21</f>
        <v>8110.079999999999</v>
      </c>
      <c r="N42" s="63">
        <f>CCA!J21</f>
        <v>6488.0639999999985</v>
      </c>
      <c r="O42" s="63">
        <f>CCA!K21</f>
        <v>5190.4511999999995</v>
      </c>
      <c r="P42" s="63">
        <f>CCA!L21</f>
        <v>4152.36096</v>
      </c>
      <c r="Q42" s="63">
        <f>CCA!M21</f>
        <v>5321.8887679999989</v>
      </c>
      <c r="R42" s="63">
        <f>CCA!N21</f>
        <v>4257.5110143999982</v>
      </c>
      <c r="S42" s="63">
        <f>CCA!O21</f>
        <v>3406.0088115199997</v>
      </c>
      <c r="T42" s="63">
        <f>CCA!P21</f>
        <v>2724.8070492159986</v>
      </c>
      <c r="U42" s="63">
        <f>CCA!Q21</f>
        <v>2179.8456393727975</v>
      </c>
      <c r="V42" s="63">
        <f>CCA!R21</f>
        <v>1743.876511498238</v>
      </c>
      <c r="W42" s="63">
        <f>CCA!S21</f>
        <v>1395.1012091985904</v>
      </c>
      <c r="X42" s="63">
        <f>CCA!T21</f>
        <v>1116.0809673588724</v>
      </c>
      <c r="Y42" s="63">
        <f>CCA!U21</f>
        <v>892.86477388709909</v>
      </c>
      <c r="Z42" s="63">
        <f>CCA!V21</f>
        <v>714.29181910968043</v>
      </c>
      <c r="AA42" s="66">
        <f>CCA!W21</f>
        <v>571.43345528774375</v>
      </c>
    </row>
    <row r="43" spans="1:29" ht="15.75" x14ac:dyDescent="0.25">
      <c r="A43" s="17" t="s">
        <v>95</v>
      </c>
      <c r="B43" s="18"/>
      <c r="C43" s="18"/>
      <c r="D43" s="18"/>
      <c r="E43" s="18"/>
      <c r="F43" s="18"/>
      <c r="G43" s="18"/>
      <c r="H43" s="63">
        <f>CCA!D25</f>
        <v>2500000</v>
      </c>
      <c r="I43" s="63">
        <f>CCA!E25</f>
        <v>4875000</v>
      </c>
      <c r="J43" s="63">
        <f>CCA!F25</f>
        <v>4631250</v>
      </c>
      <c r="K43" s="63">
        <f>CCA!G25</f>
        <v>4399687.5</v>
      </c>
      <c r="L43" s="63">
        <f>CCA!H25</f>
        <v>4179703.125</v>
      </c>
      <c r="M43" s="63">
        <f>CCA!I25</f>
        <v>3970717.96875</v>
      </c>
      <c r="N43" s="63">
        <f>CCA!J25</f>
        <v>3772182.0703125</v>
      </c>
      <c r="O43" s="63">
        <f>CCA!K25</f>
        <v>3583572.966796875</v>
      </c>
      <c r="P43" s="63">
        <f>CCA!L25</f>
        <v>3404394.3184570316</v>
      </c>
      <c r="Q43" s="63">
        <f>CCA!M25</f>
        <v>3234174.60253418</v>
      </c>
      <c r="R43" s="63">
        <f>CCA!N25</f>
        <v>3072465.8724074708</v>
      </c>
      <c r="S43" s="63">
        <f>CCA!O25</f>
        <v>2918842.5787870972</v>
      </c>
      <c r="T43" s="63">
        <f>CCA!P25</f>
        <v>2772900.4498477424</v>
      </c>
      <c r="U43" s="63">
        <f>CCA!Q25</f>
        <v>2634255.4273553551</v>
      </c>
      <c r="V43" s="63">
        <f>CCA!R25</f>
        <v>2502542.6559875873</v>
      </c>
      <c r="W43" s="63">
        <f>CCA!S25</f>
        <v>2377415.5231882078</v>
      </c>
      <c r="X43" s="63">
        <f>CCA!T25</f>
        <v>2258544.7470287974</v>
      </c>
      <c r="Y43" s="63">
        <f>CCA!U25</f>
        <v>2145617.5096773575</v>
      </c>
      <c r="Z43" s="63">
        <f>CCA!V25</f>
        <v>2038336.6341934893</v>
      </c>
      <c r="AA43" s="63">
        <f>CCA!W25</f>
        <v>1936419.802483815</v>
      </c>
    </row>
    <row r="44" spans="1:29" ht="15.75" x14ac:dyDescent="0.25">
      <c r="A44" s="17" t="s">
        <v>58</v>
      </c>
      <c r="B44" s="18"/>
      <c r="C44" s="18"/>
      <c r="D44" s="18"/>
      <c r="E44" s="18"/>
      <c r="F44" s="18"/>
      <c r="G44" s="18"/>
      <c r="H44" s="63">
        <f>CCA!D29</f>
        <v>1250000</v>
      </c>
      <c r="I44" s="63">
        <f>CCA!E29</f>
        <v>4762500</v>
      </c>
      <c r="J44" s="63">
        <f>CCA!F29</f>
        <v>6224125</v>
      </c>
      <c r="K44" s="63">
        <f>CCA!G29</f>
        <v>5463768.75</v>
      </c>
      <c r="L44" s="63">
        <f>CCA!H29</f>
        <v>4869631.3125</v>
      </c>
      <c r="M44" s="63">
        <f>CCA!I29</f>
        <v>4400874.0918749999</v>
      </c>
      <c r="N44" s="63">
        <f>CCA!J29</f>
        <v>4026846.6581812501</v>
      </c>
      <c r="O44" s="63">
        <f>CCA!K29</f>
        <v>3724540.3502326868</v>
      </c>
      <c r="P44" s="63">
        <f>CCA!L29</f>
        <v>3476678.4585733619</v>
      </c>
      <c r="Q44" s="63">
        <f>CCA!M29</f>
        <v>5239260.6480530556</v>
      </c>
      <c r="R44" s="63">
        <f>CCA!N29</f>
        <v>6640149.8442865163</v>
      </c>
      <c r="S44" s="63">
        <f>CCA!O29</f>
        <v>5793323.6906889044</v>
      </c>
      <c r="T44" s="63">
        <f>CCA!P29</f>
        <v>5158204.0754906945</v>
      </c>
      <c r="U44" s="63">
        <f>CCA!Q29</f>
        <v>4665600.1379425563</v>
      </c>
      <c r="V44" s="63">
        <f>CCA!R29</f>
        <v>4280208.2431549653</v>
      </c>
      <c r="W44" s="63">
        <f>CCA!S29</f>
        <v>3975544.1592703126</v>
      </c>
      <c r="X44" s="63">
        <f>CCA!T29</f>
        <v>3731738.336818736</v>
      </c>
      <c r="Y44" s="63">
        <f>CCA!U29</f>
        <v>3533882.3656327352</v>
      </c>
      <c r="Z44" s="63">
        <f>CCA!V29</f>
        <v>3370788.814982865</v>
      </c>
      <c r="AA44" s="66">
        <f>CCA!W29</f>
        <v>3234061.1111802943</v>
      </c>
    </row>
    <row r="45" spans="1:29" ht="15.75" x14ac:dyDescent="0.25">
      <c r="A45" s="17"/>
      <c r="B45" s="18"/>
      <c r="C45" s="18"/>
      <c r="D45" s="18"/>
      <c r="E45" s="18"/>
      <c r="F45" s="18"/>
      <c r="G45" s="18"/>
      <c r="H45" s="63">
        <f>CCA!D37</f>
        <v>825000</v>
      </c>
      <c r="I45" s="63">
        <f>CCA!E37</f>
        <v>3057600</v>
      </c>
      <c r="J45" s="63">
        <f>CCA!F37</f>
        <v>2681400.4499999997</v>
      </c>
      <c r="K45" s="63">
        <f>CCA!G37</f>
        <v>1985196.4050000003</v>
      </c>
      <c r="L45" s="63">
        <f>CCA!H37</f>
        <v>1492532.95359</v>
      </c>
      <c r="M45" s="63">
        <f>CCA!I37</f>
        <v>1143971.2478730897</v>
      </c>
      <c r="N45" s="63">
        <f>CCA!J37</f>
        <v>800779.8735111627</v>
      </c>
      <c r="O45" s="63">
        <f>CCA!K37</f>
        <v>560545.91145781369</v>
      </c>
      <c r="P45" s="63">
        <f>CCA!L37</f>
        <v>392382.1380204694</v>
      </c>
      <c r="Q45" s="63">
        <f>CCA!M37</f>
        <v>274667.49661432876</v>
      </c>
      <c r="R45" s="63">
        <f>CCA!N37</f>
        <v>192267.24763002992</v>
      </c>
      <c r="S45" s="63">
        <f>CCA!O37</f>
        <v>995207.17464147077</v>
      </c>
      <c r="T45" s="63">
        <f>CCA!P37</f>
        <v>796200.76685037964</v>
      </c>
      <c r="U45" s="63">
        <f>CCA!Q37</f>
        <v>657167.11060441728</v>
      </c>
      <c r="V45" s="63">
        <f>CCA!R37</f>
        <v>560118.07673851738</v>
      </c>
      <c r="W45" s="63">
        <f>CCA!S37</f>
        <v>392082.65371696203</v>
      </c>
      <c r="X45" s="63">
        <f>CCA!T37</f>
        <v>274457.85760187317</v>
      </c>
      <c r="Y45" s="63">
        <f>CCA!U37</f>
        <v>192120.50032131112</v>
      </c>
      <c r="Z45" s="63">
        <f>CCA!V37</f>
        <v>134484.35022491813</v>
      </c>
      <c r="AA45" s="66">
        <f>CCA!W37</f>
        <v>94139.045157442233</v>
      </c>
      <c r="AB45" s="9"/>
    </row>
    <row r="46" spans="1:29" ht="15.75" x14ac:dyDescent="0.25">
      <c r="A46" s="17" t="s">
        <v>60</v>
      </c>
      <c r="B46" s="18"/>
      <c r="C46" s="18"/>
      <c r="D46" s="18"/>
      <c r="E46" s="18"/>
      <c r="F46" s="18"/>
      <c r="G46" s="18"/>
      <c r="H46" s="63">
        <f>CCA!D44</f>
        <v>3025000.0000000005</v>
      </c>
      <c r="I46" s="63">
        <f>CCA!E44</f>
        <v>6718250.0000000009</v>
      </c>
      <c r="J46" s="63">
        <f>CCA!F44</f>
        <v>5356587.4999999991</v>
      </c>
      <c r="K46" s="63">
        <f>CCA!G44</f>
        <v>2410464.375</v>
      </c>
      <c r="L46" s="63">
        <f>CCA!H44</f>
        <v>1084708.96875</v>
      </c>
      <c r="M46" s="63">
        <f>CCA!I44</f>
        <v>488119.03593750001</v>
      </c>
      <c r="N46" s="63">
        <f>CCA!J44</f>
        <v>274653.56617187546</v>
      </c>
      <c r="O46" s="63">
        <f>CCA!K44</f>
        <v>123594.10477734302</v>
      </c>
      <c r="P46" s="63">
        <f>CCA!L44</f>
        <v>55617.347149804053</v>
      </c>
      <c r="Q46" s="63">
        <f>CCA!M44</f>
        <v>6244187.1812174125</v>
      </c>
      <c r="R46" s="63">
        <f>CCA!N44</f>
        <v>2809884.2315478344</v>
      </c>
      <c r="S46" s="63">
        <f>CCA!O44</f>
        <v>1264447.9041965266</v>
      </c>
      <c r="T46" s="63">
        <f>CCA!P44</f>
        <v>569001.55688843678</v>
      </c>
      <c r="U46" s="63">
        <f>CCA!Q44</f>
        <v>283550.70059979748</v>
      </c>
      <c r="V46" s="63">
        <f>CCA!R44</f>
        <v>127597.81526990907</v>
      </c>
      <c r="W46" s="63">
        <f>CCA!S44</f>
        <v>57419.016871458669</v>
      </c>
      <c r="X46" s="63">
        <f>CCA!T44</f>
        <v>25838.557592155787</v>
      </c>
      <c r="Y46" s="63">
        <f>CCA!U44</f>
        <v>11627.350916469284</v>
      </c>
      <c r="Z46" s="63">
        <f>CCA!V44</f>
        <v>5232.3079124120995</v>
      </c>
      <c r="AA46" s="66">
        <f>CCA!W44</f>
        <v>2354.5385605849328</v>
      </c>
    </row>
    <row r="47" spans="1:29" ht="15.75" x14ac:dyDescent="0.25">
      <c r="A47" s="17" t="s">
        <v>91</v>
      </c>
      <c r="B47" s="18"/>
      <c r="C47" s="18"/>
      <c r="D47" s="18"/>
      <c r="E47" s="18"/>
      <c r="F47" s="18"/>
      <c r="G47" s="18"/>
      <c r="H47" s="63">
        <f>CCA!D48</f>
        <v>3000000</v>
      </c>
      <c r="I47" s="63">
        <f>CCA!E48</f>
        <v>5100000</v>
      </c>
      <c r="J47" s="63">
        <f>CCA!F48</f>
        <v>3570000</v>
      </c>
      <c r="K47" s="63">
        <f>CCA!G48</f>
        <v>2499000</v>
      </c>
      <c r="L47" s="63">
        <f>CCA!H48</f>
        <v>1749300</v>
      </c>
      <c r="M47" s="63">
        <f>CCA!I48</f>
        <v>1224510</v>
      </c>
      <c r="N47" s="63">
        <f>CCA!J48</f>
        <v>857157</v>
      </c>
      <c r="O47" s="63">
        <f>CCA!K48</f>
        <v>600009.9</v>
      </c>
      <c r="P47" s="63">
        <f>CCA!L48</f>
        <v>420006.93000000046</v>
      </c>
      <c r="Q47" s="63">
        <f>CCA!M48</f>
        <v>6444004.8510000007</v>
      </c>
      <c r="R47" s="63">
        <f>CCA!N48</f>
        <v>4510803.3957000002</v>
      </c>
      <c r="S47" s="63">
        <f>CCA!O48</f>
        <v>3157562.3769900003</v>
      </c>
      <c r="T47" s="63">
        <f>CCA!P48</f>
        <v>2210293.6638929998</v>
      </c>
      <c r="U47" s="63">
        <f>CCA!Q48</f>
        <v>1547205.5647251003</v>
      </c>
      <c r="V47" s="63">
        <f>CCA!R48</f>
        <v>1083043.89530757</v>
      </c>
      <c r="W47" s="63">
        <f>CCA!S48</f>
        <v>758130.72671529872</v>
      </c>
      <c r="X47" s="63">
        <f>CCA!T48</f>
        <v>530691.50870070979</v>
      </c>
      <c r="Y47" s="63">
        <f>CCA!U48</f>
        <v>371484.05609049794</v>
      </c>
      <c r="Z47" s="63">
        <f>CCA!V48</f>
        <v>260038.83926334901</v>
      </c>
      <c r="AA47" s="66">
        <f>CCA!W48</f>
        <v>182027.18748434409</v>
      </c>
    </row>
    <row r="48" spans="1:29" ht="17.649999999999999" customHeight="1" x14ac:dyDescent="0.25">
      <c r="A48" s="151" t="s">
        <v>61</v>
      </c>
      <c r="B48" s="151"/>
      <c r="C48" s="151"/>
      <c r="D48" s="151"/>
      <c r="E48" s="151"/>
      <c r="F48" s="151"/>
      <c r="G48" s="151"/>
      <c r="H48" s="67">
        <f t="shared" ref="H48:AA48" si="20">SUM(H22:H47)</f>
        <v>98007998</v>
      </c>
      <c r="I48" s="67">
        <f t="shared" si="20"/>
        <v>112727903</v>
      </c>
      <c r="J48" s="67">
        <f t="shared" si="20"/>
        <v>106815307.028</v>
      </c>
      <c r="K48" s="67">
        <f t="shared" si="20"/>
        <v>96069841.362579986</v>
      </c>
      <c r="L48" s="67">
        <f t="shared" si="20"/>
        <v>89986159.105033487</v>
      </c>
      <c r="M48" s="67">
        <f t="shared" si="20"/>
        <v>84240937.625390634</v>
      </c>
      <c r="N48" s="67">
        <f t="shared" si="20"/>
        <v>80160889.093793228</v>
      </c>
      <c r="O48" s="67">
        <f t="shared" si="20"/>
        <v>77033484.449018821</v>
      </c>
      <c r="P48" s="67">
        <f t="shared" si="20"/>
        <v>74560689.681932822</v>
      </c>
      <c r="Q48" s="67">
        <f t="shared" si="20"/>
        <v>92207927.51209271</v>
      </c>
      <c r="R48" s="67">
        <f t="shared" si="20"/>
        <v>88890873.898021251</v>
      </c>
      <c r="S48" s="67">
        <f t="shared" si="20"/>
        <v>83462844.024614796</v>
      </c>
      <c r="T48" s="67">
        <f t="shared" si="20"/>
        <v>79025334.284231097</v>
      </c>
      <c r="U48" s="67">
        <f t="shared" si="20"/>
        <v>75922890.616033837</v>
      </c>
      <c r="V48" s="67">
        <f t="shared" si="20"/>
        <v>77824806.4953942</v>
      </c>
      <c r="W48" s="67">
        <f t="shared" si="20"/>
        <v>75096644.049261227</v>
      </c>
      <c r="X48" s="67">
        <f t="shared" si="20"/>
        <v>72633841.154577807</v>
      </c>
      <c r="Y48" s="67">
        <f t="shared" si="20"/>
        <v>70946040.770396739</v>
      </c>
      <c r="Z48" s="67">
        <f t="shared" si="20"/>
        <v>73960790.808546215</v>
      </c>
      <c r="AA48" s="67">
        <f t="shared" si="20"/>
        <v>71761107.365371466</v>
      </c>
      <c r="AB48" s="146"/>
      <c r="AC48" s="146"/>
    </row>
    <row r="49" spans="1:29" ht="14.65" customHeight="1" x14ac:dyDescent="0.25">
      <c r="A49" s="17" t="s">
        <v>62</v>
      </c>
      <c r="B49" s="18"/>
      <c r="C49" s="18"/>
      <c r="D49" s="18"/>
      <c r="E49" s="18"/>
      <c r="F49" s="18"/>
      <c r="G49" s="18"/>
      <c r="H49" s="110">
        <f t="shared" ref="H49:AA49" si="21">H19-H48</f>
        <v>-44017998</v>
      </c>
      <c r="I49" s="110">
        <f t="shared" si="21"/>
        <v>-54297903</v>
      </c>
      <c r="J49" s="110">
        <f t="shared" si="21"/>
        <v>-36645307.027999997</v>
      </c>
      <c r="K49" s="110">
        <f t="shared" si="21"/>
        <v>-12489841.362579986</v>
      </c>
      <c r="L49" s="110">
        <f t="shared" si="21"/>
        <v>9043840.8949665129</v>
      </c>
      <c r="M49" s="110">
        <f t="shared" si="21"/>
        <v>32639062.374609366</v>
      </c>
      <c r="N49" s="110">
        <f t="shared" si="21"/>
        <v>57389110.906206772</v>
      </c>
      <c r="O49" s="110">
        <f t="shared" si="21"/>
        <v>84456515.550981179</v>
      </c>
      <c r="P49" s="110">
        <f t="shared" si="21"/>
        <v>114989310.31806718</v>
      </c>
      <c r="Q49" s="110">
        <f t="shared" si="21"/>
        <v>130002072.48790729</v>
      </c>
      <c r="R49" s="110">
        <f t="shared" si="21"/>
        <v>175799126.10197875</v>
      </c>
      <c r="S49" s="110">
        <f t="shared" si="21"/>
        <v>198767155.97538519</v>
      </c>
      <c r="T49" s="110">
        <f t="shared" si="21"/>
        <v>221884665.7157689</v>
      </c>
      <c r="U49" s="110">
        <f t="shared" si="21"/>
        <v>244837109.38396615</v>
      </c>
      <c r="V49" s="110">
        <f t="shared" si="21"/>
        <v>264065193.5046058</v>
      </c>
      <c r="W49" s="110">
        <f t="shared" si="21"/>
        <v>289243355.95073879</v>
      </c>
      <c r="X49" s="110">
        <f t="shared" si="21"/>
        <v>315596158.84542221</v>
      </c>
      <c r="Y49" s="110">
        <f t="shared" si="21"/>
        <v>342713959.22960329</v>
      </c>
      <c r="Z49" s="110">
        <f t="shared" si="21"/>
        <v>366749209.19145381</v>
      </c>
      <c r="AA49" s="68">
        <f t="shared" si="21"/>
        <v>397728892.63462853</v>
      </c>
    </row>
    <row r="50" spans="1:29" ht="14.65" customHeight="1" x14ac:dyDescent="0.25">
      <c r="A50" s="17" t="s">
        <v>63</v>
      </c>
      <c r="B50" s="18"/>
      <c r="C50" s="18"/>
      <c r="D50" s="18"/>
      <c r="E50" s="18"/>
      <c r="F50" s="18"/>
      <c r="G50" s="18"/>
      <c r="H50" s="110">
        <f>IF(H49&gt;0,19.04%*H49,0)</f>
        <v>0</v>
      </c>
      <c r="I50" s="110">
        <f>IF(I49&gt;0,19.04%*I49,0)</f>
        <v>0</v>
      </c>
      <c r="J50" s="110">
        <f>IF(J49&gt;0,19.04%*J49,0)</f>
        <v>0</v>
      </c>
      <c r="K50" s="110">
        <f t="shared" ref="K50:AA50" si="22">IF(K49&gt;0,19.04%*K49,0)</f>
        <v>0</v>
      </c>
      <c r="L50" s="110">
        <f t="shared" si="22"/>
        <v>1721947.3064016239</v>
      </c>
      <c r="M50" s="110">
        <f t="shared" si="22"/>
        <v>6214477.4761256231</v>
      </c>
      <c r="N50" s="110">
        <f t="shared" si="22"/>
        <v>10926886.716541769</v>
      </c>
      <c r="O50" s="110">
        <f t="shared" si="22"/>
        <v>16080520.560906814</v>
      </c>
      <c r="P50" s="110">
        <f t="shared" si="22"/>
        <v>21893964.68455999</v>
      </c>
      <c r="Q50" s="110">
        <f t="shared" si="22"/>
        <v>24752394.601697545</v>
      </c>
      <c r="R50" s="110">
        <f t="shared" si="22"/>
        <v>33472153.609816752</v>
      </c>
      <c r="S50" s="110">
        <f t="shared" si="22"/>
        <v>37845266.497713335</v>
      </c>
      <c r="T50" s="110">
        <f t="shared" si="22"/>
        <v>42246840.352282397</v>
      </c>
      <c r="U50" s="110">
        <f t="shared" si="22"/>
        <v>46616985.626707152</v>
      </c>
      <c r="V50" s="110">
        <f t="shared" si="22"/>
        <v>50278012.84327694</v>
      </c>
      <c r="W50" s="110">
        <f t="shared" si="22"/>
        <v>55071934.973020658</v>
      </c>
      <c r="X50" s="110">
        <f t="shared" si="22"/>
        <v>60089508.644168384</v>
      </c>
      <c r="Y50" s="110">
        <f t="shared" si="22"/>
        <v>65252737.837316461</v>
      </c>
      <c r="Z50" s="110">
        <f t="shared" si="22"/>
        <v>69829049.430052802</v>
      </c>
      <c r="AA50" s="68">
        <f t="shared" si="22"/>
        <v>75727581.15763326</v>
      </c>
    </row>
    <row r="51" spans="1:29" ht="14.65" customHeight="1" x14ac:dyDescent="0.25">
      <c r="A51" s="17" t="s">
        <v>64</v>
      </c>
      <c r="B51" s="18"/>
      <c r="C51" s="18"/>
      <c r="D51" s="18"/>
      <c r="E51" s="18"/>
      <c r="F51" s="18"/>
      <c r="G51" s="18"/>
      <c r="H51" s="111">
        <f>H49-H50</f>
        <v>-44017998</v>
      </c>
      <c r="I51" s="111">
        <f t="shared" ref="I51:AA51" si="23">I49-I50</f>
        <v>-54297903</v>
      </c>
      <c r="J51" s="111">
        <f t="shared" si="23"/>
        <v>-36645307.027999997</v>
      </c>
      <c r="K51" s="111">
        <f t="shared" si="23"/>
        <v>-12489841.362579986</v>
      </c>
      <c r="L51" s="111">
        <f t="shared" si="23"/>
        <v>7321893.5885648895</v>
      </c>
      <c r="M51" s="111">
        <f t="shared" si="23"/>
        <v>26424584.898483742</v>
      </c>
      <c r="N51" s="111">
        <f t="shared" si="23"/>
        <v>46462224.189665005</v>
      </c>
      <c r="O51" s="111">
        <f t="shared" si="23"/>
        <v>68375994.990074366</v>
      </c>
      <c r="P51" s="111">
        <f t="shared" si="23"/>
        <v>93095345.633507192</v>
      </c>
      <c r="Q51" s="111">
        <f t="shared" si="23"/>
        <v>105249677.88620974</v>
      </c>
      <c r="R51" s="111">
        <f t="shared" si="23"/>
        <v>142326972.49216199</v>
      </c>
      <c r="S51" s="111">
        <f t="shared" si="23"/>
        <v>160921889.47767186</v>
      </c>
      <c r="T51" s="111">
        <f t="shared" si="23"/>
        <v>179637825.3634865</v>
      </c>
      <c r="U51" s="111">
        <f t="shared" si="23"/>
        <v>198220123.75725901</v>
      </c>
      <c r="V51" s="111">
        <f t="shared" si="23"/>
        <v>213787180.66132885</v>
      </c>
      <c r="W51" s="111">
        <f t="shared" si="23"/>
        <v>234171420.97771811</v>
      </c>
      <c r="X51" s="111">
        <f t="shared" si="23"/>
        <v>255506650.20125383</v>
      </c>
      <c r="Y51" s="111">
        <f t="shared" si="23"/>
        <v>277461221.39228684</v>
      </c>
      <c r="Z51" s="111">
        <f t="shared" si="23"/>
        <v>296920159.761401</v>
      </c>
      <c r="AA51" s="69">
        <f t="shared" si="23"/>
        <v>322001311.47699529</v>
      </c>
    </row>
    <row r="52" spans="1:29" ht="14.65" customHeight="1" x14ac:dyDescent="0.25">
      <c r="A52" s="17" t="s">
        <v>65</v>
      </c>
      <c r="B52" s="18"/>
      <c r="C52" s="18"/>
      <c r="D52" s="18"/>
      <c r="E52" s="18"/>
      <c r="F52" s="18"/>
      <c r="G52" s="18"/>
      <c r="H52" s="111">
        <f t="shared" ref="H52" si="24">H49-H51</f>
        <v>0</v>
      </c>
      <c r="I52" s="111">
        <f t="shared" ref="I52:AA52" si="25">I49-I51</f>
        <v>0</v>
      </c>
      <c r="J52" s="111">
        <f t="shared" si="25"/>
        <v>0</v>
      </c>
      <c r="K52" s="111">
        <f t="shared" si="25"/>
        <v>0</v>
      </c>
      <c r="L52" s="111">
        <f t="shared" si="25"/>
        <v>1721947.3064016234</v>
      </c>
      <c r="M52" s="111">
        <f t="shared" si="25"/>
        <v>6214477.476125624</v>
      </c>
      <c r="N52" s="111">
        <f t="shared" si="25"/>
        <v>10926886.716541767</v>
      </c>
      <c r="O52" s="111">
        <f t="shared" si="25"/>
        <v>16080520.560906813</v>
      </c>
      <c r="P52" s="111">
        <f t="shared" si="25"/>
        <v>21893964.684559986</v>
      </c>
      <c r="Q52" s="111">
        <f t="shared" si="25"/>
        <v>24752394.601697549</v>
      </c>
      <c r="R52" s="111">
        <f t="shared" si="25"/>
        <v>33472153.60981676</v>
      </c>
      <c r="S52" s="111">
        <f t="shared" si="25"/>
        <v>37845266.497713327</v>
      </c>
      <c r="T52" s="111">
        <f t="shared" si="25"/>
        <v>42246840.352282405</v>
      </c>
      <c r="U52" s="111">
        <f>U49-U51</f>
        <v>46616985.626707137</v>
      </c>
      <c r="V52" s="111">
        <f t="shared" si="25"/>
        <v>50278012.843276948</v>
      </c>
      <c r="W52" s="111">
        <f t="shared" si="25"/>
        <v>55071934.973020673</v>
      </c>
      <c r="X52" s="111">
        <f t="shared" si="25"/>
        <v>60089508.644168377</v>
      </c>
      <c r="Y52" s="111">
        <f t="shared" si="25"/>
        <v>65252737.837316453</v>
      </c>
      <c r="Z52" s="111">
        <f t="shared" si="25"/>
        <v>69829049.430052817</v>
      </c>
      <c r="AA52" s="69">
        <f t="shared" si="25"/>
        <v>75727581.157633245</v>
      </c>
    </row>
    <row r="53" spans="1:29" s="84" customFormat="1" ht="18" customHeight="1" x14ac:dyDescent="0.35">
      <c r="A53" s="136" t="s">
        <v>65</v>
      </c>
      <c r="B53" s="137"/>
      <c r="C53" s="137"/>
      <c r="D53" s="137"/>
      <c r="E53" s="137"/>
      <c r="F53" s="137"/>
      <c r="G53" s="137"/>
      <c r="H53" s="81">
        <f t="shared" ref="H53:AA53" si="26">H51/H48</f>
        <v>-0.44912659066865135</v>
      </c>
      <c r="I53" s="81">
        <f t="shared" si="26"/>
        <v>-0.48167225287602483</v>
      </c>
      <c r="J53" s="81">
        <f t="shared" si="26"/>
        <v>-0.34307168183670522</v>
      </c>
      <c r="K53" s="81">
        <f t="shared" si="26"/>
        <v>-0.13000793157804552</v>
      </c>
      <c r="L53" s="81">
        <f t="shared" si="26"/>
        <v>8.1366886434375327E-2</v>
      </c>
      <c r="M53" s="81">
        <f t="shared" si="26"/>
        <v>0.31367866554371354</v>
      </c>
      <c r="N53" s="81">
        <f t="shared" si="26"/>
        <v>0.5796121364784429</v>
      </c>
      <c r="O53" s="81">
        <f t="shared" si="26"/>
        <v>0.8876139444961233</v>
      </c>
      <c r="P53" s="81">
        <f t="shared" si="26"/>
        <v>1.2485848243979643</v>
      </c>
      <c r="Q53" s="81">
        <f t="shared" si="26"/>
        <v>1.1414384936957471</v>
      </c>
      <c r="R53" s="81">
        <f t="shared" si="26"/>
        <v>1.6011426848547412</v>
      </c>
      <c r="S53" s="81">
        <f t="shared" si="26"/>
        <v>1.9280662114774438</v>
      </c>
      <c r="T53" s="81">
        <f t="shared" si="26"/>
        <v>2.2731675479838098</v>
      </c>
      <c r="U53" s="81">
        <f t="shared" si="26"/>
        <v>2.6108084419456725</v>
      </c>
      <c r="V53" s="81">
        <f t="shared" si="26"/>
        <v>2.7470313167303684</v>
      </c>
      <c r="W53" s="81">
        <f t="shared" si="26"/>
        <v>3.1182674531249153</v>
      </c>
      <c r="X53" s="81">
        <f t="shared" si="26"/>
        <v>3.5177356193718294</v>
      </c>
      <c r="Y53" s="81">
        <f t="shared" si="26"/>
        <v>3.9108767505467554</v>
      </c>
      <c r="Z53" s="81">
        <f t="shared" si="26"/>
        <v>4.0145617227106731</v>
      </c>
      <c r="AA53" s="82">
        <f t="shared" si="26"/>
        <v>4.4871285198753492</v>
      </c>
      <c r="AB53" s="83"/>
      <c r="AC53" s="83"/>
    </row>
    <row r="57" spans="1:29" x14ac:dyDescent="0.25">
      <c r="J57" s="13"/>
    </row>
    <row r="64" spans="1:29" x14ac:dyDescent="0.25">
      <c r="L64" s="5" t="s">
        <v>99</v>
      </c>
    </row>
  </sheetData>
  <mergeCells count="29">
    <mergeCell ref="A12:N12"/>
    <mergeCell ref="AB48:AC48"/>
    <mergeCell ref="O21:Y21"/>
    <mergeCell ref="Z21:AA21"/>
    <mergeCell ref="A23:G23"/>
    <mergeCell ref="A25:G25"/>
    <mergeCell ref="A26:G26"/>
    <mergeCell ref="A48:G48"/>
    <mergeCell ref="A21:N21"/>
    <mergeCell ref="A24:G24"/>
    <mergeCell ref="A39:AA39"/>
    <mergeCell ref="A22:G22"/>
    <mergeCell ref="A29:G29"/>
    <mergeCell ref="A11:G11"/>
    <mergeCell ref="A53:G53"/>
    <mergeCell ref="Z12:AA12"/>
    <mergeCell ref="O12:Y12"/>
    <mergeCell ref="A1:AL5"/>
    <mergeCell ref="A19:G19"/>
    <mergeCell ref="A15:G15"/>
    <mergeCell ref="A18:G18"/>
    <mergeCell ref="B6:D6"/>
    <mergeCell ref="F6:G6"/>
    <mergeCell ref="A14:G14"/>
    <mergeCell ref="A13:G13"/>
    <mergeCell ref="B7:D7"/>
    <mergeCell ref="F7:G7"/>
    <mergeCell ref="A16:G16"/>
    <mergeCell ref="A17:G17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2CCE7-5C2C-4027-BD24-05135EC27D97}">
  <dimension ref="A1:EC51"/>
  <sheetViews>
    <sheetView topLeftCell="A7" zoomScale="101" workbookViewId="0">
      <selection activeCell="B35" sqref="B35"/>
    </sheetView>
  </sheetViews>
  <sheetFormatPr defaultColWidth="8.7109375" defaultRowHeight="15" x14ac:dyDescent="0.25"/>
  <cols>
    <col min="1" max="1" width="1.7109375" style="5" customWidth="1"/>
    <col min="2" max="2" width="47.28515625" style="5" bestFit="1" customWidth="1"/>
    <col min="3" max="3" width="7" style="5" bestFit="1" customWidth="1"/>
    <col min="4" max="7" width="19.28515625" style="5" bestFit="1" customWidth="1"/>
    <col min="8" max="8" width="18.7109375" style="5" bestFit="1" customWidth="1"/>
    <col min="9" max="10" width="19.28515625" style="5" bestFit="1" customWidth="1"/>
    <col min="11" max="11" width="18.7109375" style="5" bestFit="1" customWidth="1"/>
    <col min="12" max="13" width="19.28515625" style="5" bestFit="1" customWidth="1"/>
    <col min="14" max="14" width="18.7109375" style="5" bestFit="1" customWidth="1"/>
    <col min="15" max="15" width="19.28515625" style="5" bestFit="1" customWidth="1"/>
    <col min="16" max="23" width="16.28515625" style="5" bestFit="1" customWidth="1"/>
    <col min="24" max="16384" width="8.7109375" style="5"/>
  </cols>
  <sheetData>
    <row r="1" spans="1:133" s="97" customFormat="1" ht="25.15" customHeight="1" thickBot="1" x14ac:dyDescent="0.4">
      <c r="A1" s="92"/>
      <c r="B1" s="158"/>
      <c r="C1" s="159"/>
      <c r="D1" s="93" t="s">
        <v>8</v>
      </c>
      <c r="E1" s="94" t="s">
        <v>9</v>
      </c>
      <c r="F1" s="93" t="s">
        <v>10</v>
      </c>
      <c r="G1" s="93" t="s">
        <v>11</v>
      </c>
      <c r="H1" s="93" t="s">
        <v>12</v>
      </c>
      <c r="I1" s="93" t="s">
        <v>13</v>
      </c>
      <c r="J1" s="93" t="s">
        <v>14</v>
      </c>
      <c r="K1" s="93" t="s">
        <v>15</v>
      </c>
      <c r="L1" s="93" t="s">
        <v>16</v>
      </c>
      <c r="M1" s="93" t="s">
        <v>17</v>
      </c>
      <c r="N1" s="93" t="s">
        <v>18</v>
      </c>
      <c r="O1" s="93" t="s">
        <v>19</v>
      </c>
      <c r="P1" s="93" t="s">
        <v>20</v>
      </c>
      <c r="Q1" s="93" t="s">
        <v>21</v>
      </c>
      <c r="R1" s="93" t="s">
        <v>22</v>
      </c>
      <c r="S1" s="93" t="s">
        <v>23</v>
      </c>
      <c r="T1" s="93" t="s">
        <v>24</v>
      </c>
      <c r="U1" s="93" t="s">
        <v>25</v>
      </c>
      <c r="V1" s="93" t="s">
        <v>26</v>
      </c>
      <c r="W1" s="95" t="s">
        <v>27</v>
      </c>
      <c r="X1" s="96"/>
      <c r="Y1" s="96"/>
    </row>
    <row r="2" spans="1:133" s="23" customFormat="1" x14ac:dyDescent="0.25">
      <c r="A2" s="7"/>
      <c r="B2" s="30" t="s">
        <v>55</v>
      </c>
      <c r="C2" s="89">
        <v>0.04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2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</row>
    <row r="3" spans="1:133" x14ac:dyDescent="0.25">
      <c r="B3" s="85" t="s">
        <v>66</v>
      </c>
      <c r="C3" s="86"/>
      <c r="D3" s="29">
        <v>11589000</v>
      </c>
      <c r="E3" s="10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29">
        <v>0</v>
      </c>
    </row>
    <row r="4" spans="1:133" ht="16.899999999999999" customHeight="1" x14ac:dyDescent="0.25">
      <c r="B4" s="87" t="s">
        <v>68</v>
      </c>
      <c r="C4" s="88"/>
      <c r="D4" s="29">
        <v>2232000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20">
        <v>0</v>
      </c>
    </row>
    <row r="5" spans="1:133" ht="15.75" x14ac:dyDescent="0.25">
      <c r="A5" s="72"/>
      <c r="B5" s="73" t="s">
        <v>53</v>
      </c>
      <c r="C5" s="18"/>
      <c r="D5" s="63">
        <v>15000000</v>
      </c>
      <c r="E5" s="123">
        <v>0</v>
      </c>
      <c r="F5" s="64">
        <f t="shared" ref="F5:L5" si="0">E5+(E5*0.005)</f>
        <v>0</v>
      </c>
      <c r="G5" s="64">
        <f t="shared" si="0"/>
        <v>0</v>
      </c>
      <c r="H5" s="64">
        <f t="shared" si="0"/>
        <v>0</v>
      </c>
      <c r="I5" s="64">
        <f>H5+(H5*0.5)</f>
        <v>0</v>
      </c>
      <c r="J5" s="64">
        <f t="shared" si="0"/>
        <v>0</v>
      </c>
      <c r="K5" s="64">
        <f t="shared" si="0"/>
        <v>0</v>
      </c>
      <c r="L5" s="64">
        <f t="shared" si="0"/>
        <v>0</v>
      </c>
      <c r="M5" s="64">
        <v>20000000</v>
      </c>
      <c r="N5" s="74">
        <v>0</v>
      </c>
      <c r="O5" s="74">
        <v>0</v>
      </c>
      <c r="P5" s="74">
        <v>0</v>
      </c>
      <c r="Q5" s="74">
        <v>0</v>
      </c>
      <c r="R5" s="74">
        <v>0</v>
      </c>
      <c r="S5" s="74">
        <v>0</v>
      </c>
      <c r="T5" s="74">
        <v>0</v>
      </c>
      <c r="U5" s="74">
        <v>0</v>
      </c>
      <c r="V5" s="74">
        <v>0</v>
      </c>
      <c r="W5" s="74">
        <v>0</v>
      </c>
    </row>
    <row r="6" spans="1:133" x14ac:dyDescent="0.25">
      <c r="B6" s="25" t="s">
        <v>69</v>
      </c>
      <c r="C6" s="26"/>
      <c r="D6" s="9">
        <f>SUM(D3:D5)</f>
        <v>28821000</v>
      </c>
      <c r="E6" s="9">
        <f t="shared" ref="E6:W6" si="1">SUM(E3:E5)</f>
        <v>0</v>
      </c>
      <c r="F6" s="9">
        <f t="shared" si="1"/>
        <v>0</v>
      </c>
      <c r="G6" s="9">
        <f t="shared" si="1"/>
        <v>0</v>
      </c>
      <c r="H6" s="9">
        <f t="shared" si="1"/>
        <v>0</v>
      </c>
      <c r="I6" s="9">
        <f t="shared" si="1"/>
        <v>0</v>
      </c>
      <c r="J6" s="9">
        <f t="shared" si="1"/>
        <v>0</v>
      </c>
      <c r="K6" s="9">
        <f t="shared" si="1"/>
        <v>0</v>
      </c>
      <c r="L6" s="9">
        <f t="shared" si="1"/>
        <v>0</v>
      </c>
      <c r="M6" s="9">
        <f>SUM(M3:M5)</f>
        <v>20000000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  <c r="W6" s="9">
        <f t="shared" si="1"/>
        <v>0</v>
      </c>
    </row>
    <row r="7" spans="1:133" x14ac:dyDescent="0.25">
      <c r="B7" s="25" t="s">
        <v>70</v>
      </c>
      <c r="C7" s="26"/>
      <c r="D7" s="9">
        <f>D6*C2/2</f>
        <v>576420</v>
      </c>
      <c r="E7" s="9">
        <f>(SUM($D$6:E6)-D7)*$C$2</f>
        <v>1129783.2</v>
      </c>
      <c r="F7" s="9">
        <f>(SUM($D$6:F6)-SUM($D$7:E7))*$C$2</f>
        <v>1084591.872</v>
      </c>
      <c r="G7" s="9">
        <f>(SUM($D$6:G6)-SUM($D$7:F7))*$C$2</f>
        <v>1041208.19712</v>
      </c>
      <c r="H7" s="9">
        <f>(SUM($D$6:H6)-SUM($D$7:G7))*$C$2</f>
        <v>999559.86923519999</v>
      </c>
      <c r="I7" s="9">
        <f>(SUM($D$6:I6)-SUM($D$7:H7))*$C$2</f>
        <v>959577.47446579207</v>
      </c>
      <c r="J7" s="9">
        <f>(SUM($D$6:J6)-SUM($D$7:I7))*$C$2</f>
        <v>921194.3754871604</v>
      </c>
      <c r="K7" s="9">
        <f>(SUM($D$6:K6)-SUM($D$7:J7))*$C$2</f>
        <v>884346.60046767385</v>
      </c>
      <c r="L7" s="9">
        <f>(SUM($D$6:L6)-SUM($D$7:K7))*$C$2</f>
        <v>848972.73644896701</v>
      </c>
      <c r="M7" s="9">
        <f>(SUM($D$6:M6)-SUM($D$7:L7))*$C$2</f>
        <v>1615013.8269910084</v>
      </c>
      <c r="N7" s="9">
        <f>(SUM($D$6:N6)-SUM($D$7:M7))*$C$2</f>
        <v>1550413.2739113679</v>
      </c>
      <c r="O7" s="9">
        <f>(SUM($D$6:O6)-SUM($D$7:N7))*$C$2</f>
        <v>1488396.7429549133</v>
      </c>
      <c r="P7" s="9">
        <f>(SUM($D$6:P6)-SUM($D$7:O7))*$C$2</f>
        <v>1428860.8732367167</v>
      </c>
      <c r="Q7" s="9">
        <f>(SUM($D$6:Q6)-SUM($D$7:P7))*$C$2</f>
        <v>1371706.4383072481</v>
      </c>
      <c r="R7" s="9">
        <f>(SUM($D$6:R6)-SUM($D$7:Q7))*$C$2</f>
        <v>1316838.1807749581</v>
      </c>
      <c r="S7" s="9">
        <f>(SUM($D$6:S6)-SUM($D$7:R7))*$C$2</f>
        <v>1264164.6535439598</v>
      </c>
      <c r="T7" s="9">
        <f>(SUM($D$6:T6)-SUM($D$7:S7))*$C$2</f>
        <v>1213598.0674022015</v>
      </c>
      <c r="U7" s="9">
        <f>(SUM($D$6:U6)-SUM($D$7:T7))*$C$2</f>
        <v>1165054.1447061133</v>
      </c>
      <c r="V7" s="9">
        <f>(SUM($D$6:V6)-SUM($D$7:U7))*$C$2</f>
        <v>1118451.9789178688</v>
      </c>
      <c r="W7" s="9">
        <f>(SUM($D$6:W6)-SUM($D$7:V7))*$C$2</f>
        <v>1073713.8997611541</v>
      </c>
    </row>
    <row r="8" spans="1:133" x14ac:dyDescent="0.25">
      <c r="B8" s="15"/>
      <c r="W8" s="16"/>
    </row>
    <row r="9" spans="1:133" x14ac:dyDescent="0.25">
      <c r="B9" s="15"/>
      <c r="W9" s="16"/>
    </row>
    <row r="10" spans="1:133" s="24" customFormat="1" x14ac:dyDescent="0.25">
      <c r="A10" s="5"/>
      <c r="B10" s="33" t="s">
        <v>56</v>
      </c>
      <c r="C10" s="90">
        <v>0.3</v>
      </c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34"/>
    </row>
    <row r="11" spans="1:133" x14ac:dyDescent="0.25">
      <c r="B11" s="21" t="s">
        <v>92</v>
      </c>
      <c r="C11" s="22"/>
      <c r="D11" s="9">
        <v>50000000</v>
      </c>
      <c r="E11" s="10"/>
      <c r="F11" s="10"/>
      <c r="G11" s="10"/>
      <c r="H11" s="10"/>
      <c r="I11" s="10"/>
      <c r="J11" s="10"/>
      <c r="K11" s="10"/>
      <c r="L11" s="10"/>
      <c r="M11" s="9"/>
      <c r="N11" s="9"/>
      <c r="O11" s="9"/>
      <c r="P11" s="9"/>
      <c r="Q11" s="9"/>
      <c r="R11" s="9"/>
      <c r="S11" s="9"/>
      <c r="T11" s="9"/>
      <c r="U11" s="9"/>
      <c r="V11" s="9"/>
      <c r="W11" s="20"/>
    </row>
    <row r="12" spans="1:133" x14ac:dyDescent="0.25">
      <c r="B12" s="21" t="s">
        <v>67</v>
      </c>
      <c r="C12" s="22"/>
      <c r="D12" s="9"/>
      <c r="E12" s="10">
        <f t="shared" ref="E12:L12" si="2">D12*(1+0.015)</f>
        <v>0</v>
      </c>
      <c r="F12" s="10">
        <f t="shared" si="2"/>
        <v>0</v>
      </c>
      <c r="G12" s="10">
        <f t="shared" si="2"/>
        <v>0</v>
      </c>
      <c r="H12" s="9">
        <v>10000500</v>
      </c>
      <c r="I12" s="10"/>
      <c r="J12" s="10">
        <f t="shared" si="2"/>
        <v>0</v>
      </c>
      <c r="K12" s="10">
        <f t="shared" si="2"/>
        <v>0</v>
      </c>
      <c r="L12" s="10">
        <f t="shared" si="2"/>
        <v>0</v>
      </c>
      <c r="M12" s="9">
        <v>10042500</v>
      </c>
      <c r="N12" s="9">
        <f t="shared" ref="N12:U12" si="3">L12*(1+0.015)</f>
        <v>0</v>
      </c>
      <c r="O12" s="9"/>
      <c r="P12" s="9">
        <f t="shared" si="3"/>
        <v>0</v>
      </c>
      <c r="Q12" s="9">
        <f t="shared" si="3"/>
        <v>0</v>
      </c>
      <c r="R12" s="9">
        <v>14040500</v>
      </c>
      <c r="S12" s="9">
        <f t="shared" si="3"/>
        <v>0</v>
      </c>
      <c r="T12" s="9"/>
      <c r="U12" s="9">
        <f t="shared" si="3"/>
        <v>0</v>
      </c>
      <c r="V12" s="9">
        <f>R12*(1+0.015)</f>
        <v>14251107.499999998</v>
      </c>
      <c r="W12" s="20">
        <f>U12*(1+0.015)</f>
        <v>0</v>
      </c>
    </row>
    <row r="13" spans="1:133" x14ac:dyDescent="0.25">
      <c r="B13" s="21" t="s">
        <v>71</v>
      </c>
      <c r="C13" s="22"/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4770000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20">
        <v>0</v>
      </c>
    </row>
    <row r="14" spans="1:133" x14ac:dyDescent="0.25">
      <c r="B14" s="21" t="s">
        <v>69</v>
      </c>
      <c r="C14" s="22"/>
      <c r="D14" s="9">
        <f>SUM(D11:D13)</f>
        <v>50000000</v>
      </c>
      <c r="E14" s="9">
        <f t="shared" ref="E14:W14" si="4">SUM(E12:E13)</f>
        <v>0</v>
      </c>
      <c r="F14" s="9">
        <f t="shared" si="4"/>
        <v>0</v>
      </c>
      <c r="G14" s="9">
        <f t="shared" si="4"/>
        <v>0</v>
      </c>
      <c r="H14" s="9">
        <f t="shared" si="4"/>
        <v>10000500</v>
      </c>
      <c r="I14" s="9">
        <f t="shared" si="4"/>
        <v>0</v>
      </c>
      <c r="J14" s="9">
        <f t="shared" si="4"/>
        <v>0</v>
      </c>
      <c r="K14" s="9">
        <f t="shared" si="4"/>
        <v>0</v>
      </c>
      <c r="L14" s="9">
        <f t="shared" si="4"/>
        <v>0</v>
      </c>
      <c r="M14" s="9">
        <f t="shared" si="4"/>
        <v>14812500</v>
      </c>
      <c r="N14" s="9">
        <f t="shared" si="4"/>
        <v>0</v>
      </c>
      <c r="O14" s="9">
        <f t="shared" si="4"/>
        <v>0</v>
      </c>
      <c r="P14" s="9">
        <f t="shared" si="4"/>
        <v>0</v>
      </c>
      <c r="Q14" s="9">
        <f t="shared" si="4"/>
        <v>0</v>
      </c>
      <c r="R14" s="9">
        <f t="shared" si="4"/>
        <v>14040500</v>
      </c>
      <c r="S14" s="9">
        <f t="shared" si="4"/>
        <v>0</v>
      </c>
      <c r="T14" s="9">
        <f t="shared" si="4"/>
        <v>0</v>
      </c>
      <c r="U14" s="9">
        <f t="shared" si="4"/>
        <v>0</v>
      </c>
      <c r="V14" s="9">
        <f t="shared" si="4"/>
        <v>14251107.499999998</v>
      </c>
      <c r="W14" s="20">
        <f t="shared" si="4"/>
        <v>0</v>
      </c>
    </row>
    <row r="15" spans="1:133" x14ac:dyDescent="0.25">
      <c r="B15" s="25" t="s">
        <v>70</v>
      </c>
      <c r="C15" s="26"/>
      <c r="D15" s="9">
        <f>D14*C10/2</f>
        <v>7500000</v>
      </c>
      <c r="E15" s="9">
        <f>(D14-D15+E14)*$C$10</f>
        <v>12750000</v>
      </c>
      <c r="F15" s="9">
        <f>(SUM($D$14:F14)-SUM($D$15:E15))*$C$10</f>
        <v>8925000</v>
      </c>
      <c r="G15" s="9">
        <f>(SUM($D$14:G14)-SUM($D$15:F15))*$C$10</f>
        <v>6247500</v>
      </c>
      <c r="H15" s="9">
        <f>(SUM($D$14:H14)-SUM($D$15:G15))*$C$10</f>
        <v>7373400</v>
      </c>
      <c r="I15" s="9">
        <f>(SUM($D$14:I14)-SUM($D$15:H15))*$C$10</f>
        <v>5161380</v>
      </c>
      <c r="J15" s="9">
        <f>(SUM($D$14:J14)-SUM($D$15:I15))*$C$10</f>
        <v>3612966</v>
      </c>
      <c r="K15" s="9">
        <f>(SUM($D$14:K14)-SUM($D$15:J15))*$C$10</f>
        <v>2529076.1999999997</v>
      </c>
      <c r="L15" s="9">
        <f>(SUM($D$14:L14)-SUM($D$15:K15))*$C$10</f>
        <v>1770353.3399999992</v>
      </c>
      <c r="M15" s="9">
        <f>(SUM($D$14:M14)-SUM($D$15:L15))*$C$10</f>
        <v>5682997.3380000005</v>
      </c>
      <c r="N15" s="9">
        <f>(SUM($D$14:N14)-SUM($D$15:M15))*$C$10</f>
        <v>3978098.1366000003</v>
      </c>
      <c r="O15" s="9">
        <f>(SUM($D$14:O14)-SUM($D$15:N15))*$C$10</f>
        <v>2784668.6956199994</v>
      </c>
      <c r="P15" s="9">
        <f>(SUM($D$14:P14)-SUM($D$15:O15))*$C$10</f>
        <v>1949268.0869340017</v>
      </c>
      <c r="Q15" s="9">
        <f>(SUM($D$14:Q14)-SUM($D$15:P15))*$C$10</f>
        <v>1364487.6608538015</v>
      </c>
      <c r="R15" s="9">
        <f>(SUM($D$14:R14)-SUM($D$15:Q15))*$C$10</f>
        <v>5167291.3625976602</v>
      </c>
      <c r="S15" s="9">
        <f>(SUM($D$14:S14)-SUM($D$15:R15))*$C$10</f>
        <v>3617103.9538183627</v>
      </c>
      <c r="T15" s="9">
        <f>(SUM($D$14:T14)-SUM($D$15:S15))*$C$10</f>
        <v>2531972.7676728531</v>
      </c>
      <c r="U15" s="9">
        <f>(SUM($D$14:U14)-SUM($D$15:T15))*$C$10</f>
        <v>1772380.9373709976</v>
      </c>
      <c r="V15" s="9">
        <f>(SUM($D$14:V14)-SUM($D$15:U15))*$C$10</f>
        <v>5515998.9061596971</v>
      </c>
      <c r="W15" s="9">
        <f>(SUM($D$14:W14)-SUM($D$15:V15))*$C$10</f>
        <v>3861199.2343117874</v>
      </c>
    </row>
    <row r="16" spans="1:133" x14ac:dyDescent="0.25">
      <c r="B16" s="15"/>
      <c r="M16" s="9"/>
      <c r="N16" s="9"/>
      <c r="O16" s="9"/>
      <c r="P16" s="9"/>
      <c r="Q16" s="9"/>
      <c r="R16" s="9"/>
      <c r="S16" s="9"/>
      <c r="T16" s="9"/>
      <c r="U16" s="9"/>
      <c r="V16" s="9"/>
      <c r="W16" s="20"/>
    </row>
    <row r="17" spans="1:23" s="24" customFormat="1" x14ac:dyDescent="0.25">
      <c r="A17" s="5"/>
      <c r="B17" s="35" t="s">
        <v>57</v>
      </c>
      <c r="C17" s="90">
        <v>0.2</v>
      </c>
      <c r="D17" s="23"/>
      <c r="E17" s="23"/>
      <c r="F17" s="23"/>
      <c r="G17" s="23"/>
      <c r="H17" s="23"/>
      <c r="I17" s="23"/>
      <c r="J17" s="23"/>
      <c r="K17" s="23"/>
      <c r="L17" s="23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7"/>
    </row>
    <row r="18" spans="1:23" x14ac:dyDescent="0.25">
      <c r="B18" s="21" t="s">
        <v>72</v>
      </c>
      <c r="C18" s="22"/>
      <c r="D18" s="9">
        <v>75000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10000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v>0</v>
      </c>
      <c r="V18" s="10">
        <v>0</v>
      </c>
      <c r="W18" s="19">
        <v>0</v>
      </c>
    </row>
    <row r="19" spans="1:23" x14ac:dyDescent="0.25">
      <c r="B19" s="21" t="s">
        <v>73</v>
      </c>
      <c r="C19" s="22"/>
      <c r="D19" s="9">
        <v>35000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9">
        <v>0</v>
      </c>
    </row>
    <row r="20" spans="1:23" x14ac:dyDescent="0.25">
      <c r="B20" s="25" t="s">
        <v>69</v>
      </c>
      <c r="C20" s="26"/>
      <c r="D20" s="9">
        <f>SUM(D18:D19)</f>
        <v>110000</v>
      </c>
      <c r="E20" s="9">
        <f t="shared" ref="E20:W20" si="5">SUM(E18:E19)</f>
        <v>0</v>
      </c>
      <c r="F20" s="9">
        <f t="shared" si="5"/>
        <v>0</v>
      </c>
      <c r="G20" s="9">
        <f t="shared" si="5"/>
        <v>0</v>
      </c>
      <c r="H20" s="9">
        <f t="shared" si="5"/>
        <v>0</v>
      </c>
      <c r="I20" s="9">
        <f t="shared" si="5"/>
        <v>0</v>
      </c>
      <c r="J20" s="9">
        <f t="shared" si="5"/>
        <v>0</v>
      </c>
      <c r="K20" s="9">
        <f t="shared" si="5"/>
        <v>0</v>
      </c>
      <c r="L20" s="9">
        <f t="shared" si="5"/>
        <v>0</v>
      </c>
      <c r="M20" s="9">
        <f t="shared" si="5"/>
        <v>10000</v>
      </c>
      <c r="N20" s="9">
        <f t="shared" si="5"/>
        <v>0</v>
      </c>
      <c r="O20" s="9">
        <f t="shared" si="5"/>
        <v>0</v>
      </c>
      <c r="P20" s="9">
        <f t="shared" si="5"/>
        <v>0</v>
      </c>
      <c r="Q20" s="9">
        <f t="shared" si="5"/>
        <v>0</v>
      </c>
      <c r="R20" s="9">
        <f t="shared" si="5"/>
        <v>0</v>
      </c>
      <c r="S20" s="9">
        <f t="shared" si="5"/>
        <v>0</v>
      </c>
      <c r="T20" s="9">
        <f t="shared" si="5"/>
        <v>0</v>
      </c>
      <c r="U20" s="9">
        <f t="shared" si="5"/>
        <v>0</v>
      </c>
      <c r="V20" s="9">
        <f t="shared" si="5"/>
        <v>0</v>
      </c>
      <c r="W20" s="20">
        <f t="shared" si="5"/>
        <v>0</v>
      </c>
    </row>
    <row r="21" spans="1:23" x14ac:dyDescent="0.25">
      <c r="B21" s="25" t="s">
        <v>70</v>
      </c>
      <c r="C21" s="26"/>
      <c r="D21" s="9">
        <f>D20*C17/2</f>
        <v>11000</v>
      </c>
      <c r="E21" s="10">
        <f>($D$20-D21)*$C$17</f>
        <v>19800</v>
      </c>
      <c r="F21" s="10">
        <f>(SUM($D$20:F20)-SUM($D$21:E21))*$C$17</f>
        <v>15840</v>
      </c>
      <c r="G21" s="10">
        <f>(SUM($D$20:G20)-SUM($D$21:F21))*$C$17</f>
        <v>12672</v>
      </c>
      <c r="H21" s="10">
        <f>(SUM($D$20:H20)-SUM($D$21:G21))*$C$17</f>
        <v>10137.6</v>
      </c>
      <c r="I21" s="10">
        <f>(SUM($D$20:I20)-SUM($D$21:H21))*$C$17</f>
        <v>8110.079999999999</v>
      </c>
      <c r="J21" s="10">
        <f>(SUM($D$20:J20)-SUM($D$21:I21))*$C$17</f>
        <v>6488.0639999999985</v>
      </c>
      <c r="K21" s="10">
        <f>(SUM($D$20:K20)-SUM($D$21:J21))*$C$17</f>
        <v>5190.4511999999995</v>
      </c>
      <c r="L21" s="10">
        <f>(SUM($D$20:L20)-SUM($D$21:K21))*$C$17</f>
        <v>4152.36096</v>
      </c>
      <c r="M21" s="10">
        <f>(SUM($D$20:M20)-SUM($D$21:L21))*$C$17</f>
        <v>5321.8887679999989</v>
      </c>
      <c r="N21" s="10">
        <f>(SUM($D$20:N20)-SUM($D$21:M21))*$C$17</f>
        <v>4257.5110143999982</v>
      </c>
      <c r="O21" s="10">
        <f>(SUM($D$20:O20)-SUM($D$21:N21))*$C$17</f>
        <v>3406.0088115199997</v>
      </c>
      <c r="P21" s="10">
        <f>(SUM($D$20:P20)-SUM($D$21:O21))*$C$17</f>
        <v>2724.8070492159986</v>
      </c>
      <c r="Q21" s="10">
        <f>(SUM($D$20:Q20)-SUM($D$21:P21))*$C$17</f>
        <v>2179.8456393727975</v>
      </c>
      <c r="R21" s="10">
        <f>(SUM($D$20:R20)-SUM($D$21:Q21))*$C$17</f>
        <v>1743.876511498238</v>
      </c>
      <c r="S21" s="10">
        <f>(SUM($D$20:S20)-SUM($D$21:R21))*$C$17</f>
        <v>1395.1012091985904</v>
      </c>
      <c r="T21" s="10">
        <f>(SUM($D$20:T20)-SUM($D$21:S21))*$C$17</f>
        <v>1116.0809673588724</v>
      </c>
      <c r="U21" s="10">
        <f>(SUM($D$20:U20)-SUM($D$21:T21))*$C$17</f>
        <v>892.86477388709909</v>
      </c>
      <c r="V21" s="10">
        <f>(SUM($D$20:V20)-SUM($D$21:U21))*$C$17</f>
        <v>714.29181910968043</v>
      </c>
      <c r="W21" s="10">
        <f>(SUM($D$20:W20)-SUM($D$21:V21))*$C$17</f>
        <v>571.43345528774375</v>
      </c>
    </row>
    <row r="22" spans="1:23" x14ac:dyDescent="0.25">
      <c r="B22" s="15"/>
      <c r="D22" s="9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s="24" customFormat="1" x14ac:dyDescent="0.25">
      <c r="A23" s="5"/>
      <c r="B23" s="35" t="s">
        <v>95</v>
      </c>
      <c r="C23" s="90">
        <v>0.05</v>
      </c>
      <c r="D23" s="23"/>
      <c r="E23" s="23"/>
      <c r="F23" s="23"/>
      <c r="G23" s="23"/>
      <c r="H23" s="23"/>
      <c r="I23" s="23"/>
      <c r="J23" s="23"/>
      <c r="K23" s="23"/>
      <c r="L23" s="23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7"/>
    </row>
    <row r="24" spans="1:23" x14ac:dyDescent="0.25">
      <c r="B24" s="21" t="s">
        <v>94</v>
      </c>
      <c r="C24" s="120"/>
      <c r="D24" s="9">
        <v>100000000</v>
      </c>
      <c r="M24" s="9"/>
      <c r="N24" s="9"/>
      <c r="O24" s="9"/>
      <c r="P24" s="9"/>
      <c r="Q24" s="9"/>
      <c r="R24" s="9"/>
      <c r="S24" s="9"/>
      <c r="T24" s="9"/>
      <c r="U24" s="9"/>
      <c r="V24" s="9"/>
      <c r="W24" s="20"/>
    </row>
    <row r="25" spans="1:23" x14ac:dyDescent="0.25">
      <c r="B25" s="25" t="s">
        <v>93</v>
      </c>
      <c r="C25" s="121"/>
      <c r="D25" s="9">
        <f>D24*C23/2</f>
        <v>2500000</v>
      </c>
      <c r="E25" s="9">
        <f>(D24-D25)*C23</f>
        <v>4875000</v>
      </c>
      <c r="F25" s="9">
        <f>($D$24-SUM($D$25:E25))*$C$23</f>
        <v>4631250</v>
      </c>
      <c r="G25" s="9">
        <f>($D$24-SUM($D$25:F25))*$C$23</f>
        <v>4399687.5</v>
      </c>
      <c r="H25" s="9">
        <f>($D$24-SUM($D$25:G25))*$C$23</f>
        <v>4179703.125</v>
      </c>
      <c r="I25" s="9">
        <f>($D$24-SUM($D$25:H25))*$C$23</f>
        <v>3970717.96875</v>
      </c>
      <c r="J25" s="9">
        <f>($D$24-SUM($D$25:I25))*$C$23</f>
        <v>3772182.0703125</v>
      </c>
      <c r="K25" s="9">
        <f>($D$24-SUM($D$25:J25))*$C$23</f>
        <v>3583572.966796875</v>
      </c>
      <c r="L25" s="9">
        <f>($D$24-SUM($D$25:K25))*$C$23</f>
        <v>3404394.3184570316</v>
      </c>
      <c r="M25" s="9">
        <f>($D$24-SUM($D$25:L25))*$C$23</f>
        <v>3234174.60253418</v>
      </c>
      <c r="N25" s="9">
        <f>($D$24-SUM($D$25:M25))*$C$23</f>
        <v>3072465.8724074708</v>
      </c>
      <c r="O25" s="9">
        <f>($D$24-SUM($D$25:N25))*$C$23</f>
        <v>2918842.5787870972</v>
      </c>
      <c r="P25" s="9">
        <f>($D$24-SUM($D$25:O25))*$C$23</f>
        <v>2772900.4498477424</v>
      </c>
      <c r="Q25" s="9">
        <f>($D$24-SUM($D$25:P25))*$C$23</f>
        <v>2634255.4273553551</v>
      </c>
      <c r="R25" s="9">
        <f>($D$24-SUM($D$25:Q25))*$C$23</f>
        <v>2502542.6559875873</v>
      </c>
      <c r="S25" s="9">
        <f>($D$24-SUM($D$25:R25))*$C$23</f>
        <v>2377415.5231882078</v>
      </c>
      <c r="T25" s="9">
        <f>($D$24-SUM($D$25:S25))*$C$23</f>
        <v>2258544.7470287974</v>
      </c>
      <c r="U25" s="9">
        <f>($D$24-SUM($D$25:T25))*$C$23</f>
        <v>2145617.5096773575</v>
      </c>
      <c r="V25" s="9">
        <f>($D$24-SUM($D$25:U25))*$C$23</f>
        <v>2038336.6341934893</v>
      </c>
      <c r="W25" s="9">
        <f>($D$24-SUM($D$25:V25))*$C$23</f>
        <v>1936419.802483815</v>
      </c>
    </row>
    <row r="26" spans="1:23" x14ac:dyDescent="0.25">
      <c r="B26" s="15"/>
      <c r="W26" s="16"/>
    </row>
    <row r="27" spans="1:23" s="24" customFormat="1" x14ac:dyDescent="0.25">
      <c r="A27" s="5"/>
      <c r="B27" s="35" t="s">
        <v>58</v>
      </c>
      <c r="C27" s="90">
        <v>0.25</v>
      </c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34"/>
    </row>
    <row r="28" spans="1:23" x14ac:dyDescent="0.25">
      <c r="B28" s="21" t="s">
        <v>74</v>
      </c>
      <c r="C28" s="22"/>
      <c r="D28" s="9">
        <v>10000000</v>
      </c>
      <c r="E28" s="10">
        <f t="shared" ref="E28:N28" si="6">D28+(D28*0.03)</f>
        <v>10300000</v>
      </c>
      <c r="F28" s="10">
        <f t="shared" si="6"/>
        <v>10609000</v>
      </c>
      <c r="G28" s="10">
        <f>F28-(F28*0.7)</f>
        <v>3182700.0000000009</v>
      </c>
      <c r="H28" s="10">
        <f>G28-(G28*0.03)</f>
        <v>3087219.0000000009</v>
      </c>
      <c r="I28" s="10">
        <f>H28-(H28*0.03)</f>
        <v>2994602.4300000011</v>
      </c>
      <c r="J28" s="10">
        <f>I28-(I28*0.03)</f>
        <v>2904764.3571000011</v>
      </c>
      <c r="K28" s="10">
        <f>J28-(J28*0.03)</f>
        <v>2817621.4263870008</v>
      </c>
      <c r="L28" s="10">
        <f>K28-(K28*0.03)</f>
        <v>2733092.7835953906</v>
      </c>
      <c r="M28" s="10">
        <f>F28-(L28*0.03)</f>
        <v>10527007.216492139</v>
      </c>
      <c r="N28" s="10">
        <f t="shared" si="6"/>
        <v>10842817.432986902</v>
      </c>
      <c r="O28" s="10">
        <f>N28-(N28*0.7)</f>
        <v>3252845.2298960714</v>
      </c>
      <c r="P28" s="10">
        <f>O28-(O28*0)</f>
        <v>3252845.2298960714</v>
      </c>
      <c r="Q28" s="10">
        <f t="shared" ref="Q28:W28" si="7">P28-(P28*0.02)</f>
        <v>3187788.3252981501</v>
      </c>
      <c r="R28" s="10">
        <f t="shared" si="7"/>
        <v>3124032.5587921869</v>
      </c>
      <c r="S28" s="10">
        <f t="shared" si="7"/>
        <v>3061551.9076163433</v>
      </c>
      <c r="T28" s="10">
        <f t="shared" si="7"/>
        <v>3000320.8694640165</v>
      </c>
      <c r="U28" s="10">
        <f t="shared" si="7"/>
        <v>2940314.4520747364</v>
      </c>
      <c r="V28" s="10">
        <f t="shared" si="7"/>
        <v>2881508.1630332414</v>
      </c>
      <c r="W28" s="6">
        <f t="shared" si="7"/>
        <v>2823877.9997725766</v>
      </c>
    </row>
    <row r="29" spans="1:23" x14ac:dyDescent="0.25">
      <c r="B29" s="25" t="s">
        <v>70</v>
      </c>
      <c r="C29" s="26"/>
      <c r="D29" s="9">
        <f>D28*C27/2</f>
        <v>1250000</v>
      </c>
      <c r="E29" s="9">
        <f>(SUM(D28:E28)-D29)*C27</f>
        <v>4762500</v>
      </c>
      <c r="F29" s="9">
        <f>(SUM($D$28:F28)-SUM($D$29:E29))*$C$27</f>
        <v>6224125</v>
      </c>
      <c r="G29" s="9">
        <f>(SUM($D$28:G28)-SUM($D$29:F29))*$C$27</f>
        <v>5463768.75</v>
      </c>
      <c r="H29" s="9">
        <f>(SUM($D$28:H28)-SUM($D$29:G29))*$C$27</f>
        <v>4869631.3125</v>
      </c>
      <c r="I29" s="9">
        <f>(SUM($D$28:I28)-SUM($D$29:H29))*$C$27</f>
        <v>4400874.0918749999</v>
      </c>
      <c r="J29" s="9">
        <f>(SUM($D$28:J28)-SUM($D$29:I29))*$C$27</f>
        <v>4026846.6581812501</v>
      </c>
      <c r="K29" s="9">
        <f>(SUM($D$28:K28)-SUM($D$29:J29))*$C$27</f>
        <v>3724540.3502326868</v>
      </c>
      <c r="L29" s="9">
        <f>(SUM($D$28:L28)-SUM($D$29:K29))*$C$27</f>
        <v>3476678.4585733619</v>
      </c>
      <c r="M29" s="9">
        <f>(SUM($D$28:M28)-SUM($D$29:L29))*$C$27</f>
        <v>5239260.6480530556</v>
      </c>
      <c r="N29" s="9">
        <f>(SUM($D$28:N28)-SUM($D$29:M29))*$C$27</f>
        <v>6640149.8442865163</v>
      </c>
      <c r="O29" s="9">
        <f>(SUM($D$28:O28)-SUM($D$29:N29))*$C$27</f>
        <v>5793323.6906889044</v>
      </c>
      <c r="P29" s="9">
        <f>(SUM($D$28:P28)-SUM($D$29:O29))*$C$27</f>
        <v>5158204.0754906945</v>
      </c>
      <c r="Q29" s="9">
        <f>(SUM($D$28:Q28)-SUM($D$29:P29))*$C$27</f>
        <v>4665600.1379425563</v>
      </c>
      <c r="R29" s="9">
        <f>(SUM($D$28:R28)-SUM($D$29:Q29))*$C$27</f>
        <v>4280208.2431549653</v>
      </c>
      <c r="S29" s="9">
        <f>(SUM($D$28:S28)-SUM($D$29:R29))*$C$27</f>
        <v>3975544.1592703126</v>
      </c>
      <c r="T29" s="9">
        <f>(SUM($D$28:T28)-SUM($D$29:S29))*$C$27</f>
        <v>3731738.336818736</v>
      </c>
      <c r="U29" s="9">
        <f>(SUM($D$28:U28)-SUM($D$29:T29))*$C$27</f>
        <v>3533882.3656327352</v>
      </c>
      <c r="V29" s="9">
        <f>(SUM($D$28:V28)-SUM($D$29:U29))*$C$27</f>
        <v>3370788.814982865</v>
      </c>
      <c r="W29" s="9">
        <f>(SUM($D$28:W28)-SUM($D$29:V29))*$C$27</f>
        <v>3234061.1111802943</v>
      </c>
    </row>
    <row r="30" spans="1:23" x14ac:dyDescent="0.25">
      <c r="B30" s="15"/>
      <c r="W30" s="16"/>
    </row>
    <row r="31" spans="1:23" x14ac:dyDescent="0.25">
      <c r="B31" s="15"/>
      <c r="W31" s="16"/>
    </row>
    <row r="32" spans="1:23" s="24" customFormat="1" x14ac:dyDescent="0.25">
      <c r="A32" s="5"/>
      <c r="B32" s="35" t="s">
        <v>59</v>
      </c>
      <c r="C32" s="90">
        <v>0.3</v>
      </c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34"/>
    </row>
    <row r="33" spans="1:23" x14ac:dyDescent="0.25">
      <c r="B33" s="21" t="s">
        <v>75</v>
      </c>
      <c r="C33" s="22"/>
      <c r="D33" s="9">
        <v>2500000</v>
      </c>
      <c r="E33" s="10">
        <f t="shared" ref="E33" si="8">D33+(D33*0.005)</f>
        <v>2512500</v>
      </c>
      <c r="F33" s="10" t="s">
        <v>81</v>
      </c>
      <c r="G33" s="10" t="s">
        <v>81</v>
      </c>
      <c r="H33" s="10" t="s">
        <v>81</v>
      </c>
      <c r="I33" s="10" t="s">
        <v>81</v>
      </c>
      <c r="J33" s="10" t="s">
        <v>81</v>
      </c>
      <c r="K33" s="10" t="s">
        <v>81</v>
      </c>
      <c r="L33" s="10" t="s">
        <v>81</v>
      </c>
      <c r="M33" s="10" t="s">
        <v>81</v>
      </c>
      <c r="N33" s="10" t="s">
        <v>81</v>
      </c>
      <c r="O33" s="10">
        <f>E33+(E33*0.005)</f>
        <v>2525062.5</v>
      </c>
      <c r="P33" s="10" t="s">
        <v>81</v>
      </c>
      <c r="Q33" s="10" t="s">
        <v>81</v>
      </c>
      <c r="R33" s="10" t="s">
        <v>81</v>
      </c>
      <c r="S33" s="10" t="s">
        <v>81</v>
      </c>
      <c r="T33" s="10" t="s">
        <v>81</v>
      </c>
      <c r="U33" s="10" t="s">
        <v>81</v>
      </c>
      <c r="V33" s="10" t="s">
        <v>81</v>
      </c>
      <c r="W33" s="6" t="s">
        <v>81</v>
      </c>
    </row>
    <row r="34" spans="1:23" x14ac:dyDescent="0.25">
      <c r="B34" s="21" t="s">
        <v>76</v>
      </c>
      <c r="C34" s="22"/>
      <c r="D34" s="9">
        <v>1500000</v>
      </c>
      <c r="E34" s="10">
        <f>D34+(D34*0.002)</f>
        <v>1503000</v>
      </c>
      <c r="F34" s="10">
        <f>E34-(E34*0.8)</f>
        <v>300600</v>
      </c>
      <c r="G34" s="10">
        <f>F34-(F34*0.8)</f>
        <v>60120</v>
      </c>
      <c r="H34" s="10">
        <f>G34-(G34*0.3)</f>
        <v>42084</v>
      </c>
      <c r="I34" s="10">
        <f>H34-(H34*0.3)</f>
        <v>29458.800000000003</v>
      </c>
      <c r="J34" s="10" t="s">
        <v>81</v>
      </c>
      <c r="K34" s="10" t="s">
        <v>81</v>
      </c>
      <c r="L34" s="10" t="s">
        <v>81</v>
      </c>
      <c r="M34" s="10" t="s">
        <v>81</v>
      </c>
      <c r="N34" s="10" t="s">
        <v>81</v>
      </c>
      <c r="O34" s="10">
        <f>H34+(H34*0.002)</f>
        <v>42168.167999999998</v>
      </c>
      <c r="P34" s="10">
        <f>I34+(I34*0.02)</f>
        <v>30047.976000000002</v>
      </c>
      <c r="Q34" s="10">
        <f>P34+(P34*0.02)</f>
        <v>30648.935520000003</v>
      </c>
      <c r="R34" s="10">
        <f>Q34+(Q34*0.02)</f>
        <v>31261.914230400002</v>
      </c>
      <c r="S34" s="10" t="s">
        <v>81</v>
      </c>
      <c r="T34" s="10" t="s">
        <v>81</v>
      </c>
      <c r="U34" s="10" t="s">
        <v>81</v>
      </c>
      <c r="V34" s="10" t="s">
        <v>81</v>
      </c>
      <c r="W34" s="6" t="s">
        <v>81</v>
      </c>
    </row>
    <row r="35" spans="1:23" ht="15.75" x14ac:dyDescent="0.25">
      <c r="A35" s="72"/>
      <c r="B35" s="18" t="s">
        <v>45</v>
      </c>
      <c r="C35" s="18"/>
      <c r="D35" s="63">
        <v>1500000</v>
      </c>
      <c r="E35" s="64">
        <f t="shared" ref="E35:R35" si="9">D35+(D35*0.001)</f>
        <v>1501500</v>
      </c>
      <c r="F35" s="64">
        <f t="shared" si="9"/>
        <v>1503001.5</v>
      </c>
      <c r="G35" s="64">
        <f>F35-(F35*0.8)</f>
        <v>300600.30000000005</v>
      </c>
      <c r="H35" s="64">
        <f t="shared" si="9"/>
        <v>300900.90030000004</v>
      </c>
      <c r="I35" s="64">
        <f t="shared" si="9"/>
        <v>301201.80120030005</v>
      </c>
      <c r="J35" s="6" t="s">
        <v>81</v>
      </c>
      <c r="K35" s="6" t="s">
        <v>81</v>
      </c>
      <c r="L35" s="6" t="s">
        <v>81</v>
      </c>
      <c r="M35" s="6" t="s">
        <v>81</v>
      </c>
      <c r="N35" s="6" t="s">
        <v>81</v>
      </c>
      <c r="O35" s="64">
        <f>I35+(I35*0.001)</f>
        <v>301503.00300150033</v>
      </c>
      <c r="P35" s="64">
        <f t="shared" si="9"/>
        <v>301804.50600450183</v>
      </c>
      <c r="Q35" s="64">
        <f t="shared" si="9"/>
        <v>302106.31051050633</v>
      </c>
      <c r="R35" s="64">
        <f t="shared" si="9"/>
        <v>302408.41682101681</v>
      </c>
      <c r="S35" s="6" t="s">
        <v>81</v>
      </c>
      <c r="T35" s="6" t="s">
        <v>81</v>
      </c>
      <c r="U35" s="6" t="s">
        <v>81</v>
      </c>
      <c r="V35" s="6" t="s">
        <v>81</v>
      </c>
      <c r="W35" s="6" t="s">
        <v>81</v>
      </c>
    </row>
    <row r="36" spans="1:23" x14ac:dyDescent="0.25">
      <c r="B36" s="25" t="s">
        <v>77</v>
      </c>
      <c r="C36" s="26"/>
      <c r="D36" s="9">
        <f>SUM(D33:D35)</f>
        <v>5500000</v>
      </c>
      <c r="E36" s="9">
        <f>SUM(E33:E35)</f>
        <v>5517000</v>
      </c>
      <c r="F36" s="9">
        <f t="shared" ref="F36:V36" si="10">SUM(F33:F35)</f>
        <v>1803601.5</v>
      </c>
      <c r="G36" s="9">
        <f t="shared" si="10"/>
        <v>360720.30000000005</v>
      </c>
      <c r="H36" s="9">
        <f t="shared" si="10"/>
        <v>342984.90030000004</v>
      </c>
      <c r="I36" s="9">
        <f t="shared" si="10"/>
        <v>330660.60120030004</v>
      </c>
      <c r="J36" s="9">
        <f t="shared" si="10"/>
        <v>0</v>
      </c>
      <c r="K36" s="9">
        <f t="shared" si="10"/>
        <v>0</v>
      </c>
      <c r="L36" s="9">
        <f t="shared" si="10"/>
        <v>0</v>
      </c>
      <c r="M36" s="9">
        <f t="shared" si="10"/>
        <v>0</v>
      </c>
      <c r="N36" s="9">
        <f t="shared" si="10"/>
        <v>0</v>
      </c>
      <c r="O36" s="9">
        <f t="shared" si="10"/>
        <v>2868733.6710015005</v>
      </c>
      <c r="P36" s="9">
        <f t="shared" si="10"/>
        <v>331852.48200450186</v>
      </c>
      <c r="Q36" s="9">
        <f t="shared" si="10"/>
        <v>332755.24603050633</v>
      </c>
      <c r="R36" s="9">
        <f t="shared" si="10"/>
        <v>333670.33105141681</v>
      </c>
      <c r="S36" s="9">
        <f t="shared" si="10"/>
        <v>0</v>
      </c>
      <c r="T36" s="9">
        <f t="shared" si="10"/>
        <v>0</v>
      </c>
      <c r="U36" s="9">
        <f t="shared" si="10"/>
        <v>0</v>
      </c>
      <c r="V36" s="9">
        <f t="shared" si="10"/>
        <v>0</v>
      </c>
      <c r="W36" s="9">
        <f>SUM(W33:W35)</f>
        <v>0</v>
      </c>
    </row>
    <row r="37" spans="1:23" x14ac:dyDescent="0.25">
      <c r="B37" s="25" t="s">
        <v>70</v>
      </c>
      <c r="C37" s="26"/>
      <c r="D37" s="9">
        <f>D36*C32/2</f>
        <v>825000</v>
      </c>
      <c r="E37" s="9">
        <f>(SUM($D$36:E36)-D37)*C32</f>
        <v>3057600</v>
      </c>
      <c r="F37" s="9">
        <f>(SUM($D$36:F36)-SUM($D$37:E37))*$C$32</f>
        <v>2681400.4499999997</v>
      </c>
      <c r="G37" s="9">
        <f>(SUM($D$36:G36)-SUM($D$37:F37))*$C$32</f>
        <v>1985196.4050000003</v>
      </c>
      <c r="H37" s="9">
        <f>(SUM($D$36:H36)-SUM($D$37:G37))*$C$32</f>
        <v>1492532.95359</v>
      </c>
      <c r="I37" s="9">
        <f>(SUM($D$36:I36)-SUM($D$37:H37))*$C$32</f>
        <v>1143971.2478730897</v>
      </c>
      <c r="J37" s="9">
        <f>(SUM($D$36:J36)-SUM($D$37:I37))*$C$32</f>
        <v>800779.8735111627</v>
      </c>
      <c r="K37" s="9">
        <f>(SUM($D$36:K36)-SUM($D$37:J37))*$C$32</f>
        <v>560545.91145781369</v>
      </c>
      <c r="L37" s="9">
        <f>(SUM($D$36:L36)-SUM($D$37:K37))*$C$32</f>
        <v>392382.1380204694</v>
      </c>
      <c r="M37" s="9">
        <f>(SUM($D$36:M36)-SUM($D$37:L37))*$C$32</f>
        <v>274667.49661432876</v>
      </c>
      <c r="N37" s="9">
        <f>(SUM($D$36:N36)-SUM($D$37:M37))*$C$32</f>
        <v>192267.24763002992</v>
      </c>
      <c r="O37" s="9">
        <f>(SUM($D$36:O36)-SUM($D$37:N37))*$C$32</f>
        <v>995207.17464147077</v>
      </c>
      <c r="P37" s="9">
        <f>(SUM($D$36:P36)-SUM($D$37:O37))*$C$32</f>
        <v>796200.76685037964</v>
      </c>
      <c r="Q37" s="9">
        <f>(SUM($D$36:Q36)-SUM($D$37:P37))*$C$32</f>
        <v>657167.11060441728</v>
      </c>
      <c r="R37" s="9">
        <f>(SUM($D$36:R36)-SUM($D$37:Q37))*$C$32</f>
        <v>560118.07673851738</v>
      </c>
      <c r="S37" s="9">
        <f>(SUM($D$36:S36)-SUM($D$37:R37))*$C$32</f>
        <v>392082.65371696203</v>
      </c>
      <c r="T37" s="9">
        <f>(SUM($D$36:T36)-SUM($D$37:S37))*$C$32</f>
        <v>274457.85760187317</v>
      </c>
      <c r="U37" s="9">
        <f>(SUM($D$36:U36)-SUM($D$37:T37))*$C$32</f>
        <v>192120.50032131112</v>
      </c>
      <c r="V37" s="9">
        <f>(SUM($D$36:V36)-SUM($D$37:U37))*$C$32</f>
        <v>134484.35022491813</v>
      </c>
      <c r="W37" s="9">
        <f>(SUM($D$36:W36)-SUM($D$37:V37))*$C$32</f>
        <v>94139.045157442233</v>
      </c>
    </row>
    <row r="38" spans="1:23" x14ac:dyDescent="0.25">
      <c r="B38" s="15"/>
      <c r="W38" s="16"/>
    </row>
    <row r="39" spans="1:23" s="24" customFormat="1" x14ac:dyDescent="0.25">
      <c r="A39" s="5"/>
      <c r="B39" s="33" t="s">
        <v>60</v>
      </c>
      <c r="C39" s="90">
        <v>0.55000000000000004</v>
      </c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34"/>
    </row>
    <row r="40" spans="1:23" x14ac:dyDescent="0.25">
      <c r="B40" s="79" t="s">
        <v>78</v>
      </c>
      <c r="C40" s="22"/>
      <c r="D40" s="9">
        <v>4000000</v>
      </c>
      <c r="E40" s="10">
        <v>80000</v>
      </c>
      <c r="F40" s="10">
        <v>20000</v>
      </c>
      <c r="G40" s="70" t="s">
        <v>81</v>
      </c>
      <c r="H40" s="71" t="s">
        <v>81</v>
      </c>
      <c r="I40" s="71" t="s">
        <v>81</v>
      </c>
      <c r="J40" s="10">
        <v>80000</v>
      </c>
      <c r="K40" s="70" t="s">
        <v>81</v>
      </c>
      <c r="L40" s="71" t="s">
        <v>81</v>
      </c>
      <c r="M40" s="10">
        <v>4000000</v>
      </c>
      <c r="N40" s="70" t="s">
        <v>81</v>
      </c>
      <c r="O40" s="71" t="s">
        <v>81</v>
      </c>
      <c r="P40" s="71" t="s">
        <v>81</v>
      </c>
      <c r="Q40" s="10">
        <v>40000</v>
      </c>
      <c r="R40" s="70" t="s">
        <v>81</v>
      </c>
      <c r="S40" s="71" t="s">
        <v>81</v>
      </c>
      <c r="T40" s="71" t="s">
        <v>81</v>
      </c>
      <c r="U40" s="71" t="s">
        <v>81</v>
      </c>
      <c r="V40" s="71" t="s">
        <v>81</v>
      </c>
      <c r="W40" s="71" t="s">
        <v>81</v>
      </c>
    </row>
    <row r="41" spans="1:23" x14ac:dyDescent="0.25">
      <c r="B41" s="79" t="s">
        <v>79</v>
      </c>
      <c r="C41" s="22"/>
      <c r="D41" s="9">
        <v>3000000</v>
      </c>
      <c r="E41" s="10">
        <v>60000</v>
      </c>
      <c r="F41" s="10">
        <v>20000</v>
      </c>
      <c r="G41" s="71" t="s">
        <v>81</v>
      </c>
      <c r="H41" s="71" t="s">
        <v>81</v>
      </c>
      <c r="I41" s="71" t="s">
        <v>81</v>
      </c>
      <c r="J41" s="10">
        <v>20000</v>
      </c>
      <c r="K41" s="71" t="s">
        <v>81</v>
      </c>
      <c r="L41" s="71" t="s">
        <v>81</v>
      </c>
      <c r="M41" s="10">
        <v>3000000</v>
      </c>
      <c r="N41" s="71" t="s">
        <v>81</v>
      </c>
      <c r="O41" s="71" t="s">
        <v>81</v>
      </c>
      <c r="P41" s="71" t="s">
        <v>81</v>
      </c>
      <c r="Q41" s="10">
        <v>10000</v>
      </c>
      <c r="R41" s="71" t="s">
        <v>81</v>
      </c>
      <c r="S41" s="71" t="s">
        <v>81</v>
      </c>
      <c r="T41" s="71" t="s">
        <v>81</v>
      </c>
      <c r="U41" s="71" t="s">
        <v>81</v>
      </c>
      <c r="V41" s="71" t="s">
        <v>81</v>
      </c>
      <c r="W41" s="71" t="s">
        <v>81</v>
      </c>
    </row>
    <row r="42" spans="1:23" ht="15.75" x14ac:dyDescent="0.25">
      <c r="A42" s="72"/>
      <c r="B42" s="80" t="s">
        <v>44</v>
      </c>
      <c r="C42" s="18"/>
      <c r="D42" s="9">
        <v>4000000</v>
      </c>
      <c r="E42" s="10">
        <f t="shared" ref="E42:F42" si="11">D42+(D42*0.025)</f>
        <v>4100000</v>
      </c>
      <c r="F42" s="10">
        <f t="shared" si="11"/>
        <v>4202500</v>
      </c>
      <c r="G42" s="125" t="s">
        <v>81</v>
      </c>
      <c r="H42" s="125" t="s">
        <v>81</v>
      </c>
      <c r="I42" s="125" t="s">
        <v>81</v>
      </c>
      <c r="J42" s="125" t="s">
        <v>81</v>
      </c>
      <c r="K42" s="125" t="s">
        <v>81</v>
      </c>
      <c r="L42" s="125" t="s">
        <v>81</v>
      </c>
      <c r="M42" s="10">
        <f>F42+(F42*0.025)</f>
        <v>4307562.5</v>
      </c>
      <c r="N42" s="125" t="s">
        <v>81</v>
      </c>
      <c r="O42" s="125" t="s">
        <v>81</v>
      </c>
      <c r="P42" s="125" t="s">
        <v>81</v>
      </c>
      <c r="Q42" s="125" t="s">
        <v>81</v>
      </c>
      <c r="R42" s="125" t="s">
        <v>81</v>
      </c>
      <c r="S42" s="125" t="s">
        <v>81</v>
      </c>
      <c r="T42" s="125" t="s">
        <v>81</v>
      </c>
      <c r="U42" s="125" t="s">
        <v>81</v>
      </c>
      <c r="V42" s="125" t="s">
        <v>81</v>
      </c>
      <c r="W42" s="125" t="s">
        <v>81</v>
      </c>
    </row>
    <row r="43" spans="1:23" x14ac:dyDescent="0.25">
      <c r="B43" s="25" t="s">
        <v>77</v>
      </c>
      <c r="C43" s="26"/>
      <c r="D43" s="9">
        <f>SUM(D40:D42)</f>
        <v>11000000</v>
      </c>
      <c r="E43" s="9">
        <f t="shared" ref="E43:V43" si="12">SUM(E40:E42)</f>
        <v>4240000</v>
      </c>
      <c r="F43" s="9">
        <f t="shared" si="12"/>
        <v>4242500</v>
      </c>
      <c r="G43" s="9">
        <f t="shared" si="12"/>
        <v>0</v>
      </c>
      <c r="H43" s="9">
        <f t="shared" si="12"/>
        <v>0</v>
      </c>
      <c r="I43" s="9">
        <f t="shared" si="12"/>
        <v>0</v>
      </c>
      <c r="J43" s="9">
        <f t="shared" si="12"/>
        <v>100000</v>
      </c>
      <c r="K43" s="9">
        <f t="shared" si="12"/>
        <v>0</v>
      </c>
      <c r="L43" s="9">
        <f t="shared" si="12"/>
        <v>0</v>
      </c>
      <c r="M43" s="9">
        <f t="shared" si="12"/>
        <v>11307562.5</v>
      </c>
      <c r="N43" s="9">
        <f t="shared" si="12"/>
        <v>0</v>
      </c>
      <c r="O43" s="9">
        <f t="shared" si="12"/>
        <v>0</v>
      </c>
      <c r="P43" s="9">
        <f t="shared" si="12"/>
        <v>0</v>
      </c>
      <c r="Q43" s="9">
        <f t="shared" si="12"/>
        <v>50000</v>
      </c>
      <c r="R43" s="9">
        <f t="shared" si="12"/>
        <v>0</v>
      </c>
      <c r="S43" s="9">
        <f t="shared" si="12"/>
        <v>0</v>
      </c>
      <c r="T43" s="9">
        <f t="shared" si="12"/>
        <v>0</v>
      </c>
      <c r="U43" s="9">
        <f t="shared" si="12"/>
        <v>0</v>
      </c>
      <c r="V43" s="9">
        <f t="shared" si="12"/>
        <v>0</v>
      </c>
      <c r="W43" s="9">
        <f>SUM(W40:W42)</f>
        <v>0</v>
      </c>
    </row>
    <row r="44" spans="1:23" x14ac:dyDescent="0.25">
      <c r="B44" s="25" t="s">
        <v>70</v>
      </c>
      <c r="C44" s="26"/>
      <c r="D44" s="9">
        <f>D43*C39/2</f>
        <v>3025000.0000000005</v>
      </c>
      <c r="E44" s="9">
        <f>(SUM($D$43:E43)-D44)*C39</f>
        <v>6718250.0000000009</v>
      </c>
      <c r="F44" s="9">
        <f>(SUM($D$43:F43)-SUM($D$44:E44))*$C$39</f>
        <v>5356587.4999999991</v>
      </c>
      <c r="G44" s="9">
        <f>(SUM($D$43:G43)-SUM($D$44:F44))*$C$39</f>
        <v>2410464.375</v>
      </c>
      <c r="H44" s="9">
        <f>(SUM($D$43:H43)-SUM($D$44:G44))*$C$39</f>
        <v>1084708.96875</v>
      </c>
      <c r="I44" s="9">
        <f>(SUM($D$43:I43)-SUM($D$44:H44))*$C$39</f>
        <v>488119.03593750001</v>
      </c>
      <c r="J44" s="9">
        <f>(SUM($D$43:J43)-SUM($D$44:I44))*$C$39</f>
        <v>274653.56617187546</v>
      </c>
      <c r="K44" s="9">
        <f>(SUM($D$43:K43)-SUM($D$44:J44))*$C$39</f>
        <v>123594.10477734302</v>
      </c>
      <c r="L44" s="9">
        <f>(SUM($D$43:L43)-SUM($D$44:K44))*$C$39</f>
        <v>55617.347149804053</v>
      </c>
      <c r="M44" s="9">
        <f>(SUM($D$43:M43)-SUM($D$44:L44))*$C$39</f>
        <v>6244187.1812174125</v>
      </c>
      <c r="N44" s="9">
        <f>(SUM($D$43:N43)-SUM($D$44:M44))*$C$39</f>
        <v>2809884.2315478344</v>
      </c>
      <c r="O44" s="9">
        <f>(SUM($D$43:O43)-SUM($D$44:N44))*$C$39</f>
        <v>1264447.9041965266</v>
      </c>
      <c r="P44" s="9">
        <f>(SUM($D$43:P43)-SUM($D$44:O44))*$C$39</f>
        <v>569001.55688843678</v>
      </c>
      <c r="Q44" s="9">
        <f>(SUM($D$43:Q43)-SUM($D$44:P44))*$C$39</f>
        <v>283550.70059979748</v>
      </c>
      <c r="R44" s="9">
        <f>(SUM($D$43:R43)-SUM($D$44:Q44))*$C$39</f>
        <v>127597.81526990907</v>
      </c>
      <c r="S44" s="9">
        <f>(SUM($D$43:S43)-SUM($D$44:R44))*$C$39</f>
        <v>57419.016871458669</v>
      </c>
      <c r="T44" s="9">
        <f>(SUM($D$43:T43)-SUM($D$44:S44))*$C$39</f>
        <v>25838.557592155787</v>
      </c>
      <c r="U44" s="9">
        <f>(SUM($D$43:U43)-SUM($D$44:T44))*$C$39</f>
        <v>11627.350916469284</v>
      </c>
      <c r="V44" s="9">
        <f>(SUM($D$43:V43)-SUM($D$44:U44))*$C$39</f>
        <v>5232.3079124120995</v>
      </c>
      <c r="W44" s="9">
        <f>(SUM($D$43:W43)-SUM($D$44:V44))*$C$39</f>
        <v>2354.5385605849328</v>
      </c>
    </row>
    <row r="45" spans="1:23" x14ac:dyDescent="0.25">
      <c r="B45" s="15"/>
      <c r="W45" s="16"/>
    </row>
    <row r="46" spans="1:23" x14ac:dyDescent="0.25">
      <c r="B46" s="50" t="s">
        <v>91</v>
      </c>
      <c r="C46" s="91">
        <v>0.3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2"/>
    </row>
    <row r="47" spans="1:23" ht="15.75" x14ac:dyDescent="0.25">
      <c r="B47" s="38" t="s">
        <v>43</v>
      </c>
      <c r="C47" s="39"/>
      <c r="D47" s="9">
        <v>20000000</v>
      </c>
      <c r="E47" s="70" t="s">
        <v>81</v>
      </c>
      <c r="F47" s="71" t="s">
        <v>81</v>
      </c>
      <c r="G47" s="71" t="s">
        <v>81</v>
      </c>
      <c r="H47" s="71" t="s">
        <v>81</v>
      </c>
      <c r="I47" s="71" t="s">
        <v>81</v>
      </c>
      <c r="J47" s="71" t="s">
        <v>81</v>
      </c>
      <c r="K47" s="71" t="s">
        <v>81</v>
      </c>
      <c r="L47" s="71" t="s">
        <v>81</v>
      </c>
      <c r="M47" s="10">
        <f>D47+(D47*0.025)</f>
        <v>20500000</v>
      </c>
      <c r="N47" s="70" t="s">
        <v>81</v>
      </c>
      <c r="O47" s="71" t="s">
        <v>81</v>
      </c>
      <c r="P47" s="71" t="s">
        <v>81</v>
      </c>
      <c r="Q47" s="71" t="s">
        <v>81</v>
      </c>
      <c r="R47" s="71" t="s">
        <v>81</v>
      </c>
      <c r="S47" s="71" t="s">
        <v>81</v>
      </c>
      <c r="T47" s="71" t="s">
        <v>81</v>
      </c>
      <c r="U47" s="71" t="s">
        <v>81</v>
      </c>
      <c r="V47" s="71" t="s">
        <v>81</v>
      </c>
      <c r="W47" s="71" t="s">
        <v>81</v>
      </c>
    </row>
    <row r="48" spans="1:23" ht="15.75" thickBot="1" x14ac:dyDescent="0.3">
      <c r="B48" s="40" t="s">
        <v>70</v>
      </c>
      <c r="C48" s="41"/>
      <c r="D48" s="42">
        <f>D47*C46/2</f>
        <v>3000000</v>
      </c>
      <c r="E48" s="43">
        <f>(SUM($D$47:E47)-D48)*$C$46</f>
        <v>5100000</v>
      </c>
      <c r="F48" s="43">
        <f>(SUM($D$47:F47)-SUM($D$48:E48))*$C$46</f>
        <v>3570000</v>
      </c>
      <c r="G48" s="43">
        <f>(SUM($D$47:G47)-SUM($D$48:F48))*$C$46</f>
        <v>2499000</v>
      </c>
      <c r="H48" s="43">
        <f>(SUM($D$47:H47)-SUM($D$48:G48))*$C$46</f>
        <v>1749300</v>
      </c>
      <c r="I48" s="43">
        <f>(SUM($D$47:I47)-SUM($D$48:H48))*$C$46</f>
        <v>1224510</v>
      </c>
      <c r="J48" s="43">
        <f>(SUM($D$47:J47)-SUM($D$48:I48))*$C$46</f>
        <v>857157</v>
      </c>
      <c r="K48" s="43">
        <f>(SUM($D$47:K47)-SUM($D$48:J48))*$C$46</f>
        <v>600009.9</v>
      </c>
      <c r="L48" s="43">
        <f>(SUM($D$47:L47)-SUM($D$48:K48))*$C$46</f>
        <v>420006.93000000046</v>
      </c>
      <c r="M48" s="43">
        <f>(SUM($D$47:M47)-SUM($D$48:L48))*$C$46</f>
        <v>6444004.8510000007</v>
      </c>
      <c r="N48" s="43">
        <f>(SUM($D$47:N47)-SUM($D$48:M48))*$C$46</f>
        <v>4510803.3957000002</v>
      </c>
      <c r="O48" s="43">
        <f>(SUM($D$47:O47)-SUM($D$48:N48))*$C$46</f>
        <v>3157562.3769900003</v>
      </c>
      <c r="P48" s="43">
        <f>(SUM($D$47:P47)-SUM($D$48:O48))*$C$46</f>
        <v>2210293.6638929998</v>
      </c>
      <c r="Q48" s="43">
        <f>(SUM($D$47:Q47)-SUM($D$48:P48))*$C$46</f>
        <v>1547205.5647251003</v>
      </c>
      <c r="R48" s="43">
        <f>(SUM($D$47:R47)-SUM($D$48:Q48))*$C$46</f>
        <v>1083043.89530757</v>
      </c>
      <c r="S48" s="43">
        <f>(SUM($D$47:S47)-SUM($D$48:R48))*$C$46</f>
        <v>758130.72671529872</v>
      </c>
      <c r="T48" s="43">
        <f>(SUM($D$47:T47)-SUM($D$48:S48))*$C$46</f>
        <v>530691.50870070979</v>
      </c>
      <c r="U48" s="43">
        <f>(SUM($D$47:U47)-SUM($D$48:T48))*$C$46</f>
        <v>371484.05609049794</v>
      </c>
      <c r="V48" s="43">
        <f>(SUM($D$47:V47)-SUM($D$48:U48))*$C$46</f>
        <v>260038.83926334901</v>
      </c>
      <c r="W48" s="43">
        <f>(SUM($D$47:W47)-SUM($D$48:V48))*$C$46</f>
        <v>182027.18748434409</v>
      </c>
    </row>
    <row r="49" spans="2:23" x14ac:dyDescent="0.25">
      <c r="B49" s="14"/>
      <c r="C49" s="12"/>
      <c r="D49" s="9"/>
      <c r="E49" s="10"/>
      <c r="W49" s="11"/>
    </row>
    <row r="50" spans="2:23" x14ac:dyDescent="0.25">
      <c r="B50" s="12"/>
      <c r="C50" s="12"/>
    </row>
    <row r="51" spans="2:23" x14ac:dyDescent="0.25">
      <c r="B51" s="12"/>
      <c r="C51" s="12"/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87364-7620-47F6-98DC-3E7158B261DA}">
  <dimension ref="A1:AT84"/>
  <sheetViews>
    <sheetView topLeftCell="A40" zoomScale="63" zoomScaleNormal="52" workbookViewId="0">
      <selection activeCell="AE76" sqref="AE76"/>
    </sheetView>
  </sheetViews>
  <sheetFormatPr defaultRowHeight="15" x14ac:dyDescent="0.25"/>
  <cols>
    <col min="8" max="8" width="17.28515625" bestFit="1" customWidth="1"/>
    <col min="31" max="31" width="11.28515625" bestFit="1" customWidth="1"/>
  </cols>
  <sheetData>
    <row r="1" spans="43:46" x14ac:dyDescent="0.25">
      <c r="AQ1" s="160" t="s">
        <v>108</v>
      </c>
      <c r="AR1" s="160"/>
      <c r="AS1" s="160"/>
      <c r="AT1" s="160"/>
    </row>
    <row r="3" spans="43:46" ht="15.75" thickBot="1" x14ac:dyDescent="0.3"/>
    <row r="4" spans="43:46" ht="60.75" thickBot="1" x14ac:dyDescent="0.3">
      <c r="AQ4" s="129" t="s">
        <v>105</v>
      </c>
      <c r="AR4" s="126" t="s">
        <v>106</v>
      </c>
      <c r="AS4" s="126" t="s">
        <v>107</v>
      </c>
    </row>
    <row r="5" spans="43:46" ht="15.75" thickBot="1" x14ac:dyDescent="0.3">
      <c r="AQ5" s="127" t="s">
        <v>100</v>
      </c>
      <c r="AR5" s="128">
        <v>-0.4491</v>
      </c>
      <c r="AS5" s="130">
        <v>-0.6</v>
      </c>
    </row>
    <row r="6" spans="43:46" ht="15.75" thickBot="1" x14ac:dyDescent="0.3">
      <c r="AQ6" s="127" t="s">
        <v>101</v>
      </c>
      <c r="AR6" s="128">
        <v>-0.15210000000000001</v>
      </c>
      <c r="AS6" s="128">
        <v>-0.3</v>
      </c>
    </row>
    <row r="7" spans="43:46" ht="15.75" thickBot="1" x14ac:dyDescent="0.3">
      <c r="AQ7" s="127" t="s">
        <v>102</v>
      </c>
      <c r="AR7" s="128">
        <v>0.35470000000000002</v>
      </c>
      <c r="AS7" s="128">
        <v>0.1</v>
      </c>
    </row>
    <row r="8" spans="43:46" ht="15.75" thickBot="1" x14ac:dyDescent="0.3">
      <c r="AQ8" s="127" t="s">
        <v>103</v>
      </c>
      <c r="AR8" s="128">
        <v>1.8769</v>
      </c>
      <c r="AS8" s="128">
        <v>0.75</v>
      </c>
    </row>
    <row r="9" spans="43:46" ht="15.75" thickBot="1" x14ac:dyDescent="0.3">
      <c r="AQ9" s="127" t="s">
        <v>104</v>
      </c>
      <c r="AR9" s="128">
        <v>4.4870999999999999</v>
      </c>
      <c r="AS9" s="128">
        <v>2</v>
      </c>
    </row>
    <row r="14" spans="43:46" ht="15.75" thickBot="1" x14ac:dyDescent="0.3"/>
    <row r="15" spans="43:46" ht="45.75" thickBot="1" x14ac:dyDescent="0.3">
      <c r="AQ15" s="129" t="s">
        <v>105</v>
      </c>
      <c r="AR15" s="126" t="s">
        <v>109</v>
      </c>
      <c r="AS15" s="126" t="s">
        <v>106</v>
      </c>
    </row>
    <row r="16" spans="43:46" ht="15.75" thickBot="1" x14ac:dyDescent="0.3">
      <c r="AQ16" s="127" t="s">
        <v>100</v>
      </c>
      <c r="AR16" s="130">
        <v>0.05</v>
      </c>
      <c r="AS16" s="130">
        <v>-0.25</v>
      </c>
    </row>
    <row r="17" spans="11:45" ht="15.75" thickBot="1" x14ac:dyDescent="0.3">
      <c r="AQ17" s="127" t="s">
        <v>101</v>
      </c>
      <c r="AR17" s="130">
        <v>7.0000000000000007E-2</v>
      </c>
      <c r="AS17" s="128">
        <v>-0.15210000000000001</v>
      </c>
    </row>
    <row r="18" spans="11:45" ht="15.75" thickBot="1" x14ac:dyDescent="0.3">
      <c r="K18" t="s">
        <v>83</v>
      </c>
      <c r="AQ18" s="127" t="s">
        <v>102</v>
      </c>
      <c r="AR18" s="130">
        <v>0.12</v>
      </c>
      <c r="AS18" s="128">
        <v>0.35470000000000002</v>
      </c>
    </row>
    <row r="19" spans="11:45" ht="15.75" thickBot="1" x14ac:dyDescent="0.3">
      <c r="AQ19" s="127" t="s">
        <v>103</v>
      </c>
      <c r="AR19" s="130">
        <v>0.25</v>
      </c>
      <c r="AS19" s="128">
        <v>1.8769</v>
      </c>
    </row>
    <row r="20" spans="11:45" ht="30.75" thickBot="1" x14ac:dyDescent="0.3">
      <c r="AD20" s="129" t="s">
        <v>105</v>
      </c>
      <c r="AE20" s="126" t="s">
        <v>106</v>
      </c>
      <c r="AQ20" s="127" t="s">
        <v>104</v>
      </c>
      <c r="AR20" s="130">
        <v>1</v>
      </c>
      <c r="AS20" s="128">
        <v>4.4870999999999999</v>
      </c>
    </row>
    <row r="21" spans="11:45" ht="15.75" thickBot="1" x14ac:dyDescent="0.3">
      <c r="AD21" s="127" t="s">
        <v>100</v>
      </c>
      <c r="AE21" s="128">
        <v>-0.4491</v>
      </c>
    </row>
    <row r="22" spans="11:45" ht="15.75" thickBot="1" x14ac:dyDescent="0.3">
      <c r="AD22" s="127" t="s">
        <v>101</v>
      </c>
      <c r="AE22" s="128">
        <v>-0.34310000000000002</v>
      </c>
    </row>
    <row r="23" spans="11:45" ht="15.75" thickBot="1" x14ac:dyDescent="0.3">
      <c r="AD23" s="127" t="s">
        <v>102</v>
      </c>
      <c r="AE23" s="128">
        <v>8.14E-2</v>
      </c>
    </row>
    <row r="24" spans="11:45" ht="15.75" thickBot="1" x14ac:dyDescent="0.3">
      <c r="AD24" s="127" t="s">
        <v>103</v>
      </c>
      <c r="AE24" s="128">
        <v>1.1414</v>
      </c>
    </row>
    <row r="25" spans="11:45" ht="15.75" thickBot="1" x14ac:dyDescent="0.3">
      <c r="AD25" s="127" t="s">
        <v>104</v>
      </c>
      <c r="AE25" s="128">
        <v>4.4870999999999999</v>
      </c>
    </row>
    <row r="41" spans="1:32" ht="15.75" thickBot="1" x14ac:dyDescent="0.3">
      <c r="A41" s="161" t="s">
        <v>97</v>
      </c>
      <c r="B41" s="161"/>
      <c r="C41" s="161"/>
      <c r="D41" s="161"/>
      <c r="E41" s="161"/>
      <c r="F41" s="161"/>
      <c r="G41" s="161"/>
      <c r="H41" s="122" t="s">
        <v>98</v>
      </c>
    </row>
    <row r="42" spans="1:32" ht="45.75" thickBot="1" x14ac:dyDescent="0.3">
      <c r="A42" s="162" t="s">
        <v>29</v>
      </c>
      <c r="B42" s="142" t="s">
        <v>29</v>
      </c>
      <c r="C42" s="142" t="s">
        <v>29</v>
      </c>
      <c r="D42" s="142" t="s">
        <v>29</v>
      </c>
      <c r="E42" s="142" t="s">
        <v>29</v>
      </c>
      <c r="F42" s="142" t="s">
        <v>29</v>
      </c>
      <c r="G42" s="142" t="s">
        <v>29</v>
      </c>
      <c r="H42" s="9">
        <v>794014101.60000002</v>
      </c>
      <c r="AD42" s="129" t="s">
        <v>105</v>
      </c>
      <c r="AE42" s="126" t="s">
        <v>107</v>
      </c>
      <c r="AF42" s="126"/>
    </row>
    <row r="43" spans="1:32" ht="16.5" thickBot="1" x14ac:dyDescent="0.3">
      <c r="A43" s="162" t="s">
        <v>30</v>
      </c>
      <c r="B43" s="142" t="s">
        <v>30</v>
      </c>
      <c r="C43" s="142" t="s">
        <v>30</v>
      </c>
      <c r="D43" s="142" t="s">
        <v>30</v>
      </c>
      <c r="E43" s="142" t="s">
        <v>30</v>
      </c>
      <c r="F43" s="142" t="s">
        <v>30</v>
      </c>
      <c r="G43" s="142" t="s">
        <v>30</v>
      </c>
      <c r="H43" s="9">
        <v>330659541.02999997</v>
      </c>
      <c r="AD43" s="127" t="s">
        <v>100</v>
      </c>
      <c r="AE43" s="130">
        <v>-0.6</v>
      </c>
      <c r="AF43" s="130"/>
    </row>
    <row r="44" spans="1:32" ht="16.5" thickBot="1" x14ac:dyDescent="0.3">
      <c r="A44" s="162" t="s">
        <v>31</v>
      </c>
      <c r="B44" s="142" t="s">
        <v>31</v>
      </c>
      <c r="C44" s="142" t="s">
        <v>31</v>
      </c>
      <c r="D44" s="142" t="s">
        <v>31</v>
      </c>
      <c r="E44" s="142" t="s">
        <v>31</v>
      </c>
      <c r="F44" s="142" t="s">
        <v>31</v>
      </c>
      <c r="G44" s="142" t="s">
        <v>31</v>
      </c>
      <c r="H44" s="9">
        <v>358113633.13999999</v>
      </c>
      <c r="AD44" s="127" t="s">
        <v>101</v>
      </c>
      <c r="AE44" s="128">
        <v>-0.3</v>
      </c>
      <c r="AF44" s="128"/>
    </row>
    <row r="45" spans="1:32" ht="16.5" thickBot="1" x14ac:dyDescent="0.3">
      <c r="A45" s="162" t="s">
        <v>32</v>
      </c>
      <c r="B45" s="142"/>
      <c r="C45" s="142"/>
      <c r="D45" s="142"/>
      <c r="E45" s="142"/>
      <c r="F45" s="142"/>
      <c r="G45" s="142"/>
      <c r="H45" s="9">
        <v>309456231.41000003</v>
      </c>
      <c r="AD45" s="127" t="s">
        <v>102</v>
      </c>
      <c r="AE45" s="128">
        <v>0.1</v>
      </c>
      <c r="AF45" s="128"/>
    </row>
    <row r="46" spans="1:32" ht="16.5" thickBot="1" x14ac:dyDescent="0.3">
      <c r="A46" s="162" t="s">
        <v>33</v>
      </c>
      <c r="B46" s="142"/>
      <c r="C46" s="142"/>
      <c r="D46" s="142"/>
      <c r="E46" s="142"/>
      <c r="F46" s="142"/>
      <c r="G46" s="142"/>
      <c r="H46" s="9">
        <v>859124992.39999998</v>
      </c>
      <c r="AD46" s="127" t="s">
        <v>103</v>
      </c>
      <c r="AE46" s="128">
        <v>0.75</v>
      </c>
      <c r="AF46" s="128"/>
    </row>
    <row r="47" spans="1:32" ht="16.5" thickBot="1" x14ac:dyDescent="0.3">
      <c r="A47" s="162" t="s">
        <v>34</v>
      </c>
      <c r="B47" s="142" t="s">
        <v>34</v>
      </c>
      <c r="C47" s="142" t="s">
        <v>34</v>
      </c>
      <c r="D47" s="142" t="s">
        <v>34</v>
      </c>
      <c r="E47" s="142" t="s">
        <v>34</v>
      </c>
      <c r="F47" s="142" t="s">
        <v>34</v>
      </c>
      <c r="G47" s="142" t="s">
        <v>34</v>
      </c>
      <c r="H47" s="9">
        <v>20000000</v>
      </c>
      <c r="AD47" s="127" t="s">
        <v>104</v>
      </c>
      <c r="AE47" s="128">
        <v>2</v>
      </c>
      <c r="AF47" s="128"/>
    </row>
    <row r="48" spans="1:32" x14ac:dyDescent="0.25">
      <c r="H48" s="44"/>
    </row>
    <row r="58" spans="9:10" x14ac:dyDescent="0.25">
      <c r="I58" t="s">
        <v>7</v>
      </c>
      <c r="J58" t="s">
        <v>84</v>
      </c>
    </row>
    <row r="59" spans="9:10" x14ac:dyDescent="0.25">
      <c r="I59" t="s">
        <v>8</v>
      </c>
      <c r="J59" s="53">
        <f>'Feasibility Study'!H53</f>
        <v>-0.44912659066865135</v>
      </c>
    </row>
    <row r="60" spans="9:10" x14ac:dyDescent="0.25">
      <c r="I60" t="s">
        <v>9</v>
      </c>
      <c r="J60" s="53">
        <f>'Feasibility Study'!I53</f>
        <v>-0.48167225287602483</v>
      </c>
    </row>
    <row r="61" spans="9:10" x14ac:dyDescent="0.25">
      <c r="I61" t="s">
        <v>10</v>
      </c>
      <c r="J61" s="53">
        <f>'Feasibility Study'!J53</f>
        <v>-0.34307168183670522</v>
      </c>
    </row>
    <row r="62" spans="9:10" x14ac:dyDescent="0.25">
      <c r="I62" t="s">
        <v>11</v>
      </c>
      <c r="J62" s="53">
        <f>'Feasibility Study'!K53</f>
        <v>-0.13000793157804552</v>
      </c>
    </row>
    <row r="63" spans="9:10" x14ac:dyDescent="0.25">
      <c r="I63" t="s">
        <v>12</v>
      </c>
      <c r="J63" s="53">
        <f>'Feasibility Study'!L53</f>
        <v>8.1366886434375327E-2</v>
      </c>
    </row>
    <row r="64" spans="9:10" x14ac:dyDescent="0.25">
      <c r="I64" t="s">
        <v>13</v>
      </c>
      <c r="J64" s="53">
        <f>'Feasibility Study'!M53</f>
        <v>0.31367866554371354</v>
      </c>
    </row>
    <row r="65" spans="9:10" x14ac:dyDescent="0.25">
      <c r="I65" t="s">
        <v>14</v>
      </c>
      <c r="J65" s="53">
        <f>'Feasibility Study'!N53</f>
        <v>0.5796121364784429</v>
      </c>
    </row>
    <row r="66" spans="9:10" x14ac:dyDescent="0.25">
      <c r="I66" t="s">
        <v>15</v>
      </c>
      <c r="J66" s="53">
        <f>'Feasibility Study'!O53</f>
        <v>0.8876139444961233</v>
      </c>
    </row>
    <row r="67" spans="9:10" x14ac:dyDescent="0.25">
      <c r="I67" t="s">
        <v>16</v>
      </c>
      <c r="J67" s="53">
        <f>'Feasibility Study'!P53</f>
        <v>1.2485848243979643</v>
      </c>
    </row>
    <row r="68" spans="9:10" x14ac:dyDescent="0.25">
      <c r="I68" t="s">
        <v>17</v>
      </c>
      <c r="J68" s="53">
        <f>'Feasibility Study'!Q53</f>
        <v>1.1414384936957471</v>
      </c>
    </row>
    <row r="69" spans="9:10" x14ac:dyDescent="0.25">
      <c r="I69" t="s">
        <v>18</v>
      </c>
      <c r="J69" s="53">
        <f>'Feasibility Study'!R53</f>
        <v>1.6011426848547412</v>
      </c>
    </row>
    <row r="70" spans="9:10" x14ac:dyDescent="0.25">
      <c r="I70" t="s">
        <v>19</v>
      </c>
      <c r="J70" s="53">
        <f>'Feasibility Study'!S53</f>
        <v>1.9280662114774438</v>
      </c>
    </row>
    <row r="71" spans="9:10" x14ac:dyDescent="0.25">
      <c r="I71" t="s">
        <v>20</v>
      </c>
      <c r="J71" s="53">
        <f>'Feasibility Study'!T53</f>
        <v>2.2731675479838098</v>
      </c>
    </row>
    <row r="72" spans="9:10" x14ac:dyDescent="0.25">
      <c r="I72" t="s">
        <v>21</v>
      </c>
      <c r="J72" s="53">
        <f>'Feasibility Study'!U53</f>
        <v>2.6108084419456725</v>
      </c>
    </row>
    <row r="73" spans="9:10" x14ac:dyDescent="0.25">
      <c r="I73" t="s">
        <v>22</v>
      </c>
      <c r="J73" s="53">
        <f>'Feasibility Study'!V53</f>
        <v>2.7470313167303684</v>
      </c>
    </row>
    <row r="74" spans="9:10" x14ac:dyDescent="0.25">
      <c r="I74" t="s">
        <v>23</v>
      </c>
      <c r="J74" s="53">
        <f>'Feasibility Study'!W53</f>
        <v>3.1182674531249153</v>
      </c>
    </row>
    <row r="75" spans="9:10" x14ac:dyDescent="0.25">
      <c r="I75" t="s">
        <v>24</v>
      </c>
      <c r="J75" s="53">
        <f>'Feasibility Study'!X53</f>
        <v>3.5177356193718294</v>
      </c>
    </row>
    <row r="76" spans="9:10" x14ac:dyDescent="0.25">
      <c r="I76" t="s">
        <v>25</v>
      </c>
      <c r="J76" s="53">
        <f>'Feasibility Study'!Y53</f>
        <v>3.9108767505467554</v>
      </c>
    </row>
    <row r="77" spans="9:10" x14ac:dyDescent="0.25">
      <c r="I77" t="s">
        <v>26</v>
      </c>
      <c r="J77" s="53">
        <f>'Feasibility Study'!Z53</f>
        <v>4.0145617227106731</v>
      </c>
    </row>
    <row r="78" spans="9:10" x14ac:dyDescent="0.25">
      <c r="I78" t="s">
        <v>27</v>
      </c>
      <c r="J78" s="53">
        <f>'Feasibility Study'!AA53</f>
        <v>4.4871285198753492</v>
      </c>
    </row>
    <row r="84" spans="10:10" x14ac:dyDescent="0.25">
      <c r="J84" s="48"/>
    </row>
  </sheetData>
  <mergeCells count="8">
    <mergeCell ref="AQ1:AT1"/>
    <mergeCell ref="A41:G41"/>
    <mergeCell ref="A47:G47"/>
    <mergeCell ref="A42:G42"/>
    <mergeCell ref="A43:G43"/>
    <mergeCell ref="A44:G44"/>
    <mergeCell ref="A45:G45"/>
    <mergeCell ref="A46:G46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Feasibility Study</vt:lpstr>
      <vt:lpstr>CCA</vt:lpstr>
      <vt:lpstr>Charts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Sandra Marya</dc:creator>
  <cp:keywords/>
  <dc:description/>
  <cp:lastModifiedBy>Rutvi Patel</cp:lastModifiedBy>
  <cp:revision/>
  <dcterms:created xsi:type="dcterms:W3CDTF">2024-10-11T09:17:18Z</dcterms:created>
  <dcterms:modified xsi:type="dcterms:W3CDTF">2024-12-06T18:00:32Z</dcterms:modified>
  <cp:category/>
  <cp:contentStatus/>
</cp:coreProperties>
</file>